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tems of Work" sheetId="1" r:id="rId3"/>
    <sheet state="hidden" name="2018 for reference" sheetId="2" r:id="rId4"/>
    <sheet state="hidden" name="Worklogs" sheetId="3" r:id="rId5"/>
    <sheet state="visible" name="2020 Worklogs" sheetId="4" r:id="rId6"/>
    <sheet state="visible" name="Mark's cal events for SRED" sheetId="5" r:id="rId7"/>
    <sheet state="visible" name="2020 SRED_2020-01-01_2020-12-31" sheetId="6" r:id="rId8"/>
    <sheet state="visible" name="2020 SRED (JIRA) - Issues and l" sheetId="7" r:id="rId9"/>
  </sheets>
  <definedNames>
    <definedName hidden="1" localSheetId="3" name="_xlnm._FilterDatabase">'2020 Worklogs'!$A$1:$H$1685</definedName>
    <definedName hidden="1" localSheetId="6" name="_xlnm._FilterDatabase">'2020 SRED (JIRA) - Issues and l'!$A$1:$Q$746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4">
      <text>
        <t xml:space="preserve">Includes Ravi's hours - https://docs.google.com/spreadsheets/d/1PDYUakG4UqHiZYBfdxd0blZzqJkyhJEgMgv6mUsQIuo/edit#gid=0</t>
      </text>
    </comment>
    <comment authorId="0" ref="E8">
      <text>
        <t xml:space="preserve">Ravi spent 4 hours on this -- https://mail.google.com/mail/ca/u/0/#search/ravicm.in%40gmail.com+bigbluebutton/FMfcgxvzKbVkzgxsrtTfTVcGZKzLfnvb</t>
      </text>
    </comment>
  </commentList>
</comments>
</file>

<file path=xl/sharedStrings.xml><?xml version="1.0" encoding="utf-8"?>
<sst xmlns="http://schemas.openxmlformats.org/spreadsheetml/2006/main" count="36690" uniqueCount="3081">
  <si>
    <t>Item of Work</t>
  </si>
  <si>
    <t>Project Overview and Technical Uncertainty
Why we needed to develop our own solution, i.e. nothing else on the market or no open-source tools could be directly used</t>
  </si>
  <si>
    <r>
      <t xml:space="preserve">Work / Knowledge Advancement
</t>
    </r>
    <r>
      <rPr>
        <i/>
        <color rgb="FFEFEFEF"/>
      </rPr>
      <t>List of libraries we integrated, how we further developed them, and how this solution could be packaged and contributed or resold</t>
    </r>
  </si>
  <si>
    <t>Jira Label (List of Included Tasks)</t>
  </si>
  <si>
    <t>Trevor Coehoorn (Development)</t>
  </si>
  <si>
    <t>Terry Waldner (Development)</t>
  </si>
  <si>
    <t>Bryan Le (Development)</t>
  </si>
  <si>
    <t>Jessica Obando (Development)</t>
  </si>
  <si>
    <t>Mark Corrigan (Product Management)</t>
  </si>
  <si>
    <t>Dan Wells (Technical Design and UAT)</t>
  </si>
  <si>
    <t>Holly Lam (Technical Design and UAT)</t>
  </si>
  <si>
    <t>Alyssia Grant (Technical Design and UAT)</t>
  </si>
  <si>
    <t>Nikita Kuzmin (Technical Design and UAT)</t>
  </si>
  <si>
    <t>InSite Event™ Platform</t>
  </si>
  <si>
    <r>
      <t xml:space="preserve">In order to improve the security and seemless integration of web meetings into client workflows, Impetus took to developing an integrated web meeting solution within their private and fully-managed portal platform for advisory boards, workshops, and virtual congresses. Given its widespread use and superior performance, the Zoom API was chosen as the web meeting integration service, however much custom development was required to integrate the meeting registration, meeting session/stage, and reporting capabilities into Impetus' Drupal-based platform. No other Drupal modules or open source libraries join together comprehensive meeting booking, registration, broadcast embedding, and reporting capabilities. For this project, a custom registration flow, integration with Impetus' user engagement tracking tool, a secure joining process (using personal data obfuscation when sending to remote servers), and comprehensive in-session real-time activites were developed. No other platform we could find has integrated and abstracted these elements into a secure, single-tenant platform. Obstacles we had to overcome included mapping of portal users to meeting registrants on the Zoom side; instant user attendance tracking since the data can't be queried on the Zoom side; custom styling of the embedded broadcast since Zoom only provides a very basic web client; and </t>
    </r>
    <r>
      <rPr>
        <b/>
      </rPr>
      <t>real-time discussion forums</t>
    </r>
    <r>
      <t xml:space="preserve"> using a node.js server that maintains all of Impetus' unique comment functionality.</t>
    </r>
  </si>
  <si>
    <t xml:space="preserve">We integrated the following libraries:
- Ajax Comments (https://www.drupal.org/project/ajax_comments)
- Node.js Integration (https://www.drupal.org/project/nodejs)
We found and corrected several bugs in the Ajax Comments module.
We also needed to expand it's functionality to handle the custom
comment-related features that we've added to our platform. 
</t>
  </si>
  <si>
    <t>insite-event-SRED</t>
  </si>
  <si>
    <t>InSite Workflow™</t>
  </si>
  <si>
    <t xml:space="preserve">To improve the client intake and program setup process within the Impetus InSite Platform, an integrated data collection and workflow solution was scoped to collect structured data from the inital sales process through to the delivery and closure of client projects. After several weeks of research and prototypes, AppSheet was selected as a service that could be used to build automated workflows and relational databases. However, AppSheet (and all other services researched) did not provide all of the connectors for the type of system Impetus needed due to the unique nature of the services provided (e.g., client advisory board "touchpoints"). Custom development was required to build integrate data input forms where team members needed them (e.g., Gmail add-on to interface with client data), to build a proposal document generator (e.g., Google Apps Script), and to query and insert data into client communications (e.g. Gmail API). No pre-built scripts or libraries provided these tools. </t>
  </si>
  <si>
    <t>insite-workflow-SRED</t>
  </si>
  <si>
    <t>Improvements to portal builder automation interface</t>
  </si>
  <si>
    <r>
      <t xml:space="preserve">A continuation of the Portal Builder Automation from 2019, this body of work focused on adding the following components: </t>
    </r>
    <r>
      <rPr>
        <b/>
      </rPr>
      <t>user activity progress tracking</t>
    </r>
    <r>
      <t xml:space="preserve">, support for admins to </t>
    </r>
    <r>
      <rPr>
        <b/>
      </rPr>
      <t>create Drupal webforms in draft while drafting touchpoints</t>
    </r>
    <r>
      <t xml:space="preserve">, an integrated </t>
    </r>
    <r>
      <rPr>
        <b/>
      </rPr>
      <t>user activation and password management</t>
    </r>
    <r>
      <t xml:space="preserve"> process, and improvements to the </t>
    </r>
    <r>
      <rPr>
        <b/>
      </rPr>
      <t>useability of existing annotation</t>
    </r>
    <r>
      <t xml:space="preserve"> and </t>
    </r>
    <r>
      <rPr>
        <b/>
      </rPr>
      <t>touchpoint reporting tools</t>
    </r>
    <r>
      <t xml:space="preserve"> (i.e. webform analysis capabilities)</t>
    </r>
    <r>
      <rPr>
        <b/>
      </rPr>
      <t xml:space="preserve"> </t>
    </r>
    <r>
      <t>for admins and end-user clients. While small pieces of some of these functionalities existed, none of this functionality was available in full through the Drupal community, so custom development was required. 
... @trevor, could you provide some exmples in the drupal community which provided a start point, but were limited, so we can reference those in the uncertainties section?
One module that we looked at was</t>
    </r>
    <r>
      <rPr>
        <color rgb="FF000000"/>
      </rPr>
      <t xml:space="preserve"> </t>
    </r>
    <r>
      <rPr>
        <color rgb="FF1155CC"/>
        <u/>
      </rPr>
      <t>https://www.drupal.org/project/form_builder.</t>
    </r>
    <r>
      <t xml:space="preserve"> Some of the features are nice be we couldn't integrate it into our Portal Builder since it's
designed to be used on a stand-alone basis. We created so thing like a form builder within the Portal Builder.</t>
    </r>
  </si>
  <si>
    <t>We didn't integrate any libraries during this project in 2020.
@trevor, would you consider this devlopment effort actually the creation of your own custom library, based on the limited set you started with?
Yes, I think we could classify this as creating our own custom libraries/modules. Nothing else like this currently exists.
This functionality uses/extends most of the features that we've developed over the past few years.
We used a few libraries when building some of the features:
- qTip2 (https://github.com/qTip2/qTip2): Email help information
- PhpSpreadsheet (https://github.com/PHPOffice/PhpSpreadsheet: Activity reports</t>
  </si>
  <si>
    <t>portal-builder-SRED</t>
  </si>
  <si>
    <t>InSite Mapping™ Gameification Tool</t>
  </si>
  <si>
    <r>
      <t xml:space="preserve">A continuation of the Sails and Anchors gamification tool developed in 2019, this body of work focused on abstracting the </t>
    </r>
    <r>
      <rPr>
        <b/>
      </rPr>
      <t xml:space="preserve">backdrop canvas (treasure map) and plotting tools (sails and anchors) </t>
    </r>
    <r>
      <t>for any type of plotting/mapping activity. This required building a custom admin form for the tool that allowed for complete customization of the canvap backdrop, mapping icons, label text/descriptors, etc. As no other library or module existed, Impetus needed to custom develop this functionality. ... @trevor, ... how would backdrop canvas and plotting tools normally be used, and why were they limited in this case? We can build an arguement around these points as the uncertainties.
I can't seem to find any comparable tools. You could say that this tool was built on the jQuery Draggable and Droppable libraries. The ability to drag and drop items is a key part of this feature.</t>
    </r>
  </si>
  <si>
    <t xml:space="preserve">We didn't integrate any libraries during this project.
@trevor, would you consider this devlopment effort actually the creation of your own custom library, based on the limited set you started with?
Yes, I would consider this our own custom library/module. There isn't anything else like it that can be integrated with Drupal and our set of custom tools.
We did use the following JavaScript libraries:
- jQuery draggable (https://jqueryui.com/draggable/)
- jQuery droppable (https://jqueryui.com/droppable/)
- qTip2 (https://github.com/qTip2/qTip2)
These libraries when used to set up the original feature that the Gamification Tool is based off of. We didn't make any changes to the way we use them during this project. </t>
  </si>
  <si>
    <t>insite-mapping-SRED</t>
  </si>
  <si>
    <t>Project Overview</t>
  </si>
  <si>
    <t>Jira Label</t>
  </si>
  <si>
    <t>Time Frame</t>
  </si>
  <si>
    <r>
      <t xml:space="preserve">Estimated Total Hours
</t>
    </r>
    <r>
      <rPr>
        <i/>
        <color rgb="FFEFEFEF"/>
      </rPr>
      <t>Does not include meeting time</t>
    </r>
  </si>
  <si>
    <r>
      <t xml:space="preserve">Technical Uncertainty
</t>
    </r>
    <r>
      <rPr>
        <i/>
        <color rgb="FFEFEFEF"/>
      </rPr>
      <t>Why we needed to develop our own solution, i.e. nothing else on the market or no open-source tools could be directly used</t>
    </r>
  </si>
  <si>
    <r>
      <t xml:space="preserve">Work / Knowledge Advancement
</t>
    </r>
    <r>
      <rPr>
        <i/>
        <color rgb="FFEFEFEF"/>
      </rPr>
      <t>List of libraries we integrated, how we further developed them, and how this solution could be packaged and contributed or resold</t>
    </r>
  </si>
  <si>
    <t>Estimated Credits Received</t>
  </si>
  <si>
    <t>Feedback from Kevin</t>
  </si>
  <si>
    <t>Internationization for our Client Portals</t>
  </si>
  <si>
    <t>Although Drupal has some translation modules available, none were able to meet our needs. We developed custom functionality for our advisory board portals to automatically display the user interface and program-specific text in an advisor's preferred language for both Quebec-based and international clients.</t>
  </si>
  <si>
    <t>May-Nov 2018</t>
  </si>
  <si>
    <t>- Some internationalization modules are available. We needed to spend the necessary time integrating them with our proprietary code.</t>
  </si>
  <si>
    <t>- i18n (https://www.drupal.org/project/i18n)
  - used for field and block-level internationalization</t>
  </si>
  <si>
    <t>Transcript Summary and Metrics Export Tool for Clients</t>
  </si>
  <si>
    <t>Improvements to our integrated automated metrics tools and KOL insight collation and analysis processes for discussion forum, questionnaire, and web meeting advisory board modalities. These improvements both increase our internal efficiency and reduce the speed to insights (i.e. turnaround) for our clients.</t>
  </si>
  <si>
    <t>Jan-Dec 2018</t>
  </si>
  <si>
    <t>- A Touchpoint is a concept that is unique to Impetus. We needed to develop custom reporting tools based on this.</t>
  </si>
  <si>
    <t>- qTip2 (http://qtip2.com/)
  - used to display data in some report tools
- PHPWord (https://github.com/PHPOffice/PHPWord)
  - used to generate Transcript Reports</t>
  </si>
  <si>
    <t>Site Spin-Up Automation</t>
  </si>
  <si>
    <t>We needed a way for our digital team to initiate the creation of a new portal site for our clients' advisory boards. Existing options were far too expensive for the same functionality. The key consideration was security; because of the tight data policies pharmaseutical companies have, each portal needed to be physically and logically separated. This required a custom container-image based functionality and required customized workflows for feature/patch deployments and new portal spin-ups.</t>
  </si>
  <si>
    <t>May-Dec 2018</t>
  </si>
  <si>
    <t>- Pantheon offers a similar system, but issues with their pricing, service quality, and inability to sign a HIPAA agreement have forced us to work on our own platform hosting and deployment management solution.</t>
  </si>
  <si>
    <t>- Kubernetes
- Jenkins
- Linux VMs</t>
  </si>
  <si>
    <t>Automatic Touchpoint and Recruitment Builder</t>
  </si>
  <si>
    <t>New creation forms that both our digital team and our more advanced clients can use to quickly build online advisory board touchpoints. Consists of a way to build a series of pages/nodes using pre-defined base templates, automatic activity tracking integration, automatic page sequencing, draft functionality, automatic permission setting, automatic opt-in and service agreement form generation, and more.</t>
  </si>
  <si>
    <t>Feb-Sep 2018</t>
  </si>
  <si>
    <t>- Nothing existed that would allow us to easily generate Touchpoints, Service Agreements, and Opt-in forms in a user-friendly way</t>
  </si>
  <si>
    <t>- jstree (https://www.jstree.com/)
  - used to create the menu section in the Touchpoint Builder</t>
  </si>
  <si>
    <t>Improvements to Client Notification System</t>
  </si>
  <si>
    <t>Improvements to our discussion forum notification system and our integrated adverse event reporting system. Helps clients make their advisory boards more engaging and helps them adhere to new healthcare/pharma compliance laws.</t>
  </si>
  <si>
    <t>- Nothing else could aggregate and customize comment notifications in the way we needed.</t>
  </si>
  <si>
    <t>Interactive Group Discussion Forums</t>
  </si>
  <si>
    <t>We needed to improve the vanilla discussion forum system that comes with Drupal so our clients see more engagement amongst their advisors. We added new comment flags, highly customized email reminders, ability to track user enagement metrics across a series of touchpoints, "forced-reply" functionality, which allows clients to require their advisors to reply to others' comments before moving onto the next activity in their advisory board touchpoint, and more.</t>
  </si>
  <si>
    <t>- No other solutions could be used to provide the discussion forum customizations that we needed.</t>
  </si>
  <si>
    <t>- Google Analytics Event Tracking (https://developers.google.com/analytics/devguides/collection/analyticsjs/events)
  - used to track file widget views and downloads</t>
  </si>
  <si>
    <t>Integrated Web Meetings</t>
  </si>
  <si>
    <t>To provide a seemless experience for our clients and their advisors, and to enable us to develop client-requested features for the in-meeting experience, we needed to develop a web meeting solution embedded into our platform. Extended BigBlueButton open-source project for our Drupal portals with customizations for user and group-based permissions, automatic calendar events that are routed to the right meeting page, and a way to incorporate web meeting managment and access from within the advisory board touchpoint page context (which reduces the overall amount of coordination and support required).</t>
  </si>
  <si>
    <t>- No Drupal modules existed that could integrate BigBlueButton or any other web meeting solution into our portal sites in the way that we require.</t>
  </si>
  <si>
    <t>- BigBlueButton API for PHP (https://github.com/bigbluebutton/bigbluebutton-api-php)
  - used to manage web meetings from our portals</t>
  </si>
  <si>
    <t>Issue Key</t>
  </si>
  <si>
    <t>Issue summary</t>
  </si>
  <si>
    <t>Hours</t>
  </si>
  <si>
    <t>Work date</t>
  </si>
  <si>
    <t>Username</t>
  </si>
  <si>
    <t>Epic</t>
  </si>
  <si>
    <t>Epic Link</t>
  </si>
  <si>
    <t>Reporter</t>
  </si>
  <si>
    <t>PD-1565</t>
  </si>
  <si>
    <t>Create 2017 archive site for Novo Nordisk</t>
  </si>
  <si>
    <t>mcorrigan</t>
  </si>
  <si>
    <t>dwells</t>
  </si>
  <si>
    <t>PD-1398</t>
  </si>
  <si>
    <t>Read mail</t>
  </si>
  <si>
    <t>tcoehoorn</t>
  </si>
  <si>
    <t>PD-1399</t>
  </si>
  <si>
    <t>Update worklog</t>
  </si>
  <si>
    <t>PD-1400</t>
  </si>
  <si>
    <t>Daily planning</t>
  </si>
  <si>
    <t>PD-1564</t>
  </si>
  <si>
    <t>Add comment attachment info to touchpoint stats widget</t>
  </si>
  <si>
    <t>Discussion Forums</t>
  </si>
  <si>
    <t>markdc8</t>
  </si>
  <si>
    <t>PD-1464</t>
  </si>
  <si>
    <t>As a DSS I can automatically get total and average word count per advisor per Touchpoint</t>
  </si>
  <si>
    <t>Users &amp; Groups</t>
  </si>
  <si>
    <t>acopeland</t>
  </si>
  <si>
    <t>PD-1513</t>
  </si>
  <si>
    <t>Correct insecure cache management policy</t>
  </si>
  <si>
    <t>Security &amp; Performance</t>
  </si>
  <si>
    <t>IOP-850</t>
  </si>
  <si>
    <t>Hooked book discussion</t>
  </si>
  <si>
    <t>PD-1502</t>
  </si>
  <si>
    <t>Consolidate daily discussion forum notification emails</t>
  </si>
  <si>
    <t>Email</t>
  </si>
  <si>
    <t>PD-1554</t>
  </si>
  <si>
    <t>Add number of comments and likes to touchpoint report</t>
  </si>
  <si>
    <t>PD-1595</t>
  </si>
  <si>
    <t>Save and edit touchpoints via the Touchpoint Activity Builder</t>
  </si>
  <si>
    <t>S2 (Self-Service Platform)</t>
  </si>
  <si>
    <t>PD-1556</t>
  </si>
  <si>
    <t>Test touchpoint word count calculation</t>
  </si>
  <si>
    <t>PD-1640</t>
  </si>
  <si>
    <t>Allow client admins to create users</t>
  </si>
  <si>
    <t>PD-1521</t>
  </si>
  <si>
    <t>Improve the performance of the activity tracker</t>
  </si>
  <si>
    <t>Activity Tracking</t>
  </si>
  <si>
    <t>PD-1507</t>
  </si>
  <si>
    <t>Modify our adverse event notifications to be word-specific</t>
  </si>
  <si>
    <t>bwong</t>
  </si>
  <si>
    <t>IOP-866</t>
  </si>
  <si>
    <t>Morning Review / Prioritization</t>
  </si>
  <si>
    <t>prioritization</t>
  </si>
  <si>
    <t>addon_com.codebarrel.addons.automation</t>
  </si>
  <si>
    <t>PD-1480</t>
  </si>
  <si>
    <t>Remove the restriction on the number of nested comment replies</t>
  </si>
  <si>
    <t>IOP-875</t>
  </si>
  <si>
    <t>Ad hoc team Support</t>
  </si>
  <si>
    <t>standards</t>
  </si>
  <si>
    <t>PD-1512</t>
  </si>
  <si>
    <t>Correct incorrectly formatted Surrogate-Key-Raw header issue</t>
  </si>
  <si>
    <t>PD-1641</t>
  </si>
  <si>
    <t>Allow client admins to edit users</t>
  </si>
  <si>
    <t>PD-1490</t>
  </si>
  <si>
    <t>Add completion percentages to activity tracker column headers</t>
  </si>
  <si>
    <t>lperfetto</t>
  </si>
  <si>
    <t>IOP-537</t>
  </si>
  <si>
    <t>Operations Sprint Review Meetings</t>
  </si>
  <si>
    <t>IOP-855</t>
  </si>
  <si>
    <t>Please temporarily sandbox Roche portal as nothing is currently live but hoping to have projects in future</t>
  </si>
  <si>
    <t>bmuise</t>
  </si>
  <si>
    <t>PD-1395</t>
  </si>
  <si>
    <t>Remove css from the text versions of our emails</t>
  </si>
  <si>
    <t>PD-1571</t>
  </si>
  <si>
    <t>Investigate scope and requirements for the Touchpoint Builder</t>
  </si>
  <si>
    <t>jsmith3</t>
  </si>
  <si>
    <t>IOP-867</t>
  </si>
  <si>
    <t>Reviewing/Answering Impetus Internal Emails</t>
  </si>
  <si>
    <t>PD-1581</t>
  </si>
  <si>
    <t>Investigate New Relic alerts</t>
  </si>
  <si>
    <t>PD-1572</t>
  </si>
  <si>
    <t>Review the requirements for the Project Management Automation project</t>
  </si>
  <si>
    <t>PD-1642</t>
  </si>
  <si>
    <t>All client admins to delete users</t>
  </si>
  <si>
    <t>PD-1576</t>
  </si>
  <si>
    <t>Error occurring when updating local development sites</t>
  </si>
  <si>
    <t>PD-1563</t>
  </si>
  <si>
    <t>Test webform submission actions</t>
  </si>
  <si>
    <t>IOP-879</t>
  </si>
  <si>
    <t>Full PODs with Trevor</t>
  </si>
  <si>
    <t>internal-meetings</t>
  </si>
  <si>
    <t>PD-1440</t>
  </si>
  <si>
    <t>Sprint planning</t>
  </si>
  <si>
    <t>IOP-853</t>
  </si>
  <si>
    <t>Please temporarily sandbox Novartis portal as nothing is currently live but hoping to have projects in next month or so.</t>
  </si>
  <si>
    <t>PD-1573</t>
  </si>
  <si>
    <t>Display cookie notification on portal sites with EU advisors</t>
  </si>
  <si>
    <t>User Interface</t>
  </si>
  <si>
    <t>PD-1540</t>
  </si>
  <si>
    <t>Hide the Total submissions limit webform setting</t>
  </si>
  <si>
    <t>Webforms</t>
  </si>
  <si>
    <t>PD-1549</t>
  </si>
  <si>
    <t>Set up a more reliable site permission rebuild process</t>
  </si>
  <si>
    <t>PD-1582</t>
  </si>
  <si>
    <t>Create 2018 large project timeline</t>
  </si>
  <si>
    <t>PD-1364</t>
  </si>
  <si>
    <t>Add user to a group when a webform is submitted</t>
  </si>
  <si>
    <t>PD-1570</t>
  </si>
  <si>
    <t>Investigate if we can use Adobe Sign or DocuSign for our service agreements</t>
  </si>
  <si>
    <t>nyeadon</t>
  </si>
  <si>
    <t>PD-1543</t>
  </si>
  <si>
    <t>Copy node comment settings when pages are cloned</t>
  </si>
  <si>
    <t>PD-1583</t>
  </si>
  <si>
    <t>Upgrade Open Atrium to version 2.625</t>
  </si>
  <si>
    <t>PD-1503</t>
  </si>
  <si>
    <t>Investigate how users are effected when permissions are rebuilt</t>
  </si>
  <si>
    <t>PD-1643</t>
  </si>
  <si>
    <t>Dynamically update activity information on the client dashboard</t>
  </si>
  <si>
    <t>PD-1650</t>
  </si>
  <si>
    <t>Migrate from Pantheon to Google Cloud Platform</t>
  </si>
  <si>
    <t>Google Cloud Migration</t>
  </si>
  <si>
    <t>IOP-42</t>
  </si>
  <si>
    <t>Reviewing emails, prioritizing tasks, scheduling, delegating, organizing</t>
  </si>
  <si>
    <t>sysadmin</t>
  </si>
  <si>
    <t>IOP-214</t>
  </si>
  <si>
    <t>Status with Bernie</t>
  </si>
  <si>
    <t>IOP-41</t>
  </si>
  <si>
    <t>Tempo Worklog Updates</t>
  </si>
  <si>
    <t>PD-1524</t>
  </si>
  <si>
    <t>Create automated test cases for pdf annotation</t>
  </si>
  <si>
    <t>PD-1525</t>
  </si>
  <si>
    <t>Allow users to create area annotations</t>
  </si>
  <si>
    <t>PD-1461</t>
  </si>
  <si>
    <t>Allow users to download a pdf that contains annotations</t>
  </si>
  <si>
    <t>PD-1528</t>
  </si>
  <si>
    <t>The comments in daily notification emails are not being aggregated</t>
  </si>
  <si>
    <t>PD-1537</t>
  </si>
  <si>
    <t>Upgrade Open Atrium to version 2.622</t>
  </si>
  <si>
    <t>PD-1327</t>
  </si>
  <si>
    <t>[Monthly] SendGrid Email Deliverability Monitoring</t>
  </si>
  <si>
    <t>PD-1536</t>
  </si>
  <si>
    <t>Investigate access problem on Novo Nordisk portal</t>
  </si>
  <si>
    <t>IOP-781</t>
  </si>
  <si>
    <t>Display AM vs DSS time breakdown in the Account Split spreadsheet</t>
  </si>
  <si>
    <t>PD-1538</t>
  </si>
  <si>
    <t>Set version of junit-merge to 1.2.1 in Circle CI build</t>
  </si>
  <si>
    <t>Automated Testing</t>
  </si>
  <si>
    <t>PD-1534</t>
  </si>
  <si>
    <t>Test menu performance optimization</t>
  </si>
  <si>
    <t>IOP-22</t>
  </si>
  <si>
    <t>Status with Natalie</t>
  </si>
  <si>
    <t>PD-1523</t>
  </si>
  <si>
    <t>Test the new pdf annotation tool</t>
  </si>
  <si>
    <t>PD-1511</t>
  </si>
  <si>
    <t>Install security update for the autologout module</t>
  </si>
  <si>
    <t>PD-1539</t>
  </si>
  <si>
    <t>Round numbers in webform reports to 1 decimal point</t>
  </si>
  <si>
    <t>IOP-490</t>
  </si>
  <si>
    <t>Platform deployments</t>
  </si>
  <si>
    <t>PD-1054</t>
  </si>
  <si>
    <t>Major performance issues on new platform</t>
  </si>
  <si>
    <t>PD-1460</t>
  </si>
  <si>
    <t>Allow users to reply to annotations</t>
  </si>
  <si>
    <t>PD-1397</t>
  </si>
  <si>
    <t>Send text message reminders from portal sites</t>
  </si>
  <si>
    <t>IOP-706</t>
  </si>
  <si>
    <t>Add time consuming task column(s) to the Account Split spreadsheet</t>
  </si>
  <si>
    <t>IOP-Account Split</t>
  </si>
  <si>
    <t>IOP-821</t>
  </si>
  <si>
    <t>Update credit card details with all core suppliers/ vendors</t>
  </si>
  <si>
    <t>PD-1458</t>
  </si>
  <si>
    <t>Upload pdf and display pdf viewer popup</t>
  </si>
  <si>
    <t>PD-1264</t>
  </si>
  <si>
    <t>Replace annotation widget API</t>
  </si>
  <si>
    <t>Document Annotation</t>
  </si>
  <si>
    <t>PD-1167</t>
  </si>
  <si>
    <t>Security Audit Preparation</t>
  </si>
  <si>
    <t>PD-1323</t>
  </si>
  <si>
    <t>Create touchpoint statistics report</t>
  </si>
  <si>
    <t>PD-1393</t>
  </si>
  <si>
    <t>Set up slide selector webform component</t>
  </si>
  <si>
    <t>Slide Selector</t>
  </si>
  <si>
    <t>PD-1468</t>
  </si>
  <si>
    <t>Remove exclude words limit from the wordcloud generator</t>
  </si>
  <si>
    <t>PD-1530</t>
  </si>
  <si>
    <t>Reduce the S3 file size upload threshold</t>
  </si>
  <si>
    <t>Files &amp; Folders</t>
  </si>
  <si>
    <t>PD-1500</t>
  </si>
  <si>
    <t>View email open percentages for similar emails</t>
  </si>
  <si>
    <t>PD-1547</t>
  </si>
  <si>
    <t>Investigate the process of adding users to our portal sites</t>
  </si>
  <si>
    <t>IOP-834</t>
  </si>
  <si>
    <t>Sandbox portals on HOLD</t>
  </si>
  <si>
    <t>PD-1505</t>
  </si>
  <si>
    <t>Issues accessing sandboxed sites via 'live-client.pantheonsite.io' links</t>
  </si>
  <si>
    <t>PD-1548</t>
  </si>
  <si>
    <t>User is unable to view a file widget on the Novo Nordisk portal</t>
  </si>
  <si>
    <t>IOP-40</t>
  </si>
  <si>
    <t>Meeting Prep and Follow-Ups</t>
  </si>
  <si>
    <t>IOP-838</t>
  </si>
  <si>
    <t>Reminder to extract project details for Project Cases Database</t>
  </si>
  <si>
    <t>IOP-6</t>
  </si>
  <si>
    <t>Internal Technical Support</t>
  </si>
  <si>
    <t>PD-1506</t>
  </si>
  <si>
    <t>Hide the Mobile Number user profile field from end users</t>
  </si>
  <si>
    <t>PD-1522</t>
  </si>
  <si>
    <t>PD-1553</t>
  </si>
  <si>
    <t>Investigate using group data in webform fields</t>
  </si>
  <si>
    <t>IOP-837</t>
  </si>
  <si>
    <t>Teva</t>
  </si>
  <si>
    <t>PD-1555</t>
  </si>
  <si>
    <t>Simplify password reset page on Novo Nordisk portal</t>
  </si>
  <si>
    <t>IOP-840</t>
  </si>
  <si>
    <t>Eli Lilly</t>
  </si>
  <si>
    <t>IOP-844</t>
  </si>
  <si>
    <t>Client Setup - LifeLabs</t>
  </si>
  <si>
    <t>PD-1644</t>
  </si>
  <si>
    <t>Dynamically update the user data displayed on the client dashboard</t>
  </si>
  <si>
    <t>IOP-848</t>
  </si>
  <si>
    <t>Amgen Switzerland brainstorming session</t>
  </si>
  <si>
    <t>IOP-663</t>
  </si>
  <si>
    <t>Confluence Content Creation &amp; Configuration</t>
  </si>
  <si>
    <t>PD-1557</t>
  </si>
  <si>
    <t>PD-1645</t>
  </si>
  <si>
    <t>Dynamically update the completion statuses on the Touchpoint Participant page</t>
  </si>
  <si>
    <t>PD-1646</t>
  </si>
  <si>
    <t>Update the last access info on the Touchpoint Participant page</t>
  </si>
  <si>
    <t>PD-1651</t>
  </si>
  <si>
    <t>CD: Allow developers to create sandbox sites (to simulate testing on a production environment)</t>
  </si>
  <si>
    <t>PD-1590</t>
  </si>
  <si>
    <t>Migrate to CircleCI 2.0</t>
  </si>
  <si>
    <t>PD-1694</t>
  </si>
  <si>
    <t>The discussion forum sort order is not being applied correctly in some cases</t>
  </si>
  <si>
    <t>IV2-8</t>
  </si>
  <si>
    <t>Allow users to define sections in the Touchpoint Builder</t>
  </si>
  <si>
    <t>V2 (Functionality Improvements)</t>
  </si>
  <si>
    <t>PD-1648</t>
  </si>
  <si>
    <t>Prevent touchpoint participants from viewing admin pages</t>
  </si>
  <si>
    <t>PD-1652</t>
  </si>
  <si>
    <t>CD: Require changes to be set up in a test environment</t>
  </si>
  <si>
    <t>PD-1647</t>
  </si>
  <si>
    <t>Advisors can choose the same rating on a Ranking Question on Webforms</t>
  </si>
  <si>
    <t>PD-1653</t>
  </si>
  <si>
    <t>Create automatic daily backups</t>
  </si>
  <si>
    <t>PD-1654</t>
  </si>
  <si>
    <t>CD: Set up a way to deploy code changes to all sites</t>
  </si>
  <si>
    <t>PD-1655</t>
  </si>
  <si>
    <t>CD: Set up a way to deploy unique changes to individual sites</t>
  </si>
  <si>
    <t>PD-1656</t>
  </si>
  <si>
    <t>Investigate best engine type to use for our Google Cloud infrastructure</t>
  </si>
  <si>
    <t>IV2-27</t>
  </si>
  <si>
    <t>Incorporate custom css into widgets</t>
  </si>
  <si>
    <t>PD-1638</t>
  </si>
  <si>
    <t>Token for site logo path</t>
  </si>
  <si>
    <t>PD-1601</t>
  </si>
  <si>
    <t>Amgen North East Europe - Add verbiage and unsubscribe option to automatic comment/reply notification emails</t>
  </si>
  <si>
    <t>IV2-4</t>
  </si>
  <si>
    <t>V2 Functionality Improvements</t>
  </si>
  <si>
    <t>PD-1632</t>
  </si>
  <si>
    <t>Add summary reports icon to nav</t>
  </si>
  <si>
    <t>PD-1693</t>
  </si>
  <si>
    <t>Single line discussion forum links are not converted correctly</t>
  </si>
  <si>
    <t>PD-1587</t>
  </si>
  <si>
    <t>PD-1604</t>
  </si>
  <si>
    <t>S3 status review meetings</t>
  </si>
  <si>
    <t>PD-1659</t>
  </si>
  <si>
    <t>Allow administrators to make configuration changes to all Google Cloud instances</t>
  </si>
  <si>
    <t>PD-1636</t>
  </si>
  <si>
    <t>Emoji characters result in database errors, site throwing 500 error right now</t>
  </si>
  <si>
    <t>PD-1658</t>
  </si>
  <si>
    <t>Trigger Drupal cron jobs on Google Cloud portals</t>
  </si>
  <si>
    <t>IV2-21</t>
  </si>
  <si>
    <t>Touchpoint Builder - adding a warning message to the "parent menu item" if not selected</t>
  </si>
  <si>
    <t>PD-1680</t>
  </si>
  <si>
    <t>Allow advisors to attach large videos to discussion forum comments</t>
  </si>
  <si>
    <t>PD-1696</t>
  </si>
  <si>
    <t>Please investigate: Webform rule only working some of the time</t>
  </si>
  <si>
    <t>IV2-22</t>
  </si>
  <si>
    <t>Create V2 documentation</t>
  </si>
  <si>
    <t>PD-1625</t>
  </si>
  <si>
    <t>Update New Relic alerts for older portal sites</t>
  </si>
  <si>
    <t>PD-1657</t>
  </si>
  <si>
    <t>Install Demo Tour module for guided tour of TP questions and admin pages</t>
  </si>
  <si>
    <t>IV2-16</t>
  </si>
  <si>
    <t>Create Webform page using minimal user input using Touchpoint builder</t>
  </si>
  <si>
    <t>PD-1681</t>
  </si>
  <si>
    <t>Create email contact opt-in popup</t>
  </si>
  <si>
    <t>PD-1420</t>
  </si>
  <si>
    <t>What is my browser api usage seems higher than it should be</t>
  </si>
  <si>
    <t>Support</t>
  </si>
  <si>
    <t>PD-1679</t>
  </si>
  <si>
    <t>Investigate cost of switching from Pantheon to Google Cloud Platform</t>
  </si>
  <si>
    <t>PD-1660</t>
  </si>
  <si>
    <t>CD: Set up a Google Cloud environment that can be used to test S2 changes</t>
  </si>
  <si>
    <t>IV2-23</t>
  </si>
  <si>
    <t>Add rating components to webforms using the Touchpoint Builder</t>
  </si>
  <si>
    <t>PD-1682</t>
  </si>
  <si>
    <t>Internationalize touchpoints</t>
  </si>
  <si>
    <t>PD-1612</t>
  </si>
  <si>
    <t>Display the number of unseen comments in the og menu</t>
  </si>
  <si>
    <t>PD-1584</t>
  </si>
  <si>
    <t>[Urgent] Cannot view scheduled emails in Novo portal</t>
  </si>
  <si>
    <t>IV2-24</t>
  </si>
  <si>
    <t>Add ranking components to webforms using the Touchpoint Builder</t>
  </si>
  <si>
    <t>PD-1473</t>
  </si>
  <si>
    <t>Customize the timezone in discussion forums</t>
  </si>
  <si>
    <t>IV2-17</t>
  </si>
  <si>
    <t>Generate opt-in form</t>
  </si>
  <si>
    <t>IV2-25</t>
  </si>
  <si>
    <t>Add select components to webforms using the Touchpoint Builder</t>
  </si>
  <si>
    <t>IV2-28</t>
  </si>
  <si>
    <t>Automatically generate an activity tracker page when touchpoints are created</t>
  </si>
  <si>
    <t>PD-1678</t>
  </si>
  <si>
    <t>Remove the custom permissions module from our portal sites</t>
  </si>
  <si>
    <t>IV2-18</t>
  </si>
  <si>
    <t>Generate banking activity tracker</t>
  </si>
  <si>
    <t>IV2-19</t>
  </si>
  <si>
    <t>Html email formatting does not always work correctly in the ckeditor</t>
  </si>
  <si>
    <t>IV2-20</t>
  </si>
  <si>
    <t>Warn users before they delete form components that are being used by an activity tracker</t>
  </si>
  <si>
    <t>PD-1273</t>
  </si>
  <si>
    <t>As an advisor or client I can reply to a comment in-line instead of it opening in a new disjointed window (Facebook style, see attached mockup)</t>
  </si>
  <si>
    <t>IV2-10</t>
  </si>
  <si>
    <t>Batch user import will not accept french characters</t>
  </si>
  <si>
    <t>IV2-9</t>
  </si>
  <si>
    <t>Generate touchpoint reports</t>
  </si>
  <si>
    <t>IV2-11</t>
  </si>
  <si>
    <t>Disable browser notification in webforms by default</t>
  </si>
  <si>
    <t>IV2-5</t>
  </si>
  <si>
    <t>Table styles don't apply properly in text panels</t>
  </si>
  <si>
    <t>PD-1613</t>
  </si>
  <si>
    <t>Display the total number of comments on discussion forum pages</t>
  </si>
  <si>
    <t>IV2-6</t>
  </si>
  <si>
    <t>Layout boxes are not visible until after another webform component is added</t>
  </si>
  <si>
    <t>PD-1343</t>
  </si>
  <si>
    <t>Investigate security status of our portal sites</t>
  </si>
  <si>
    <t>IV2-7</t>
  </si>
  <si>
    <t>Reordering webform components can be difficult in large webforms</t>
  </si>
  <si>
    <t>IV2-12</t>
  </si>
  <si>
    <t>Integrate Zoom into our portals</t>
  </si>
  <si>
    <t>IOP-23</t>
  </si>
  <si>
    <t>Status with Janice</t>
  </si>
  <si>
    <t>IV2-13</t>
  </si>
  <si>
    <t>Improve the styling and usability of the Touchpoint Builder</t>
  </si>
  <si>
    <t>PD-1695</t>
  </si>
  <si>
    <t>CD: New portal creation</t>
  </si>
  <si>
    <t>IV2-14</t>
  </si>
  <si>
    <t>Move comment settings from node edit page to widget configuration</t>
  </si>
  <si>
    <t>PD-1691</t>
  </si>
  <si>
    <t>Investigate New Relic Apdex settings</t>
  </si>
  <si>
    <t>IV2-15</t>
  </si>
  <si>
    <t>Create a way to automatically set up a debate on a portal</t>
  </si>
  <si>
    <t>PD-1662</t>
  </si>
  <si>
    <t>Only display the "download pdf" for webform submissions if pdf downloads have been configured</t>
  </si>
  <si>
    <t>PD-1663</t>
  </si>
  <si>
    <t>Users can submit blank entries for rating components</t>
  </si>
  <si>
    <t>PD-1639</t>
  </si>
  <si>
    <t>Update Tree</t>
  </si>
  <si>
    <t>IOP-917</t>
  </si>
  <si>
    <t>Astellas</t>
  </si>
  <si>
    <t>PD-1635</t>
  </si>
  <si>
    <t>Display #cboxOverlay when touchpoint builder "Finish" button has been clicked</t>
  </si>
  <si>
    <t>PD-1637</t>
  </si>
  <si>
    <t>Update the database character set to support emojis</t>
  </si>
  <si>
    <t>IOP-934</t>
  </si>
  <si>
    <t>Unsandbox Novartis Portal</t>
  </si>
  <si>
    <t>PD-1697</t>
  </si>
  <si>
    <t>Make it easier for advisors to see the next part of a webform after selecting an avatar</t>
  </si>
  <si>
    <t>IV2-29</t>
  </si>
  <si>
    <t>Touchpoint progress bar</t>
  </si>
  <si>
    <t>V2 (New Features)</t>
  </si>
  <si>
    <t>PD-1326</t>
  </si>
  <si>
    <t>Correct SendGrid Event data filtering</t>
  </si>
  <si>
    <t>PD-1661</t>
  </si>
  <si>
    <t>Panels are not being applied to pages on the Sanofi site</t>
  </si>
  <si>
    <t>PD-1699</t>
  </si>
  <si>
    <t>Unable to update activity tracker manual status column</t>
  </si>
  <si>
    <t>PD-1588</t>
  </si>
  <si>
    <t>Create Discussion Forum page using minimal user input</t>
  </si>
  <si>
    <t>PD-1580</t>
  </si>
  <si>
    <t>Test comment notification aggregation</t>
  </si>
  <si>
    <t>PD-1586</t>
  </si>
  <si>
    <t>Test Amazon S3 file upload minimum size change</t>
  </si>
  <si>
    <t>PD-1596</t>
  </si>
  <si>
    <t>The testing builds are continuously failing</t>
  </si>
  <si>
    <t>PD-1597</t>
  </si>
  <si>
    <t>Add content pages using the Touchpoint Activity Builder</t>
  </si>
  <si>
    <t>PD-1598</t>
  </si>
  <si>
    <t>Add polling/voting activities using the Touchpoint Activity Builder</t>
  </si>
  <si>
    <t>PD-1599</t>
  </si>
  <si>
    <t>Add activity previews to the Touchpoint Activity Builder</t>
  </si>
  <si>
    <t>PD-1600</t>
  </si>
  <si>
    <t>Automatically save Touchpoints that are built using the Touchpoint Activity Builder</t>
  </si>
  <si>
    <t>PD-1562</t>
  </si>
  <si>
    <t>PD-1577</t>
  </si>
  <si>
    <t>Test word specific adverse event notifications</t>
  </si>
  <si>
    <t>PD-1585</t>
  </si>
  <si>
    <t>PD-1592</t>
  </si>
  <si>
    <t>Test the Touchpoint Builder</t>
  </si>
  <si>
    <t>PD-1469</t>
  </si>
  <si>
    <t>Importing an email that has been added to a category causes error</t>
  </si>
  <si>
    <t>PD-1443</t>
  </si>
  <si>
    <t>Save webform file uploads to the private file system by default</t>
  </si>
  <si>
    <t>IOP-895</t>
  </si>
  <si>
    <t>Collect ideas for 2018 internal process automations for client projects (Jira, Account Split, etc.)</t>
  </si>
  <si>
    <t>Internal Process Automations</t>
  </si>
  <si>
    <t>IOP-902</t>
  </si>
  <si>
    <t>Spectrum Cannabis</t>
  </si>
  <si>
    <t>PD-1605</t>
  </si>
  <si>
    <t>Use a text panel instead of a markup component for preamble content</t>
  </si>
  <si>
    <t>PD-1606</t>
  </si>
  <si>
    <t>Allow users to configure polling questions to allow multiple options</t>
  </si>
  <si>
    <t>PD-1607</t>
  </si>
  <si>
    <t>Allow users to add files to touchpoint questions</t>
  </si>
  <si>
    <t>PD-1608</t>
  </si>
  <si>
    <t>Allow users to add videos to touchpoint questions</t>
  </si>
  <si>
    <t>IOP-898</t>
  </si>
  <si>
    <t>Celgene Multiple Myeloma Advisory Board</t>
  </si>
  <si>
    <t>PD-1609</t>
  </si>
  <si>
    <t>Upgrade Open Atrium to version 2.6.27</t>
  </si>
  <si>
    <t>PD-1611</t>
  </si>
  <si>
    <t>Multiple bounce notifications sent from Janssen portal</t>
  </si>
  <si>
    <t>PD-1614</t>
  </si>
  <si>
    <t>Make the touchpoint building process more user-friendly</t>
  </si>
  <si>
    <t>IOP-884</t>
  </si>
  <si>
    <t>Vendor Service Support</t>
  </si>
  <si>
    <t>PD-1436</t>
  </si>
  <si>
    <t>Add support for Internet Explorer</t>
  </si>
  <si>
    <t>IOP-910</t>
  </si>
  <si>
    <t>Valeant</t>
  </si>
  <si>
    <t>PD-1615</t>
  </si>
  <si>
    <t>Create S3 demo multi-dev site</t>
  </si>
  <si>
    <t>PD-1616</t>
  </si>
  <si>
    <t>Consolidate welcome and landing page title fields</t>
  </si>
  <si>
    <t>PD-1617</t>
  </si>
  <si>
    <t>Remove the activity title fields</t>
  </si>
  <si>
    <t>PD-1618</t>
  </si>
  <si>
    <t>Create planning form</t>
  </si>
  <si>
    <t>PD-1619</t>
  </si>
  <si>
    <t>Create design form</t>
  </si>
  <si>
    <t>PD-1620</t>
  </si>
  <si>
    <t>Move the menu sidebar to the left side of the page</t>
  </si>
  <si>
    <t>PD-1621</t>
  </si>
  <si>
    <t>Automatically delete pages for old touchpoints when new ones are created</t>
  </si>
  <si>
    <t>IOP-909</t>
  </si>
  <si>
    <t>PTC Therapeutics</t>
  </si>
  <si>
    <t>PD-866</t>
  </si>
  <si>
    <t>Import users and groups</t>
  </si>
  <si>
    <t>PD-1623</t>
  </si>
  <si>
    <t>Include webform submission data in touchpoint comment counts</t>
  </si>
  <si>
    <t>PD-1626</t>
  </si>
  <si>
    <t>Redirect homepage to the dashboard</t>
  </si>
  <si>
    <t>PD-1627</t>
  </si>
  <si>
    <t>Create a token that can be used to display the name of the most recently created touchpoint</t>
  </si>
  <si>
    <t>PD-1649</t>
  </si>
  <si>
    <t>Help pop-ups with heights that go beyond current page length have display issues</t>
  </si>
  <si>
    <t>PD-1628</t>
  </si>
  <si>
    <t>Set up nav bar link to the latest touchpoint welcome page</t>
  </si>
  <si>
    <t>PD-1629</t>
  </si>
  <si>
    <t>Create a touchpoint welcome page url token</t>
  </si>
  <si>
    <t>IOP-880</t>
  </si>
  <si>
    <t>Team Building / Team Offsite Meetings</t>
  </si>
  <si>
    <t>PD-1630</t>
  </si>
  <si>
    <t>Upgrade Open Atrium to version 2.628</t>
  </si>
  <si>
    <t>PD-1631</t>
  </si>
  <si>
    <t>Automatically redirect users to the start page after 2 minutes</t>
  </si>
  <si>
    <t>IOP-915</t>
  </si>
  <si>
    <t>SANDBOX Portal</t>
  </si>
  <si>
    <t>PD-1633</t>
  </si>
  <si>
    <t>Disable the "browser dimensions" popup on the S2 demo site</t>
  </si>
  <si>
    <t>PD-1634</t>
  </si>
  <si>
    <t>Modify S3 help system to work correctly on touchscreens</t>
  </si>
  <si>
    <t>PD-1709</t>
  </si>
  <si>
    <t>Create Dockerfile for images</t>
  </si>
  <si>
    <t>ravicm.in</t>
  </si>
  <si>
    <t>PD-1700</t>
  </si>
  <si>
    <t>Send text messages to international phone numbers</t>
  </si>
  <si>
    <t>PD-1726</t>
  </si>
  <si>
    <t>Prevent IE/Edge from reloading a page when pdf fragment links are clicked</t>
  </si>
  <si>
    <t>IV2-47</t>
  </si>
  <si>
    <t>Force advisors to reply to comments</t>
  </si>
  <si>
    <t>IV2-59</t>
  </si>
  <si>
    <t>Qliq Demo Site</t>
  </si>
  <si>
    <t>V2 (Design)</t>
  </si>
  <si>
    <t>IV2-32</t>
  </si>
  <si>
    <t>As an administrator, I can schedule and modify web meetings</t>
  </si>
  <si>
    <t>Web Meeting Integration</t>
  </si>
  <si>
    <t>emanuel</t>
  </si>
  <si>
    <t>IV2-49</t>
  </si>
  <si>
    <t>Move OG menu to the left side of the page</t>
  </si>
  <si>
    <t>PD-1724</t>
  </si>
  <si>
    <t>Upgrade Open Atrium to version 2.631</t>
  </si>
  <si>
    <t>IV2-60</t>
  </si>
  <si>
    <t>As an agency administrator and an end-user, I only see content pages in the drop-down and mobile fly-out menus</t>
  </si>
  <si>
    <t>IOP-876</t>
  </si>
  <si>
    <t>Implementing New Standards  (POD follow ups on new ideas)</t>
  </si>
  <si>
    <t>IV2-61</t>
  </si>
  <si>
    <t>Simplify menu location selection, activity tracker settings, and confirmation dialogue in TP builder for Qliq sites</t>
  </si>
  <si>
    <t>IV2-63</t>
  </si>
  <si>
    <t>As an agency admin, I can create overview copy for my touchpoint, and have all of my content pages nested under 1 touchpoint landing page</t>
  </si>
  <si>
    <t>PD-1552</t>
  </si>
  <si>
    <t>Investigate setting up a report for the live meeting evaluations on a portal</t>
  </si>
  <si>
    <t>IV2-64</t>
  </si>
  <si>
    <t>Refine 'Editor' role for all portals (will be used by agency admins and Impetus AMs/sales)</t>
  </si>
  <si>
    <t>IV2-31</t>
  </si>
  <si>
    <t>V2 Status Meetings</t>
  </si>
  <si>
    <t>IV2-66</t>
  </si>
  <si>
    <t>As an agency admin, I can access the Qliq training and resource centre from the portal nav</t>
  </si>
  <si>
    <t>IV2-74</t>
  </si>
  <si>
    <t>Add discussion forum title description</t>
  </si>
  <si>
    <t>IV2-73</t>
  </si>
  <si>
    <t>As an agency admin, I can upload files to landing pages, section pages, and discussion pages within the Touchpoint Builder, and have them displayed to advisors via the file thumbnail widget</t>
  </si>
  <si>
    <t>IV2-75</t>
  </si>
  <si>
    <t>Allow menu items to contain html</t>
  </si>
  <si>
    <t>PD-1729</t>
  </si>
  <si>
    <t>Send comment notifications when comments are edited</t>
  </si>
  <si>
    <t>PD-1725</t>
  </si>
  <si>
    <t>User Import Bug(s) to correct as part of Recruitment Builder</t>
  </si>
  <si>
    <t>PD-1701</t>
  </si>
  <si>
    <t>Allow users to skip the user image selection step in webforms if they have already have a user profile image</t>
  </si>
  <si>
    <t>PD-1731</t>
  </si>
  <si>
    <t>Upgrade to PHP 7</t>
  </si>
  <si>
    <t>IOP-941</t>
  </si>
  <si>
    <t>Integra LifeSciences</t>
  </si>
  <si>
    <t>PD-1703</t>
  </si>
  <si>
    <t>Project Management Automation</t>
  </si>
  <si>
    <t>IOP-945</t>
  </si>
  <si>
    <t>IV2-30</t>
  </si>
  <si>
    <t>PD-1705</t>
  </si>
  <si>
    <t>Display comment number total on touchpoint section menu items</t>
  </si>
  <si>
    <t>PD-1363</t>
  </si>
  <si>
    <t>Validate webform digital signatures</t>
  </si>
  <si>
    <t>IOP-951</t>
  </si>
  <si>
    <t>Unsandbox LifeLabs Portal</t>
  </si>
  <si>
    <t>IOP-952</t>
  </si>
  <si>
    <t>Prepare for A&amp;R report workshop at Montreal offsite meetings</t>
  </si>
  <si>
    <t>PD-1706</t>
  </si>
  <si>
    <t>Status of email addresses on the "Do not mail" list always set to "Processed"</t>
  </si>
  <si>
    <t>PD-1707</t>
  </si>
  <si>
    <t>Reduce the amount of text shown on bilingual activity pages</t>
  </si>
  <si>
    <t>IV2-48</t>
  </si>
  <si>
    <t>Add checkmark icon to menu when activity is complete</t>
  </si>
  <si>
    <t>IV2-50</t>
  </si>
  <si>
    <t>Improve our comment reply notification emails</t>
  </si>
  <si>
    <t>IV2-51</t>
  </si>
  <si>
    <t>Create an info popup ckeditor plugin</t>
  </si>
  <si>
    <t>PD-1708</t>
  </si>
  <si>
    <t>Track file views and downloads</t>
  </si>
  <si>
    <t>PD-1717</t>
  </si>
  <si>
    <t>Sandbox sites for feature development purposes</t>
  </si>
  <si>
    <t>PD-1711</t>
  </si>
  <si>
    <t>CD: Kubernetes cluster setup</t>
  </si>
  <si>
    <t>IV2-53</t>
  </si>
  <si>
    <t>Increase the maximum number of activities in activity trackers</t>
  </si>
  <si>
    <t>IV2-54</t>
  </si>
  <si>
    <t>Touchpoint activity added to the wrong section</t>
  </si>
  <si>
    <t>PD-1720</t>
  </si>
  <si>
    <t>Improve file widget thumbnail view load times</t>
  </si>
  <si>
    <t>PD-1710</t>
  </si>
  <si>
    <t>CI: Use Google Cloud Build to build images</t>
  </si>
  <si>
    <t>PD-1722</t>
  </si>
  <si>
    <t>CD: Setup monitoring</t>
  </si>
  <si>
    <t>IV2-55</t>
  </si>
  <si>
    <t>Set up hosting environment in GCP for BigBlueButton</t>
  </si>
  <si>
    <t>IV2-35</t>
  </si>
  <si>
    <t>As an administrator, I can remove participants from a meeting</t>
  </si>
  <si>
    <t>IV2-57</t>
  </si>
  <si>
    <t>Generate client dashboard pages</t>
  </si>
  <si>
    <t>IOP-963</t>
  </si>
  <si>
    <t>Abbvie Portal</t>
  </si>
  <si>
    <t>PD-1723</t>
  </si>
  <si>
    <t>Set up Slack</t>
  </si>
  <si>
    <t>IV2-36</t>
  </si>
  <si>
    <t>As a participant, I can join a meeting</t>
  </si>
  <si>
    <t>IV2-81</t>
  </si>
  <si>
    <t>Highlight new menu items in Touchpoint Builder</t>
  </si>
  <si>
    <t>IV2-82</t>
  </si>
  <si>
    <t>Change default page titles in Touchpoint Builder</t>
  </si>
  <si>
    <t>PD-1732</t>
  </si>
  <si>
    <t>SR&amp;ED Overview Meeting</t>
  </si>
  <si>
    <t>PD-1733</t>
  </si>
  <si>
    <t>Vimeo Embed Code not saving when editing text panels on a page</t>
  </si>
  <si>
    <t>IV2-83</t>
  </si>
  <si>
    <t>Hide advanced webform component configuration fields from editors</t>
  </si>
  <si>
    <t>IV2-84</t>
  </si>
  <si>
    <t>Modify the menu display and user permissions for the editor role</t>
  </si>
  <si>
    <t>IV2-85</t>
  </si>
  <si>
    <t>Display the "Create pages" button on every page of the Touchpoint Builder</t>
  </si>
  <si>
    <t>IV2-86</t>
  </si>
  <si>
    <t>Add + icons to the Touchpoint Builder menu items</t>
  </si>
  <si>
    <t>PD-1735</t>
  </si>
  <si>
    <t>Upgrade Open Atrium to version 2.633</t>
  </si>
  <si>
    <t>IV2-91</t>
  </si>
  <si>
    <t>Thorough code review and automated test creation for web meeting module</t>
  </si>
  <si>
    <t>IV2-96</t>
  </si>
  <si>
    <t>Modify the service agreement that's created by the recruitment builder</t>
  </si>
  <si>
    <t>IOP-987</t>
  </si>
  <si>
    <t>Amgen Europe</t>
  </si>
  <si>
    <t>IV2-76</t>
  </si>
  <si>
    <t>As an agency admin, when new TP or recruitment is created, I should be directed to the alias url and not the node url</t>
  </si>
  <si>
    <t>PD-1736</t>
  </si>
  <si>
    <t>Forced Reply Feature Updated</t>
  </si>
  <si>
    <t>IV2-46</t>
  </si>
  <si>
    <t>As a participant, I can join a web meeting via telephone (i.e. voice bridge)</t>
  </si>
  <si>
    <t>PD-1738</t>
  </si>
  <si>
    <t>Add Health Sector Payment Transparency Act fields to Recruitment forms</t>
  </si>
  <si>
    <t>PD-1739</t>
  </si>
  <si>
    <t>Allow clients to modify the text of their homepages</t>
  </si>
  <si>
    <t>IV2-44</t>
  </si>
  <si>
    <t>As an administrator and a participant, I should feel that the web meeting experience fits within the Impetus platform UI</t>
  </si>
  <si>
    <t>IV2-45</t>
  </si>
  <si>
    <t>As a participant, I am given a warning about my incompatible web browser and am given phone-in information meeting</t>
  </si>
  <si>
    <t>IV2-102</t>
  </si>
  <si>
    <t>Simplify touchpoint builder menu location selection</t>
  </si>
  <si>
    <t>IOP-967</t>
  </si>
  <si>
    <t>Remove Cecilia Petrus Hours from column Y in the Account Split</t>
  </si>
  <si>
    <t>IV2-99</t>
  </si>
  <si>
    <t>As a participant or moderator, I am given the option to phone in from the meeting client, and the phone-in information is displayed</t>
  </si>
  <si>
    <t>IV2-103</t>
  </si>
  <si>
    <t>Automatic provisioning of Google Cloud Storage (or AWS) for large, secure file storage</t>
  </si>
  <si>
    <t>IV2-41</t>
  </si>
  <si>
    <t>As an administrator, I can access and manage meeting recordings</t>
  </si>
  <si>
    <t>IV2-71</t>
  </si>
  <si>
    <t>Logo not sticking on form refresh (i.e. if validation issue), or when opening the edit form to make changes</t>
  </si>
  <si>
    <t>IOP-994</t>
  </si>
  <si>
    <t>Fill out SRED documentation</t>
  </si>
  <si>
    <t>IOP-995</t>
  </si>
  <si>
    <t>Intermittent errors occurring when calculating the AM/DSS hour split</t>
  </si>
  <si>
    <t>IV2-78</t>
  </si>
  <si>
    <t>REMINDER: Test in Chrome PC, Edge, IE11, FF &amp; try all of those from Ryerson to emulate enterprise environment</t>
  </si>
  <si>
    <t>PD-1741</t>
  </si>
  <si>
    <t>File upload resulting in endless loop</t>
  </si>
  <si>
    <t>PD-1742</t>
  </si>
  <si>
    <t>Long-term solution for SSL certificates for the Impetus InSite Platform and docs.qliq365.com site</t>
  </si>
  <si>
    <t>IV2-42</t>
  </si>
  <si>
    <t>As an administrator, I can create in-meeting polls</t>
  </si>
  <si>
    <t>IOP-1005</t>
  </si>
  <si>
    <t>Celgene Europe</t>
  </si>
  <si>
    <t>PD-1743</t>
  </si>
  <si>
    <t>Unable to modify the status of manual activities on Janssen activity tracker</t>
  </si>
  <si>
    <t>IV2-106</t>
  </si>
  <si>
    <t>As a participant, I can join a web meeting from all modern web browsers (including IE11, Edge, Safari &lt;11)</t>
  </si>
  <si>
    <t>PD-1744</t>
  </si>
  <si>
    <t>Always send comment reply  notifications immediately</t>
  </si>
  <si>
    <t>PD-1721</t>
  </si>
  <si>
    <t>CD: Cleanup multidev site</t>
  </si>
  <si>
    <t>IOP-1014</t>
  </si>
  <si>
    <t>New Portal for Blue Charm Adherence</t>
  </si>
  <si>
    <t>IV2-108</t>
  </si>
  <si>
    <t>Add comment attachment info to the touchpoint report builder</t>
  </si>
  <si>
    <t>IV2-109</t>
  </si>
  <si>
    <t>Add images to touchpoint report questions</t>
  </si>
  <si>
    <t>User Account Id</t>
  </si>
  <si>
    <t>Full name</t>
  </si>
  <si>
    <t>Don't Include</t>
  </si>
  <si>
    <t>n/a</t>
  </si>
  <si>
    <t>App Development</t>
  </si>
  <si>
    <t>Mark Corrigan</t>
  </si>
  <si>
    <t>App PM and testing</t>
  </si>
  <si>
    <t>Apps &amp; Elena</t>
  </si>
  <si>
    <t>AppSheet Transition</t>
  </si>
  <si>
    <t>Bryan / Mark</t>
  </si>
  <si>
    <t>Check-ins with Jessica and Bryan</t>
  </si>
  <si>
    <t>Development Stand-up</t>
  </si>
  <si>
    <t>Impetus 10x strategy and product development roadmap</t>
  </si>
  <si>
    <t>Platform Stand-up</t>
  </si>
  <si>
    <t>Product Development Alignment</t>
  </si>
  <si>
    <t>Product Development Alignments</t>
  </si>
  <si>
    <t>Stand-ups with Frantisek</t>
  </si>
  <si>
    <t>Trevor / Mark</t>
  </si>
  <si>
    <t>Trevor / Mark / Nikita (align on sprint tasks)</t>
  </si>
  <si>
    <t>Web meeting API</t>
  </si>
  <si>
    <t>Web meeting API final tests on new multi-dev</t>
  </si>
  <si>
    <t>Web meeting api roadmap and prep for onboarding</t>
  </si>
  <si>
    <t>ZAPI</t>
  </si>
  <si>
    <t>ZAPI Stand-up</t>
  </si>
  <si>
    <t>CST apps: Project management and functional testing</t>
  </si>
  <si>
    <t>Gmail Addon and AppSheet Starting Screen</t>
  </si>
  <si>
    <t>Install Gmail add-on beta</t>
  </si>
  <si>
    <t>Install Impetus Gmail add-on beta</t>
  </si>
  <si>
    <t>Jessica / Mark / Bryan</t>
  </si>
  <si>
    <t>New Sales Pipeline app walkthrough &amp; start migration to new proposal builder! ✨</t>
  </si>
  <si>
    <t>Objection Handler</t>
  </si>
  <si>
    <t>Page design module project briefing with Frantisek</t>
  </si>
  <si>
    <t>Plan J,B,Nikita meeting and send Nikita data modelling assignment, schedule remaining on boarding and make the checklists into apps, request staff table move</t>
  </si>
  <si>
    <t>Review Intake form, N's comment, create slides for broader steps/dev/content requirements</t>
  </si>
  <si>
    <t>Review Jira API</t>
  </si>
  <si>
    <t>Review PM app plans/progress and PM portal wireframes</t>
  </si>
  <si>
    <t>Review Products &amp; Services App</t>
  </si>
  <si>
    <t>Security/Zoom API task discussion</t>
  </si>
  <si>
    <t>Self-serve model/IAB discussion</t>
  </si>
  <si>
    <t>Stand-ups with Jessica and Bryan</t>
  </si>
  <si>
    <t>Start API roadmap and get estimates from F</t>
  </si>
  <si>
    <t>Start transfer of higher level PM of product developments and ownership of release communication and documentation + do 1-2 Sales Pipeline task write-ups for practice</t>
  </si>
  <si>
    <t>Updates on sales pipeline app: discuss proposal building flow and outputs: discuss CST checklist development and use case process formalization approach</t>
  </si>
  <si>
    <t>Workflow App Check-ins</t>
  </si>
  <si>
    <t>SUMMARY</t>
  </si>
  <si>
    <t>Dev Related</t>
  </si>
  <si>
    <t>DTSTART</t>
  </si>
  <si>
    <t>DTEND</t>
  </si>
  <si>
    <t>ATTENDEE</t>
  </si>
  <si>
    <t>DURATION</t>
  </si>
  <si>
    <t>Natalie Yeadon; janice@impetusdigital.com; cpetrus@impetusdigital.com; Mark Corrigan</t>
  </si>
  <si>
    <t>Mark Corrigan; tcoehoorn@impetusdigital.com</t>
  </si>
  <si>
    <t>Mark Corrigan; frantisek@toptal.com; tcoehoorn@impetusdigital.com</t>
  </si>
  <si>
    <t>Mark Corrigan; Natalie Yeadon</t>
  </si>
  <si>
    <t>lqtri2703@gmail.com; Mark Corrigan; j3550alma@gmail.com</t>
  </si>
  <si>
    <t>Natalie Yeadon; Mark Corrigan; tcoehoorn@impetusdigital.com</t>
  </si>
  <si>
    <t>lqtri2703@gmail.com; Mark Corrigan; j3550alma@gmail.com; kheitz@impetusdigital.com</t>
  </si>
  <si>
    <t>Mark Corrigan; nkuzmin@impetusdigital.com</t>
  </si>
  <si>
    <t>lqtri2703@gmail.com; Mark Corrigan; j3550alma@gmail.com; kheitz@impetusdigital.com; nkuzmin@impetusdigital.com</t>
  </si>
  <si>
    <t>lqtri2703@gmail.com; Mark Corrigan</t>
  </si>
  <si>
    <t>Natalie Yeadon; janice@impetusdigital.com; Mark Corrigan; tcoehoorn@impetusdigital.com</t>
  </si>
  <si>
    <t>Natalie Yeadon; Kirsti Heitz; Mark Corrigan</t>
  </si>
  <si>
    <t>Mark Corrigan; frantisek@toptal.com</t>
  </si>
  <si>
    <t>Mark Corrigan; j3550alma@gmail.com; lqtri2703@gmail.com</t>
  </si>
  <si>
    <t>lqtri2703@gmail.com; Mark Corrigan; nkuzmin@impetusdigital.com</t>
  </si>
  <si>
    <t>Natalie Yeadon; janice@impetusdigital.com; Mark Corrigan; tcoehoorn@impetusdigital.com; nkuzmin@impetusdigital.com</t>
  </si>
  <si>
    <t>Mark Corrigan; j3550alma@gmail.com; nkuzmin@impetusdigital.com; lqtri2703@gmail.com</t>
  </si>
  <si>
    <t>Mark Corrigan; frantisek@toptal.com; tcoehoorn@impetusdigital.com; nkuzmin@impetusdigital.com</t>
  </si>
  <si>
    <t>Mark Corrigan; Alyssia Grant; lqtri2703@gmail.com; nkuzmin@impetusdigital.com; j3550alma@gmail.com</t>
  </si>
  <si>
    <t>Natalie Yeadon; janice@impetusdigital.com; Mark Corrigan; nkuzmin@impetusdigital.com</t>
  </si>
  <si>
    <t>Fireside Chat with Tushar Pant, Business Development Executive-Healthcare at IBM Services</t>
  </si>
  <si>
    <t>Initiate training plan for Terry, review potential plan for Event Builder development and Drupal 9 migration module prioritization</t>
  </si>
  <si>
    <t>Mark Corrigan; nkuzmin@impetusdigital.com; tcoehoorn@impetusdigital.com</t>
  </si>
  <si>
    <t>Mark Corrigan; frantisek@toptal.com; tcoehoorn@impetusdigital.com; nkuzmin@impetusdigital.com; Dan Wells</t>
  </si>
  <si>
    <t>Mark Corrigan; Alyssia Grant; Nikita K</t>
  </si>
  <si>
    <t>Mark Corrigan; tcoehoorn@impetusdigital.com; nkuzmin@impetusdigital.com; Dan Wells; twaldner@impetusdigital.com</t>
  </si>
  <si>
    <t>Mark Corrigan; tcoehoorn@impetusdigital.com; nkuzmin@impetusdigital.com; twaldner@impetusdigital.com</t>
  </si>
  <si>
    <t>Mark Corrigan; frantisek@toptal.com; nkuzmin@impetusdigital.com</t>
  </si>
  <si>
    <t>lqtri2703@gmail.com; Mark Corrigan; nkuzmin@impetusdigital.com; j3550alma@gmail.com</t>
  </si>
  <si>
    <t>lqtri2703@gmail.com; Mark Corrigan; nkuzmin@impetusdigital.com; j3550alma@gmail.com; Alyssia Grant</t>
  </si>
  <si>
    <t>Mark Corrigan; tcoehoorn@impetusdigital.com; nkuzmin@impetusdigital.com</t>
  </si>
  <si>
    <t>Mark Corrigan; jmasciangelo@impetusdigital.com</t>
  </si>
  <si>
    <t>Mark Corrigan; Kirsti Heitz</t>
  </si>
  <si>
    <t>Joelle Robitaille; Mark Corrigan; Linda Perfetto; Jasmeet Duggal; Ben Wong; Katherine Loucas; janice@impetusdigital.com; jmasciangelo@impetusdigital.com; kheitz@impetusdigital.com</t>
  </si>
  <si>
    <t>User Account ID</t>
  </si>
  <si>
    <t>Team</t>
  </si>
  <si>
    <t>Period</t>
  </si>
  <si>
    <t>Account Key</t>
  </si>
  <si>
    <t>Account Name</t>
  </si>
  <si>
    <t>Account Lead ID</t>
  </si>
  <si>
    <t>Account Category</t>
  </si>
  <si>
    <t>Account Customer</t>
  </si>
  <si>
    <t>Activity Name</t>
  </si>
  <si>
    <t>Component</t>
  </si>
  <si>
    <t>All Components</t>
  </si>
  <si>
    <t>Version Name</t>
  </si>
  <si>
    <t>Issue Type</t>
  </si>
  <si>
    <t>Issue Status</t>
  </si>
  <si>
    <t>Project Key</t>
  </si>
  <si>
    <t>Project Name</t>
  </si>
  <si>
    <t>Work Description</t>
  </si>
  <si>
    <t>Parent Key</t>
  </si>
  <si>
    <t>Reporter ID</t>
  </si>
  <si>
    <t>External Hours</t>
  </si>
  <si>
    <t>Billed Hours</t>
  </si>
  <si>
    <t>Issue Original Estimate</t>
  </si>
  <si>
    <t>Issue Remaining Estimate</t>
  </si>
  <si>
    <t>IV2-199</t>
  </si>
  <si>
    <t>Add webform fieldset components using the Touchpoint Builder</t>
  </si>
  <si>
    <t>557058:3124a1f0-e92a-405c-93f2-c1d4e621bc77</t>
  </si>
  <si>
    <t>Trevor Coehoorn</t>
  </si>
  <si>
    <t>Developers</t>
  </si>
  <si>
    <t>Impetus V2</t>
  </si>
  <si>
    <t>Task</t>
  </si>
  <si>
    <t>CLOSED</t>
  </si>
  <si>
    <t>IV2</t>
  </si>
  <si>
    <t>Touchpoint Builder</t>
  </si>
  <si>
    <t>Working on issue IV2-199</t>
  </si>
  <si>
    <t>557058:73c9cac1-5a92-492c-86e8-838810ee0dde</t>
  </si>
  <si>
    <t>IV2-202</t>
  </si>
  <si>
    <t>Portal Builder Surveyor Questions</t>
  </si>
  <si>
    <t>Portal Builder</t>
  </si>
  <si>
    <t>Working on issue IV2-202</t>
  </si>
  <si>
    <t>TO DO</t>
  </si>
  <si>
    <t>Working on issue IV2-31</t>
  </si>
  <si>
    <t>IV2-164</t>
  </si>
  <si>
    <t>Revamp Webinar Analysis Charts/ Graphs</t>
  </si>
  <si>
    <t>Working on issue IV2-164</t>
  </si>
  <si>
    <t>557058:f55c62b5-dc7e-41e5-b0f8-231ca9f23470</t>
  </si>
  <si>
    <t>Holly Lam</t>
  </si>
  <si>
    <t>DSSes</t>
  </si>
  <si>
    <t>IV2-201</t>
  </si>
  <si>
    <t>Create Touchpoint Intake Form in Demo Portal</t>
  </si>
  <si>
    <t>557058:436d074a-0c49-48c8-8e0d-e42f14c37c66</t>
  </si>
  <si>
    <t>Linda Perfetto</t>
  </si>
  <si>
    <t>Account Directors</t>
  </si>
  <si>
    <t>BACKLOG</t>
  </si>
  <si>
    <t>Working on issue IV2-201</t>
  </si>
  <si>
    <t>IV2-189</t>
  </si>
  <si>
    <t>Move Email Launch tab into the email secondary navigation</t>
  </si>
  <si>
    <t>Working on issue IV2-189</t>
  </si>
  <si>
    <t>IV2-187</t>
  </si>
  <si>
    <t>Customize the Portal Builder delete user popup</t>
  </si>
  <si>
    <t>Working on issue IV2-187</t>
  </si>
  <si>
    <t>IV2-186</t>
  </si>
  <si>
    <t>Allow users to upload images when they create content in the Portal Builder</t>
  </si>
  <si>
    <t>Working on issue IV2-186</t>
  </si>
  <si>
    <t>IV2-184</t>
  </si>
  <si>
    <t>Add internal team and advisor descriptions to Participants tab</t>
  </si>
  <si>
    <t>Working on issue IV2-184</t>
  </si>
  <si>
    <t>IV2-155</t>
  </si>
  <si>
    <t>Add touchpoint link to portal builder after a touchpoint has been launched</t>
  </si>
  <si>
    <t>Working on issue IV2-155</t>
  </si>
  <si>
    <t>557058:ed1ddc66-d84d-405c-a815-0fcc6147ba14</t>
  </si>
  <si>
    <t>IV2-147</t>
  </si>
  <si>
    <t>Add files to pages in the Portal Builder</t>
  </si>
  <si>
    <t>Working on issue IV2-147</t>
  </si>
  <si>
    <t>557058:bec1bf7c-3a7d-48f6-9a9e-033c96c3bfae</t>
  </si>
  <si>
    <t>IV2-198</t>
  </si>
  <si>
    <t>Add webform layout box components using the Touchpoint Builder</t>
  </si>
  <si>
    <t>Working on issue IV2-198</t>
  </si>
  <si>
    <t>review changes</t>
  </si>
  <si>
    <t>ITP-1795</t>
  </si>
  <si>
    <t>Enable speech to text by default</t>
  </si>
  <si>
    <t>InSite Touchpoints™ Platform</t>
  </si>
  <si>
    <t>ITP</t>
  </si>
  <si>
    <t>Working on issue PD-1795</t>
  </si>
  <si>
    <t>Dan Wells</t>
  </si>
  <si>
    <t>IV2-192</t>
  </si>
  <si>
    <t>Portal Builder Copy Writing</t>
  </si>
  <si>
    <t>IN PROGRESS</t>
  </si>
  <si>
    <t>Working on issue IV2-192</t>
  </si>
  <si>
    <t>IV2-135</t>
  </si>
  <si>
    <t>Add webform support to the Touchpoint Report Builder</t>
  </si>
  <si>
    <t>Working on issue IV2-135</t>
  </si>
  <si>
    <t>ITP-1797</t>
  </si>
  <si>
    <t>Automate customized Friday digest</t>
  </si>
  <si>
    <t>Working on issue PD-1797</t>
  </si>
  <si>
    <t>IV2-137</t>
  </si>
  <si>
    <t>Make the Touchpoint Builder webform analysis reports configurable</t>
  </si>
  <si>
    <t>Working on issue IV2-137</t>
  </si>
  <si>
    <t>557058:9827514e-9c5e-4d9d-af37-340b82b8423b</t>
  </si>
  <si>
    <t>Alyssia Grant</t>
  </si>
  <si>
    <t>BDD</t>
  </si>
  <si>
    <t>ITP-1363</t>
  </si>
  <si>
    <t xml:space="preserve">Webforms </t>
  </si>
  <si>
    <t>Working on issue PD-1363</t>
  </si>
  <si>
    <t>ITP-1364</t>
  </si>
  <si>
    <t>Working on issue PD-1364</t>
  </si>
  <si>
    <t>Working on issue IV2-48</t>
  </si>
  <si>
    <t>IV2-179</t>
  </si>
  <si>
    <t>Automatically use parent comment notifications when pages are created in the Touchpoint Builder</t>
  </si>
  <si>
    <t>Working on issue IV2-179</t>
  </si>
  <si>
    <t>IV2-180</t>
  </si>
  <si>
    <t>Remove all comments and webform submissions in a touchpoint</t>
  </si>
  <si>
    <t>Working on issue IV2-180</t>
  </si>
  <si>
    <t>IV2-208</t>
  </si>
  <si>
    <t>Allow users to reorder pages in the Portal Builder</t>
  </si>
  <si>
    <t>Working on issue IV2-208</t>
  </si>
  <si>
    <t>IV2-207</t>
  </si>
  <si>
    <t>Prevent users from losing changes when they navigate away from pages</t>
  </si>
  <si>
    <t>Working on issue IV2-207</t>
  </si>
  <si>
    <t>IV2-206</t>
  </si>
  <si>
    <t>Make it easier to add images to pages and emails in the Portal Builder</t>
  </si>
  <si>
    <t>Working on issue IV2-206</t>
  </si>
  <si>
    <t>IV2-158</t>
  </si>
  <si>
    <t>UI/Technical Design</t>
  </si>
  <si>
    <t>Working on issue IV2-158</t>
  </si>
  <si>
    <t>ITP-1807</t>
  </si>
  <si>
    <t>Touchpoint Reports</t>
  </si>
  <si>
    <t>Working on issue PD-1807</t>
  </si>
  <si>
    <t>ITP-1810</t>
  </si>
  <si>
    <t>Add empty icons to the menu for incomplete touchpoint activities</t>
  </si>
  <si>
    <t>Working on issue PD-1810</t>
  </si>
  <si>
    <t>ITP-1819</t>
  </si>
  <si>
    <t>Set up one-time login password creation process</t>
  </si>
  <si>
    <t>Working on issue PD-1819</t>
  </si>
  <si>
    <t>ZAPI-26</t>
  </si>
  <si>
    <t>URGENT: Review Web Meeting APIs today</t>
  </si>
  <si>
    <t>Zoom API Integration</t>
  </si>
  <si>
    <t>DEPLOYED</t>
  </si>
  <si>
    <t>Working on issue ZAPI-26</t>
  </si>
  <si>
    <t>ZAPI-27</t>
  </si>
  <si>
    <t>As a meeting administrator, I can add a web meeting panel/widget to my touchpoint content page and start/join a meeting from there</t>
  </si>
  <si>
    <t>Working on issue ZAPI-27</t>
  </si>
  <si>
    <t>ZAPI-1</t>
  </si>
  <si>
    <t>IOP-1224</t>
  </si>
  <si>
    <t>Tracking how long someone watches a video</t>
  </si>
  <si>
    <t>Impetus Operations</t>
  </si>
  <si>
    <t>Task List</t>
  </si>
  <si>
    <t>IOP</t>
  </si>
  <si>
    <t>Working on issue IOP-1224</t>
  </si>
  <si>
    <t>557058:035958b1-22e8-4422-ae3e-5339ee8acc34</t>
  </si>
  <si>
    <t>ZAPI-28</t>
  </si>
  <si>
    <t>As a meeting administrator, I can enable activity tracking and reminders for a web meeting</t>
  </si>
  <si>
    <t>Working on issue ZAPI-28</t>
  </si>
  <si>
    <t>ZAPI-34</t>
  </si>
  <si>
    <t>Record web meeting attendance</t>
  </si>
  <si>
    <t>Subtask</t>
  </si>
  <si>
    <t>Working on issue ZAPI-34</t>
  </si>
  <si>
    <t>Assisting with workflow and reporting in April/May</t>
  </si>
  <si>
    <t>ITP-1836</t>
  </si>
  <si>
    <t>Configurable Sails &amp; Anchors activity</t>
  </si>
  <si>
    <t>Working on issue PD-1836</t>
  </si>
  <si>
    <t>Testing/Sub-task creation</t>
  </si>
  <si>
    <t>ZAPI-38</t>
  </si>
  <si>
    <t>Disable the join meeting link 12 hours after a meeting ends</t>
  </si>
  <si>
    <t>PENDING DEPLOYMENT</t>
  </si>
  <si>
    <t>Working on issue ZAPI-38</t>
  </si>
  <si>
    <t>ZAPI-40</t>
  </si>
  <si>
    <t>Allow administrators to configure Zoom meeting settings</t>
  </si>
  <si>
    <t>Working on issue ZAPI-40</t>
  </si>
  <si>
    <t>ZAPI-37</t>
  </si>
  <si>
    <t>Renew the start meeting url when it expires</t>
  </si>
  <si>
    <t>Working on issue ZAPI-37</t>
  </si>
  <si>
    <t>ZAPI-47</t>
  </si>
  <si>
    <t>Validate web meeting admin options</t>
  </si>
  <si>
    <t>Working on issue ZAPI-47</t>
  </si>
  <si>
    <t>ZAPI-46</t>
  </si>
  <si>
    <t>Update meeting registrants when a user group is modified</t>
  </si>
  <si>
    <t>Working on issue ZAPI-46</t>
  </si>
  <si>
    <t>ZAPI-43</t>
  </si>
  <si>
    <t>Remove registrant when a user is removed from a meeting group or user list</t>
  </si>
  <si>
    <t>Working on issue ZAPI-43</t>
  </si>
  <si>
    <t>ZAPI-48</t>
  </si>
  <si>
    <t>Prevent users from modifying past meetings</t>
  </si>
  <si>
    <t>Working on issue ZAPI-48</t>
  </si>
  <si>
    <t>ZAPI-4</t>
  </si>
  <si>
    <t xml:space="preserve">As a meeting administrator, I can pre-program polling questions and share them with clients </t>
  </si>
  <si>
    <t>Working on issue ZAPI-4</t>
  </si>
  <si>
    <t>ZAPI-50</t>
  </si>
  <si>
    <t>Unregister user from meetings when their portal account is deleted</t>
  </si>
  <si>
    <t>Working on issue ZAPI-50</t>
  </si>
  <si>
    <t>ZAPI-49</t>
  </si>
  <si>
    <t>Automatically generate Zoom meeting password</t>
  </si>
  <si>
    <t>Working on issue ZAPI-49</t>
  </si>
  <si>
    <t>ZAPI-52</t>
  </si>
  <si>
    <t>As an administrator, I can configure Zoom Webinar options</t>
  </si>
  <si>
    <t>Working on issue ZAPI-52</t>
  </si>
  <si>
    <t>ZAPI-51</t>
  </si>
  <si>
    <t>As an administrator, I can create a Zoom Webinar</t>
  </si>
  <si>
    <t>Working on issue ZAPI-51</t>
  </si>
  <si>
    <t>Zoom API v1 (MVP)</t>
  </si>
  <si>
    <t>Working on issue ZAPI-1</t>
  </si>
  <si>
    <t>ZAPI-10</t>
  </si>
  <si>
    <t>As an attendee, I can join a meeting "anonymously"</t>
  </si>
  <si>
    <t>Working on issue ZAPI-10</t>
  </si>
  <si>
    <t>ZAPI-53</t>
  </si>
  <si>
    <t>Unregister user from meetings when their portal account is disabled</t>
  </si>
  <si>
    <t>Working on issue ZAPI-53</t>
  </si>
  <si>
    <t>ITP-1845</t>
  </si>
  <si>
    <t>Increase the rating and ranking option maximum length</t>
  </si>
  <si>
    <t>Working on issue PD-1845</t>
  </si>
  <si>
    <t>ZAPI-54</t>
  </si>
  <si>
    <t>Choose Zoom host account when creating meetings</t>
  </si>
  <si>
    <t>Working on issue ZAPI-54</t>
  </si>
  <si>
    <t>ZAPI-2</t>
  </si>
  <si>
    <t>ITP-1847</t>
  </si>
  <si>
    <t>Add reply count and login number to the touchpoint statistics</t>
  </si>
  <si>
    <t>Working on issue PD-1847</t>
  </si>
  <si>
    <t>ITP-1850</t>
  </si>
  <si>
    <t>Allow "&lt;" characters in Touchpoint Builder select options</t>
  </si>
  <si>
    <t>Bug</t>
  </si>
  <si>
    <t>Working on issue PD-1850</t>
  </si>
  <si>
    <t>5e98d69b272c6a0c0e88b806</t>
  </si>
  <si>
    <t>ZAPI-56</t>
  </si>
  <si>
    <t>Display meeting times in the current user's timezone</t>
  </si>
  <si>
    <t>Working on issue ZAPI-56</t>
  </si>
  <si>
    <t>ZAPI-63</t>
  </si>
  <si>
    <t>Zoom API v1.1 (Cleanup) 🧹</t>
  </si>
  <si>
    <t>Working on issue ZAPI-63</t>
  </si>
  <si>
    <t>ZAPI-12</t>
  </si>
  <si>
    <t>As an attendee, I can download a calendar invite with joining information</t>
  </si>
  <si>
    <t>Working on issue ZAPI-12</t>
  </si>
  <si>
    <t>ZAPI-68</t>
  </si>
  <si>
    <t>Move date, time, duration, time zone into a "Time" fieldset</t>
  </si>
  <si>
    <t>Working on issue ZAPI-68</t>
  </si>
  <si>
    <t>ZAPI-57</t>
  </si>
  <si>
    <t>Right-align meeting action button group and ensure it looks good for mobile, tablet, and desktop screen sizes</t>
  </si>
  <si>
    <t>Working on issue ZAPI-57</t>
  </si>
  <si>
    <t>ZAPI-58</t>
  </si>
  <si>
    <t>Prompt non-authenticated users for the meeting password before showing any meeting information or buttons</t>
  </si>
  <si>
    <t>Working on issue ZAPI-58</t>
  </si>
  <si>
    <t>ZAPI-9</t>
  </si>
  <si>
    <t>ZAPI-69</t>
  </si>
  <si>
    <t>Add description below "Users can join anonymously" checkbox</t>
  </si>
  <si>
    <t>Working on issue ZAPI-69</t>
  </si>
  <si>
    <t>APPS-72</t>
  </si>
  <si>
    <t>Training App (Quang)</t>
  </si>
  <si>
    <t>5ee7b6ce868ce30ac49e2521</t>
  </si>
  <si>
    <t>Bryan Le</t>
  </si>
  <si>
    <t>Developer Subcontractors</t>
  </si>
  <si>
    <t>Impetus Internal Apps</t>
  </si>
  <si>
    <t>DONE</t>
  </si>
  <si>
    <t>APPS</t>
  </si>
  <si>
    <t>Keep track of changes, dashboard view</t>
  </si>
  <si>
    <t>APPS-71</t>
  </si>
  <si>
    <t>gather data, creating sheets, email workflow</t>
  </si>
  <si>
    <t>APPS-73</t>
  </si>
  <si>
    <t>Training App (Jessica)</t>
  </si>
  <si>
    <t>5ee7b6cf02b4400ac4b65399</t>
  </si>
  <si>
    <t>Jessica Obando</t>
  </si>
  <si>
    <t>gather dataset, develop ux, connect sheets</t>
  </si>
  <si>
    <t>ZAPI-72</t>
  </si>
  <si>
    <t>Merge master branch changes into web meeting branch</t>
  </si>
  <si>
    <t>Working on issue ZAPI-72</t>
  </si>
  <si>
    <t>ZAPI-71</t>
  </si>
  <si>
    <t>Zoom meetings should be deleted when nodes are deleted</t>
  </si>
  <si>
    <t>Working on issue ZAPI-71</t>
  </si>
  <si>
    <t>ZAPI-64</t>
  </si>
  <si>
    <t>Correct the maximum Poll title length</t>
  </si>
  <si>
    <t>Working on issue ZAPI-64</t>
  </si>
  <si>
    <t>ZAPI-66</t>
  </si>
  <si>
    <t>Add polls in the correct order when web meetings are created</t>
  </si>
  <si>
    <t>Working on issue ZAPI-66</t>
  </si>
  <si>
    <t>ZAPI-86</t>
  </si>
  <si>
    <t>Email workflow, email template</t>
  </si>
  <si>
    <t>create different views, create statements to validate data, gather data from one table to another using PKs&amp;FKs, automatically genrate email updates if data changes</t>
  </si>
  <si>
    <t>ZAPI-76</t>
  </si>
  <si>
    <t>Unable to change the audio type after it's been set to voip only</t>
  </si>
  <si>
    <t>Working on issue ZAPI-76</t>
  </si>
  <si>
    <t>ZAPI-74</t>
  </si>
  <si>
    <t>Allow users to register for web meetings on anonymous pages</t>
  </si>
  <si>
    <t>Working on issue ZAPI-74</t>
  </si>
  <si>
    <t>ZAPI-67</t>
  </si>
  <si>
    <t>Validation errors break form styling</t>
  </si>
  <si>
    <t>Working on issue ZAPI-67</t>
  </si>
  <si>
    <t>ZAPI-73</t>
  </si>
  <si>
    <t>Perform code review on the web meeting branch</t>
  </si>
  <si>
    <t>Working on issue ZAPI-73</t>
  </si>
  <si>
    <t>Add year column, generate short code, hide changes column, start date and end date of projects</t>
  </si>
  <si>
    <t>did changes asked, generate dynamic columns, find a new way to preview email</t>
  </si>
  <si>
    <t>ZAPI-77</t>
  </si>
  <si>
    <t>Set up default Zoom and Web Meeting configuration</t>
  </si>
  <si>
    <t>Working on issue ZAPI-77</t>
  </si>
  <si>
    <t>APPS-76</t>
  </si>
  <si>
    <t>Proposal Builder Test App</t>
  </si>
  <si>
    <t>Email Workflow, Email Template, Attachment Template, Attachment workflow</t>
  </si>
  <si>
    <t>Create data tables, imprement formulas to primary keys in order to make them autocompute and unique, work on ux deisgn. Implement rows on each table of updated by, time of change, and change counter.Implemented formulas on total cost to generate the total sum of the prices depending on each of the requirements cost.</t>
  </si>
  <si>
    <t>ZAPI-78</t>
  </si>
  <si>
    <t>Deploy Web Meetings v1</t>
  </si>
  <si>
    <t>Working on issue ZAPI-78</t>
  </si>
  <si>
    <t>"Send email" action, dashboard view</t>
  </si>
  <si>
    <t>APPS-75</t>
  </si>
  <si>
    <t>Branding review</t>
  </si>
  <si>
    <t>branding review</t>
  </si>
  <si>
    <t>APPS-74</t>
  </si>
  <si>
    <t>Policy review</t>
  </si>
  <si>
    <t>Review some of the Policy</t>
  </si>
  <si>
    <t>Set path of PDF folder creating a new folder where its name is the clients ID, Change display of salesperson_ID to all sales person information, review half f the policies, cerate formula to automatically calculate the total price of the porject depending on the requirements/products selected. Make possible multiple selection of products/ requiremnts and resue existent requirements to different projects</t>
  </si>
  <si>
    <t>ITP-1857</t>
  </si>
  <si>
    <t>Collapse comments in annotation activities</t>
  </si>
  <si>
    <t>Working on issue PD-1857</t>
  </si>
  <si>
    <t>ZAPI-13</t>
  </si>
  <si>
    <t>As an attendee, I can access meeting/webinar recordings via the portal</t>
  </si>
  <si>
    <t>Working on issue ZAPI-13</t>
  </si>
  <si>
    <t>ZAPI-6</t>
  </si>
  <si>
    <t>Add "Organizations" view, made some changes on "Clients" and "Proposal" views</t>
  </si>
  <si>
    <t>finish reviewing the policy</t>
  </si>
  <si>
    <t xml:space="preserve">Proposal list latest on top, after proposal creation redirect to proposal listview, conditional formatting on change status color (Draft orange final green), eliminate projects from new client creation </t>
  </si>
  <si>
    <t>ZAPI-81</t>
  </si>
  <si>
    <t>Prevent meeting deletion on development/test portals</t>
  </si>
  <si>
    <t>Working on issue ZAPI-81</t>
  </si>
  <si>
    <t>Zoom API v2 (Registration Flow and Reporting)</t>
  </si>
  <si>
    <t>Working on issue ZAPI-6</t>
  </si>
  <si>
    <t>APPS-81</t>
  </si>
  <si>
    <t>As a client, I can request a new asynchronous touchpoint</t>
  </si>
  <si>
    <t>working on asynchronous form</t>
  </si>
  <si>
    <t>APPS-79</t>
  </si>
  <si>
    <t>APPS-35</t>
  </si>
  <si>
    <t>As a salesperson, I can create/modify contacts, organizations, sales opportunities, and proposals</t>
  </si>
  <si>
    <t>creation of data tables, UX and different views, reference columns, prepopulation of information, add,remove and edit client to sales oportunity</t>
  </si>
  <si>
    <t>APPS-10</t>
  </si>
  <si>
    <t>APPS-82</t>
  </si>
  <si>
    <t>As a client, I can request a new synchronous touchpoint</t>
  </si>
  <si>
    <t xml:space="preserve">Create the form, add format rules </t>
  </si>
  <si>
    <t>More than half of my time i spent fixing bugs generated when changing names of rows and tables beacause they were linked to different formulas,views, behaiviors, statements and also tables were referenced one to another. After fixing bugs i worked on prepopulating some values, adding a new stafff table, referencing tables to columns, Implementing different views.</t>
  </si>
  <si>
    <t>ITP-1859</t>
  </si>
  <si>
    <t>Webform analysis components broken (title length limit)</t>
  </si>
  <si>
    <t>Working on issue PD-1859</t>
  </si>
  <si>
    <t>Work on conditions, table naming and actions</t>
  </si>
  <si>
    <t>Invoicing paper work, added new columns to organization table and created a separate "shows" for billing information, did research about "slices", hide IDs from "Other data", Created a table for notes that is used on Sales opportunities.</t>
  </si>
  <si>
    <t>Create synchronous and asynchronous dashboard view, add more sections on the synchronous form</t>
  </si>
  <si>
    <t>Create data table "Dropdown options" and "Projects", create slices for the different type of data on dropdown options. create an option to add a note while creating a new sales opportunity. Change ans create different views.</t>
  </si>
  <si>
    <t>ZAPI-83</t>
  </si>
  <si>
    <t>Change mentioning of meeting "password" to "passcode" to be consistent with Zoom's change in language</t>
  </si>
  <si>
    <t>Working on issue ZAPI-83</t>
  </si>
  <si>
    <t>ITP-1860</t>
  </si>
  <si>
    <t>Count characters instead of words in Asian language touchpoints</t>
  </si>
  <si>
    <t>Working on issue PD-1860</t>
  </si>
  <si>
    <t>Add "Upload file option" to signature, add "General question" section, change end view = detail view.</t>
  </si>
  <si>
    <t xml:space="preserve">Created new tables called "Proposals" and "Projects", referenced some columns of these tables to sales opportunities and impetus staff. Implemented conditional statements in ordert to create proposals. Changed all display information to sentece case. </t>
  </si>
  <si>
    <t>APPS-102</t>
  </si>
  <si>
    <t>APPS Review Meeting</t>
  </si>
  <si>
    <t>5ec3f07a5269230c34d51fd3</t>
  </si>
  <si>
    <t>Nikita Kuzmin</t>
  </si>
  <si>
    <t>Meeting with Mark + reading all supplied material</t>
  </si>
  <si>
    <t>Questions in "Polling question" section are visible one by one, dashboard views for SVT and AVT, check sentence case, prepare presentation</t>
  </si>
  <si>
    <t>Created different tables, establish references between them. Started working on "Products". Make changes acordingly to the recommendations that were provided. Changed display name of most of the header views.</t>
  </si>
  <si>
    <t>Review meeting</t>
  </si>
  <si>
    <t>Re-create section 2 "Your Touchpoint Questions", section 3 "Touchpoint conclusion", section 4 "Customzie your touchpoint"</t>
  </si>
  <si>
    <t xml:space="preserve">Fixed some bug on "Proposals" and "Projects". Created a google slides with some screenshots and explanation of what I have developed so far. Finish creating a "Products" table with sample information provided. </t>
  </si>
  <si>
    <t>Working on issue APPS-102</t>
  </si>
  <si>
    <t>Re-create section 5 "Touchpoint participants" and section 6 "Touchpoint email", add formats and conditions on each section</t>
  </si>
  <si>
    <t>Follow up comments written on google slides. Made some changes on the appsheet depending on the comments given by Natalie. Kept working on "products" table and making sure everything was working. Done some additional research of the products found on the Impetus website.</t>
  </si>
  <si>
    <t>Create "Content resources" table</t>
  </si>
  <si>
    <t>Fix question counter bugs and "Customize question" bugs</t>
  </si>
  <si>
    <t xml:space="preserve">created multiple tables related to products sushi as categories, bundle, redustions and custom requirements. worked on adding multiple custom requirements to one proposal. </t>
  </si>
  <si>
    <t>Convert .gif files to video file, create and use "Content resources" table</t>
  </si>
  <si>
    <t>Worked on getting the total price of the proposal whcih was calculated by the sum of all the products price and all the custom requirements price. tried creating a way in which the names of the products and the price on the form of proposals but i couldnt find any solution becuase AppSheet still has limitations</t>
  </si>
  <si>
    <t>Upload images, files and URLs to "Content resources" table, add "Impetus lead email", adjust "Questions" table</t>
  </si>
  <si>
    <t>Worked on implementing a new table called "Join table for products" that is associated with the proposal table. Also, worked on the small changes such as name of view or column name. Overall worked on imporving the proposals.</t>
  </si>
  <si>
    <t>ITP-1861</t>
  </si>
  <si>
    <t>Missing a couple annotation comments when exporting the annotated PDF from the portal</t>
  </si>
  <si>
    <t>Working on issue PD-1861</t>
  </si>
  <si>
    <t>IOP-1357</t>
  </si>
  <si>
    <t>Product development meetings</t>
  </si>
  <si>
    <t>Meeting with Janice and Natalie/Follow-up with Mark</t>
  </si>
  <si>
    <t>Add new question types, new "Impetus staff" table, new "Internal observer" table</t>
  </si>
  <si>
    <t>Kept working on the new join table for products that is associated with the proposals table, also worked on  showing metrics graphs eventhough the sorting per months list is not working that well</t>
  </si>
  <si>
    <t>Pauline Reyes</t>
  </si>
  <si>
    <t>Testing collapsing comments</t>
  </si>
  <si>
    <t xml:space="preserve">Change dry-run date formula, update pictures and video sources </t>
  </si>
  <si>
    <t>Kept working on the sales metrics table showing graphs depensing on the sales opportunities. Made changes reviewed on meeting. Review relationships on the sales pipeline</t>
  </si>
  <si>
    <t>EB9-1</t>
  </si>
  <si>
    <t>Create a list of Impetus custom modules and core patches and determine the level of effort and/or risks involved in migrating them to Drupal 9</t>
  </si>
  <si>
    <t>InSite Event Builder™</t>
  </si>
  <si>
    <t>EB9</t>
  </si>
  <si>
    <t>Working on issue D9-1</t>
  </si>
  <si>
    <t>EB9-2</t>
  </si>
  <si>
    <t>ZAPI-95</t>
  </si>
  <si>
    <t>When transfer from Zoom to S3 is in progress, show progress updates using AJAX and then prompt user to refresh the page when complete</t>
  </si>
  <si>
    <t>Working on issue ZAPI-95</t>
  </si>
  <si>
    <t>ZAPI-18</t>
  </si>
  <si>
    <t>Move "Form vs Upload" enum outside of External/Internal tables, create new "Impetus status"</t>
  </si>
  <si>
    <t>Worked on organizations dicounts table, getting formulas correct and tryong to figure it out how to get different columns of this table to be ranges depending on the discount tier. Calculated the total price with the organization discount.
Also keept working on the Add-ons and Reductions relation on the join product table and getting the total price of the product including add-ons price and reductions price.</t>
  </si>
  <si>
    <t>Create email popup, link to row and clean up contact tables</t>
  </si>
  <si>
    <t>Created the ability to select (multiple) add-ons and reductions for each proposal product. Ensured total proposal cost adds add-ons and subtracts reductions. Validated thta all reduction values on reductions form must be negative. Allowed multiple selections on products for both reductions and add-ons and change label of form to "Associated products". Made more changes on what was suggested during the meeting.</t>
  </si>
  <si>
    <t>EB9-5</t>
  </si>
  <si>
    <t>Spin up a Drupal 9 test site on Pantheon</t>
  </si>
  <si>
    <t>Working on issue D9-5</t>
  </si>
  <si>
    <t>Create and test email workflows/reports. Change the content of email bodies</t>
  </si>
  <si>
    <t>Created new columns to sales opportunity table and proposals table in order to make changes suggested on the daily meeting. Also, made changes suggested by mask which are on (Jira APPS-35 childs from APPS-166 to APPS-175)</t>
  </si>
  <si>
    <t>testing</t>
  </si>
  <si>
    <t xml:space="preserve">Replicate settings from SVT to AVT
</t>
  </si>
  <si>
    <t>APPS-186</t>
  </si>
  <si>
    <t>As a lead, I can enter my information to request a download and receive an email with the download</t>
  </si>
  <si>
    <t>Created a new app on which tables such as contacts, blacklist domain, and website downloaders were implemented. Also, worked on the workflow triggers (if status=send send an email otherwise nothing)</t>
  </si>
  <si>
    <t>APPS-9</t>
  </si>
  <si>
    <t>APPS-195</t>
  </si>
  <si>
    <t>Use larger, non-italic fonts for all instructions/descriptions on AVT and SVT forms (see attached)</t>
  </si>
  <si>
    <t>Clean up tables, do documentation, test email reports.</t>
  </si>
  <si>
    <t>APPS-196</t>
  </si>
  <si>
    <t xml:space="preserve">Worked on adding new features and changing some existing features on the the new Lead Generator App </t>
  </si>
  <si>
    <t>ZAPI-89</t>
  </si>
  <si>
    <t>Remove redundant 'Enable reports' checkbox in meeting panel reports and recordings fieldset</t>
  </si>
  <si>
    <t>Working on issue ZAPI-89</t>
  </si>
  <si>
    <t>ITP-1864</t>
  </si>
  <si>
    <t>Prevent file widget video files from automatically playing when they are downloaded</t>
  </si>
  <si>
    <t>Working on issue PD-1864</t>
  </si>
  <si>
    <t>ZAPI-25</t>
  </si>
  <si>
    <t>As a meeting administrator, I can trim the meeting recording</t>
  </si>
  <si>
    <t>Working on issue ZAPI-25</t>
  </si>
  <si>
    <t>As an Impetus project lead, I can create a new project and initiate SVT/AVT intake requests belonging to that project</t>
  </si>
  <si>
    <t>Create new "Project" table, "Project management" dashboard and create "one to many" relationship between "Project" and "AVT/SVT"</t>
  </si>
  <si>
    <t>Worked on implementing changes to the Lead generator app such as creating only one from to gather the website downloaders information(email, name, last name, organizations privided by lead)</t>
  </si>
  <si>
    <t>EB9-3</t>
  </si>
  <si>
    <t>Assess viability of OA spaces and OG access controls for use in a multi-tenant environment: are there native Drupal 9 modules better suited for this?</t>
  </si>
  <si>
    <t>Working on issue D9-3</t>
  </si>
  <si>
    <t>ZAPI-90</t>
  </si>
  <si>
    <t>When 'Show reports in the meeting pane' is checked on the meeting panel, show a list of checkboxes to enable/disable the display of available report sections (recordings, Q&amp;A, polling, participants, etc.) — the options will depend on the meeting type</t>
  </si>
  <si>
    <t>Working on issue ZAPI-90</t>
  </si>
  <si>
    <t>ZAPI-91</t>
  </si>
  <si>
    <t>Show checkbox list of available reports on the standalone meeting reports panel (same as in ZAPI-90)</t>
  </si>
  <si>
    <t>Working on issue ZAPI-91</t>
  </si>
  <si>
    <t>ZAPI-94</t>
  </si>
  <si>
    <t>Change button label "Download all to portal" to "Transfer all files from Zoom to portal"</t>
  </si>
  <si>
    <t>Working on issue ZAPI-94</t>
  </si>
  <si>
    <t>Modify Impetus status, create read-only slices and views</t>
  </si>
  <si>
    <t>Worked on implementing a new table "blacklist competitors email" and validated when a user is inputing an email on the website downloaders form. Also worked on the wordpress webiste trying to combine appsheet into the iframe</t>
  </si>
  <si>
    <t>ZAPI-93</t>
  </si>
  <si>
    <t>On standalone meeting reports panel, sort list of meetings by newest to oldest based on scheduled date, show scheduled date in parentheses, and use an autocomplete selection field instead of regular dropdown</t>
  </si>
  <si>
    <t>Working on issue ZAPI-93</t>
  </si>
  <si>
    <t>ZAPI-96</t>
  </si>
  <si>
    <t>Add column for file sizes to list of downloads so admins have an idea of how long the transfers will take</t>
  </si>
  <si>
    <t>Working on issue ZAPI-96</t>
  </si>
  <si>
    <t>Working on issue IOP-1357</t>
  </si>
  <si>
    <t>APPS-222</t>
  </si>
  <si>
    <t>As a client, I can request a modification or cancellation to my touchpoint</t>
  </si>
  <si>
    <t>Create modification slices for AVT and SVT requests. Update actions and workflows regarding these slices.</t>
  </si>
  <si>
    <t>Worked on implementing some changes discussed in the daily meeting to the lead generator app</t>
  </si>
  <si>
    <t>UX design, change all forms into "tabs" mode, relabel tabs to appropriate names.</t>
  </si>
  <si>
    <t xml:space="preserve">Worked on implementing changes suggested on the daily meeting on the sales pipeline app and look into how to display a from into a dashboard view </t>
  </si>
  <si>
    <t>Lead Generator app (v1)</t>
  </si>
  <si>
    <t>Working on issue APPS-9</t>
  </si>
  <si>
    <t>Client Touchpoint Planner app (v1)</t>
  </si>
  <si>
    <t>Working on issue APPS-79</t>
  </si>
  <si>
    <t>APPS-251</t>
  </si>
  <si>
    <t>Impetus HR/Compliance app</t>
  </si>
  <si>
    <t>Working on issue APPS-251</t>
  </si>
  <si>
    <t>ZAPI-92</t>
  </si>
  <si>
    <t>Allow download of CSV with raw polling and Q&amp;A report data (same or as close as possible to Zoom's version of this — see attached</t>
  </si>
  <si>
    <t>Working on issue ZAPI-92</t>
  </si>
  <si>
    <t>APPS-233</t>
  </si>
  <si>
    <t>As an Impetus staff member, I can submit feedback on an app via sidebar menu with a URL referrer to screen on app that's being tested</t>
  </si>
  <si>
    <t>Create data table.</t>
  </si>
  <si>
    <t>APPS-11</t>
  </si>
  <si>
    <t>APPS-226</t>
  </si>
  <si>
    <t>Add direct link to request modification or cancellation to SVT and AVT automatic reminder emails (report workflow)</t>
  </si>
  <si>
    <t>Change form  display to "tabs", relabel tab names, improve PKs consistency</t>
  </si>
  <si>
    <t xml:space="preserve">Create a dashboard view on which the sales person can view the details of he proposal its touchpoint and the touchpoints details, it wasnt possible to dsiplay a form into the dashbaord view </t>
  </si>
  <si>
    <t>Get "Proposal" table and reproduce values to "project" table. Create "Thank you" page as the finish view for AVT/SVT client intake form</t>
  </si>
  <si>
    <t xml:space="preserve">Worked on implementing changes to the dashboard view and making changes to the sales opportunity such as chnaging displaying names. Also created a thank you page for the lead generator app(resized the image as it wouldnt fit on the image field section). </t>
  </si>
  <si>
    <t>APPS-264</t>
  </si>
  <si>
    <t>Cleanup Tasks</t>
  </si>
  <si>
    <t>READY FOR REVIEW</t>
  </si>
  <si>
    <t>Do clean up task, create "Thank you page"</t>
  </si>
  <si>
    <t>APPS-177</t>
  </si>
  <si>
    <t>APPS-244</t>
  </si>
  <si>
    <t>As a salesperson/prospect, I can see a real-time visual timeline or progression of my touchpoints as I am adding them to a new proposal</t>
  </si>
  <si>
    <t xml:space="preserve">Worked on implementing the new way of creating a proposal. I created four different slices of proposals each of them is for one stage of the live creation of a proposal. Also worked on implementing the appsheet on the website but it still doesnt show anything </t>
  </si>
  <si>
    <t>Create the UX with 3 options.</t>
  </si>
  <si>
    <t>Do some cleanup tasks, get the proposal start date and end date</t>
  </si>
  <si>
    <t>Implemented a working iframe on the wordpress website, what i am missing is to get working the prefilling of the action field on the iframe. Created new columns on the proposal table which are the currency, total of honorariums and grand total costs(each of the fields) have different formulas. i have worked on the new appsheet that is going to be displayer on the wordpress webiste.</t>
  </si>
  <si>
    <t>ZAPI-60</t>
  </si>
  <si>
    <t>As a meeting administrator, I can designate meeting/webinar roles (e.g. co-hosts) and customize display names (e.g. Impetus Support [Fname Lname])</t>
  </si>
  <si>
    <t>Working on issue ZAPI-60</t>
  </si>
  <si>
    <t>Do testing with app view filter, finishing the details for feedback app</t>
  </si>
  <si>
    <t>Working on issue APPS-230</t>
  </si>
  <si>
    <t>APPS-254</t>
  </si>
  <si>
    <t>As a salesperson, I can define canned touchpoint inclusions and insert them into touchpoint form</t>
  </si>
  <si>
    <t>Worked on Creating new table called "Service inclusion" which carries its description value to the touchpoints as one of the fields inittial value and can be editable. Also created a new field on the proposal in order to add additional contacts that are related to the contact lead.</t>
  </si>
  <si>
    <t>5e95be7f18b8ed0c0f5adb36</t>
  </si>
  <si>
    <t>Frantisek Trusa</t>
  </si>
  <si>
    <t>ZAPI-65</t>
  </si>
  <si>
    <t>Prevent users from trying to add more than 25 polls</t>
  </si>
  <si>
    <t>Working on issue ZAPI-65</t>
  </si>
  <si>
    <t>Change icons image, create feedback view on other apps</t>
  </si>
  <si>
    <t>APPS-302</t>
  </si>
  <si>
    <t>Create HTML email template that we can use to customize the email that is sent to approved downloaders</t>
  </si>
  <si>
    <t xml:space="preserve">Worked on creating a new HTML email template and implementing them instead of the gdocs. worked on making the html template more appealable to the end user </t>
  </si>
  <si>
    <t>APPS-50</t>
  </si>
  <si>
    <t>ZAPI-110</t>
  </si>
  <si>
    <t>Flow diagram for registration and approval processes</t>
  </si>
  <si>
    <t>Working on issue ZAPI-110</t>
  </si>
  <si>
    <t>APPS-236</t>
  </si>
  <si>
    <t>Deployment process</t>
  </si>
  <si>
    <t>Create "Touchpoint planner" app as an intake form version for client</t>
  </si>
  <si>
    <t>APPS-325</t>
  </si>
  <si>
    <t>Move ‘Prospective client’ and their organization to top of sales opportunity and change sales opportunity naming defaults</t>
  </si>
  <si>
    <t>Worked on implementing changes recommended on the sales pipeline such as add new prefilled columns to the sales opportunity. Not show some columns on forms. add the create, edit by, last edit on most of the tables. make changes on email template.</t>
  </si>
  <si>
    <t>APPS-334</t>
  </si>
  <si>
    <t>Complete validation screens</t>
  </si>
  <si>
    <t>Complete validation process on "Touchpoint planner"</t>
  </si>
  <si>
    <t>APPS-331</t>
  </si>
  <si>
    <t>APPS-337</t>
  </si>
  <si>
    <t>Do research on "App version"</t>
  </si>
  <si>
    <t>Reseach "Default, latest and stable" app version</t>
  </si>
  <si>
    <t>APPS-341</t>
  </si>
  <si>
    <t>As a salesperson, I can view the projects a contact is the client lead for</t>
  </si>
  <si>
    <t xml:space="preserve">worked on changes suggested on last meeting such as changing the order of some columns on the proposals tabel. created 4 different slices of the proposal in order to display few information at a time when filling the proposal's form </t>
  </si>
  <si>
    <t>APPS-336</t>
  </si>
  <si>
    <t xml:space="preserve">Apply security filter to SVT and AVT tables </t>
  </si>
  <si>
    <t>Apply and test security filters on "Touchpoint palnner"</t>
  </si>
  <si>
    <t>Pass request IDs from AVT/SVT to security view</t>
  </si>
  <si>
    <t xml:space="preserve">Worked on sales opportunities and proposal in order to show multiple relates interactions into the contacts detail view and  start doing some reasearch about how to implement multiple   clients on the proposal </t>
  </si>
  <si>
    <t>As a client, I am prompted to enter my email before filling out my SVT/AVT intake form</t>
  </si>
  <si>
    <t xml:space="preserve">Create a separate "Impetus Authenticator" app </t>
  </si>
  <si>
    <t>Looked into a way to reference the “additional client stakeholders” to the proposal but i couldnt find a way to do it because if I make the column type “ref“ it will allow only to select one contact but we want to be able to select multiple contacts.</t>
  </si>
  <si>
    <t>As an attendee, I can register for a meeting/webinar via our new Events portal</t>
  </si>
  <si>
    <t>Working on issue ZAPI-9</t>
  </si>
  <si>
    <t>Revise email workflow and daily reminder for AVT request.</t>
  </si>
  <si>
    <t>APPS-342</t>
  </si>
  <si>
    <t>As a salesperson, I can add notes to contacts and see interactions from sales opportunities</t>
  </si>
  <si>
    <t>Created a way on how to use the same table of notes for contcats and sales opportunities, had to implement a formula with an if statement in order to prefield the contact on the sales opportunity</t>
  </si>
  <si>
    <t>Revise email workflow and daily reminder for SVT request.</t>
  </si>
  <si>
    <t>APPS-355</t>
  </si>
  <si>
    <t xml:space="preserve">create a join table for the "associated client stakeholders" in order to link then to a proposals and show the linked </t>
  </si>
  <si>
    <t xml:space="preserve">Worked on implementing a new table to the sales pipeline data sheet in order to use the same interactions table on the sales opportunities and the contacts. Also worked on making small changes to the contcats order and organization logo where to be displayed. </t>
  </si>
  <si>
    <t>ITP-1868</t>
  </si>
  <si>
    <t>Alternating line colours in annotated pdf reports</t>
  </si>
  <si>
    <t>Working on issue PD-1868</t>
  </si>
  <si>
    <t>APPS-345</t>
  </si>
  <si>
    <t>Apply security filter to smaller tables</t>
  </si>
  <si>
    <t>Apply security filters to all tables. Additionally, delete any "abundant" tables for "Touchpoint Planner" app.</t>
  </si>
  <si>
    <t>APPS-350</t>
  </si>
  <si>
    <t>Rename "Project Requests" app to "Project Manager" (including app folder name)</t>
  </si>
  <si>
    <t>Change storage destination to the new "Project Data" spreadsheet. Fix related formulas and links to the new "Projects" table</t>
  </si>
  <si>
    <t>APPS-132</t>
  </si>
  <si>
    <t>APPS-338</t>
  </si>
  <si>
    <t>Hide "Interactions" and "Planning documents" from new sales opportunity form and move planning documents into interactions</t>
  </si>
  <si>
    <t xml:space="preserve">Worked on merging the interactions and the planning documents. Implemented new buttons to change the status of the sales opportunities , got two way of doing it just waiting for review and final implementation. </t>
  </si>
  <si>
    <t>Implement [Authenticated] status to do filter</t>
  </si>
  <si>
    <t>APPS-356</t>
  </si>
  <si>
    <t>Refinements to Opportunity status field</t>
  </si>
  <si>
    <t>Made some rows on this table required to be filled in order to have a better undesratnding of what is beign saved. Worked on finding ways to add multiple notes from the same note from instead of saving it and then having to add a new one again. make chnages discussed on the meeting suhc as create multiple columns on the planning documnets such as "created, las edit, edited by" .</t>
  </si>
  <si>
    <t>Security filters now work based on [Authenticated] column. Also remove abundant data tables in "Touchpoint Planner"</t>
  </si>
  <si>
    <t>APPS-364</t>
  </si>
  <si>
    <t>As a salesperson, I can indicate where project work will be conducted</t>
  </si>
  <si>
    <t>Implemented into reductions and addons a referenced list of products. worked on the proposal in order to automatically prepopulated the currency field depending on which country the project is goign to be taken place.</t>
  </si>
  <si>
    <t>Implement the "Change status email" workflow. Now whenever client change the status of [Client status] column, an email will be sent to Impetus lead email.</t>
  </si>
  <si>
    <t>APPS-266</t>
  </si>
  <si>
    <t>Data migration for contacts, orgs, sales opportunities, prospective clients, salesperson profiles, etc.</t>
  </si>
  <si>
    <t xml:space="preserve">Worked on the new app of "Products" on which most of the information was transfered from the Sales Opportunities. The old data tables from the sales opportunities need to be deleted but i am just waiting to review if all the data was ttransfered and after that i will delet it </t>
  </si>
  <si>
    <t>APPS-267</t>
  </si>
  <si>
    <t>Finish status change email workflow and do documentation</t>
  </si>
  <si>
    <t>APPS-262</t>
  </si>
  <si>
    <t>Cleanup tasks (due Aug 21)</t>
  </si>
  <si>
    <t>Worked on clean up task to have version 1 ready to be tested. Also worked on new app of products and services different views and actions in order to add new products to the addons/ reductions while beign in dashboard view.</t>
  </si>
  <si>
    <t>Shorten the authentication link using HTML. Additionally, implement the [Send email to client] enum. Get rid of old Send email action.</t>
  </si>
  <si>
    <t>APPS-378</t>
  </si>
  <si>
    <t>Update “Data Storage” of all relevant tables in the Sales Pipeline to use the version in the Product and Service Data sheet (and then delete the old tables in the Sales Pipeline Data sheet)</t>
  </si>
  <si>
    <t>Worked on updating the data storage of the sales pipeline of products and its related tables such as addons, redutcions, bundles,etc. Made changes discussed on the meeting and look for a way to display dynamically addons/reductions and its related products on a dashboard view</t>
  </si>
  <si>
    <t>APPS-374</t>
  </si>
  <si>
    <t>Fix the bug where email shows html code instead of plain text. Apply the fix to workflows and reports.</t>
  </si>
  <si>
    <t>Made changes to the sales pipeline "Touchpoints" formulas because we are using new tables to make relations between products and addons/reductions. Made changes on different views of the Pructs and services app.</t>
  </si>
  <si>
    <t>ZAPI-111</t>
  </si>
  <si>
    <t>Spin up events.impetusdigital.com portal to serve as a hub for SVTs</t>
  </si>
  <si>
    <t>Working on issue ZAPI-111</t>
  </si>
  <si>
    <t>[Old] As a project manager, I can set up a new project based on a final proposal</t>
  </si>
  <si>
    <t>Create kanban board and project calendar view</t>
  </si>
  <si>
    <t>APPS-388</t>
  </si>
  <si>
    <t>Cleanup tasks</t>
  </si>
  <si>
    <t>Worked on cleaning up tasks on sales pipeline. Also what mainly took most of my time was implementing the new tables of "Products with addons and products with reductions" into the sales pipeline. I changed most of the formulas of the table touchpoints in order to use the new tables. The old ways of getting the related addons and reductions didnt work anymore because we decided to change the ways of how to related a product with an addon/reduction so had to implement new ways to display a list of related addons/reductions. The app broke couple of times but i fixed everyhting.</t>
  </si>
  <si>
    <t>APPS-351</t>
  </si>
  <si>
    <t>As a CST user, I can log my time on applicable task types</t>
  </si>
  <si>
    <t>Create log time action on project level and SVT/AVT task level
(Project level &gt;AVT/SVT &gt; Task level)</t>
  </si>
  <si>
    <t>APPS-80</t>
  </si>
  <si>
    <t>APPS-360</t>
  </si>
  <si>
    <t>Migrate from test app to Follow-Up Manager app</t>
  </si>
  <si>
    <t>Worked on implementing new changes on view on the new app called follow-up manager. the creation of the different views were mostly tables and i have selected only columns that seemed relevant to me. Also, I worked on more clean up task for the sales pipeline</t>
  </si>
  <si>
    <t>APPS-307</t>
  </si>
  <si>
    <t>ZAPI-113</t>
  </si>
  <si>
    <t>Fix table display in panel for participants report</t>
  </si>
  <si>
    <t>Working on issue ZAPI-113</t>
  </si>
  <si>
    <t>APPS-414</t>
  </si>
  <si>
    <t>Create a predetermined task list table for SVT requests.</t>
  </si>
  <si>
    <t xml:space="preserve">Create "Epic" with short code for projects. Create a search form so user can search projects by epic or by Impetus lead name. </t>
  </si>
  <si>
    <t>APPS-413</t>
  </si>
  <si>
    <t xml:space="preserve">Create a relation between the sales pipeline and the follow up manager </t>
  </si>
  <si>
    <t>worked on implementing a way to relate and create a schedule email from the sales oppportunity. It prepopulated all the information on the scheduled email form with the sales opp information.</t>
  </si>
  <si>
    <t>APPS-326</t>
  </si>
  <si>
    <t>As a client, I can access a meeting report with webinar attendance, meeting/webinar polling, Q&amp;A, and other webinar reports via Reports API</t>
  </si>
  <si>
    <t>Working on issue ZAPI-18</t>
  </si>
  <si>
    <t>Projects app (v1)</t>
  </si>
  <si>
    <t>move the "Task" table to SVT/AVT section so that we have the proper structure : Project&gt;Touchpoint(SVT/AVT)&gt;Task. Also pull related touchpoints data when we initiate new project</t>
  </si>
  <si>
    <t>APPS-57</t>
  </si>
  <si>
    <t>As a marketer, I can create website download demo request forms with processing queues and automatic follow-ups</t>
  </si>
  <si>
    <t>Worked on testing the lead generator app from implementing the ifram on the website to submitting a request on the website and vetting potential client. Also, did some clean uptasks</t>
  </si>
  <si>
    <t>Making files downloadable.</t>
  </si>
  <si>
    <t>Fixing conversion job VBR settings and making video files downloadable.</t>
  </si>
  <si>
    <t>Change label for "Save" button in every form</t>
  </si>
  <si>
    <t>Create "Task list" table as a predetermined dataset to set up new tasks when a new SVT is initiated</t>
  </si>
  <si>
    <t>APPS-410</t>
  </si>
  <si>
    <t>Add more search options (date, status, organization, email) to "Search" form</t>
  </si>
  <si>
    <t>Add search by status and organization</t>
  </si>
  <si>
    <t>Worked on clean up tasks and started testing everything on the sales pipeline from creating an organization, contact, imoetus staff and sales opp.</t>
  </si>
  <si>
    <t xml:space="preserve">Worked on clean up tasks and reviewed some tasks Nikita have assigned back to me. </t>
  </si>
  <si>
    <t>APPS-366</t>
  </si>
  <si>
    <t>Spin up pm.impetusdigital.com portal to serve as project management hub for CST</t>
  </si>
  <si>
    <t>Working on issue APPS-366</t>
  </si>
  <si>
    <t>Create a relationship between "Synchronous requests" and "Task list" tables.</t>
  </si>
  <si>
    <t>Fix the "Search by" options so that user can only choose one value instead of multiple values</t>
  </si>
  <si>
    <t xml:space="preserve">Worked with Kirsti giving some explanation on how vetting a user works and answering more questions. Also worked looked into the sales pipeline start date because it is not accurated. </t>
  </si>
  <si>
    <t>ZAPI-104</t>
  </si>
  <si>
    <t>Add actions column to the list of recordings table with the action "Copy and edit" (copies raw video to streaming service file type)</t>
  </si>
  <si>
    <t>Working on issue ZAPI-104</t>
  </si>
  <si>
    <t>ZAPI-103</t>
  </si>
  <si>
    <t>Rename "Recordings" section to "Recording management" and place the table in a collapsible fieldset</t>
  </si>
  <si>
    <t>Working on issue ZAPI-103</t>
  </si>
  <si>
    <t>Change "Project epic" label, use tables from "Products and Services" datasheet to repopulate touchpoints into projects</t>
  </si>
  <si>
    <t>Change Time log labels and layout, add the option to select date</t>
  </si>
  <si>
    <t>APPS-406</t>
  </si>
  <si>
    <t>All sales opportunities have start date of 07/01/2020 regardless of what dates are entered in the TP.</t>
  </si>
  <si>
    <t xml:space="preserve">Fixed potential start date from sales opportunity and worked on tasks  mentioned on the meeting. Also, read the appsheet  latest news in order to report back to my team. </t>
  </si>
  <si>
    <t>ZAPI-61</t>
  </si>
  <si>
    <t>As an Impetus staff member, I can view all scheduled client meetings, dry runs, etc. and their meeting IDs, portal links to join, Impetus resources, etc.</t>
  </si>
  <si>
    <t>Working on issue ZAPI-61</t>
  </si>
  <si>
    <t>ZAPI-122</t>
  </si>
  <si>
    <t xml:space="preserve">if "custom url" is selected, add email address parameter to URL for registrants who need to be manually approved </t>
  </si>
  <si>
    <t>Working on issue ZAPI-122</t>
  </si>
  <si>
    <t>APPS-423</t>
  </si>
  <si>
    <t>As a CST user, I can comment on a task and reply, and receive email notification for both.</t>
  </si>
  <si>
    <t>Create 3 new tables, create relationship between tasks, comments, replies and tags</t>
  </si>
  <si>
    <t>APPS-420</t>
  </si>
  <si>
    <t>On scheduled email form, allow "Follow-up date" to be editable, add validation after now(), set initial value</t>
  </si>
  <si>
    <t>worked on follow up manager in order to create a schdule meail from the sales pipeline only if demo has been given to client and did clean up tasks</t>
  </si>
  <si>
    <t>Design layout using card view for comments. User can also tag Impetus staff into comment.</t>
  </si>
  <si>
    <t xml:space="preserve">worked on follow up clean up task for example chnage names of fields, hide columns, add new columns in order to select first email of each series </t>
  </si>
  <si>
    <t>ZAPI-127</t>
  </si>
  <si>
    <t>Display more user-friendly video statuses</t>
  </si>
  <si>
    <t>Working on issue ZAPI-127</t>
  </si>
  <si>
    <t>ZAPI-126</t>
  </si>
  <si>
    <t>Only display the user access checkboxes for exported videos</t>
  </si>
  <si>
    <t>Working on issue ZAPI-126</t>
  </si>
  <si>
    <t>ZAPI-125</t>
  </si>
  <si>
    <t>Refresh the recording list when the user access checkboxes are modified</t>
  </si>
  <si>
    <t>Working on issue ZAPI-125</t>
  </si>
  <si>
    <t>ZAPI-124</t>
  </si>
  <si>
    <t>Refresh the videos table when a video is saved</t>
  </si>
  <si>
    <t>Working on issue ZAPI-124</t>
  </si>
  <si>
    <t>The tagged person will now receive a notification email and a link that directs to the comment/reply that he/she is tagged on.</t>
  </si>
  <si>
    <t>APPS-405</t>
  </si>
  <si>
    <t>Test "Lead Generator app" and iframe embedded on website</t>
  </si>
  <si>
    <t xml:space="preserve">Implemented changes kirsti suggested on the lead generator app and work on chnages suggested on daily meeting </t>
  </si>
  <si>
    <t>ZAPI-112</t>
  </si>
  <si>
    <t>Updates to form descriptions on event registration page</t>
  </si>
  <si>
    <t>Working on issue ZAPI-112</t>
  </si>
  <si>
    <t>ZAPI-131</t>
  </si>
  <si>
    <t>Verify that the v2 changes follow our coding standards</t>
  </si>
  <si>
    <t>Working on issue ZAPI-131</t>
  </si>
  <si>
    <t>APPS-427</t>
  </si>
  <si>
    <t xml:space="preserve">Provide user options to search multiple criteria. </t>
  </si>
  <si>
    <t>Provide multi values search (For example: Search by "Project status" &gt; Can choose "Pending PO" AND "In Progress" )</t>
  </si>
  <si>
    <t>Change the email notifications from email body to email template (include Impetus logo, hyperlink)</t>
  </si>
  <si>
    <t>APPS-424</t>
  </si>
  <si>
    <t>Add predefined time as a quick selection option: 15, 30, 45, 60 minutes and a custom value</t>
  </si>
  <si>
    <t>Add quick time selection, set up appropriate field type to ensure valid data entry</t>
  </si>
  <si>
    <t>APPS-398</t>
  </si>
  <si>
    <t>Make initial value of LinkedIn profile field search of their first name, last name, and org (similar to lead gen app) and add action to deck view to search for them</t>
  </si>
  <si>
    <t xml:space="preserve">Worked on calculation of addons depeding if they are varibale or not. Made changes on sales pipeline and lead generator app. The changes were suggested by mark. Had meeting in which we talked about the follow up manager and add ons value calculation </t>
  </si>
  <si>
    <t>ZAPI-105</t>
  </si>
  <si>
    <t>List copied video files (in streaming format) to another list within the recording management fieldset</t>
  </si>
  <si>
    <t>Working on issue ZAPI-105</t>
  </si>
  <si>
    <t>ZAPI-115</t>
  </si>
  <si>
    <t>Organize registration form on panel widget editor</t>
  </si>
  <si>
    <t>Working on issue ZAPI-115</t>
  </si>
  <si>
    <t>ZAPI-114</t>
  </si>
  <si>
    <t>Show form to admins on registration page after saving pane</t>
  </si>
  <si>
    <t>Working on issue ZAPI-114</t>
  </si>
  <si>
    <t>ZAPI-134</t>
  </si>
  <si>
    <t>Correct web meeting registration form redirect</t>
  </si>
  <si>
    <t>Working on issue ZAPI-134</t>
  </si>
  <si>
    <t>ZAPI-133</t>
  </si>
  <si>
    <t>Correct the formatting of the web meeting registration email</t>
  </si>
  <si>
    <t>Working on issue ZAPI-133</t>
  </si>
  <si>
    <t>ZAPI-132</t>
  </si>
  <si>
    <t>Update the web meeting registration pane title and description</t>
  </si>
  <si>
    <t>Working on issue ZAPI-132</t>
  </si>
  <si>
    <t>ITP-1871</t>
  </si>
  <si>
    <t>Add touchpoint completion indicator to the top of each touchpoint page</t>
  </si>
  <si>
    <t>Working on issue PD-1871</t>
  </si>
  <si>
    <t>Doing research on the the Appsheet Automation</t>
  </si>
  <si>
    <t>Do documentations on some views, search form and actions</t>
  </si>
  <si>
    <t>User can now search my multiple conditions (e.g. Impetus lead with project status, status with organization name)</t>
  </si>
  <si>
    <t xml:space="preserve">Implemented small changes suggested by Mark through all the sales pipeline and also made changes suggesd by Kirsti  on the lead generator app </t>
  </si>
  <si>
    <t>ZAPI-128</t>
  </si>
  <si>
    <t>As an Impetus staff member, I can view all meetings scheduled via our portal Zoom API on the ‘Impetus Events’ Google Calendar</t>
  </si>
  <si>
    <t>Working on issue ZAPI-128</t>
  </si>
  <si>
    <t>ZAPI-106</t>
  </si>
  <si>
    <t>Add actions column to list of copied videos with action "Edit video" and open a fullscreen video player with trimming tools</t>
  </si>
  <si>
    <t>Working on issue ZAPI-106</t>
  </si>
  <si>
    <t>ZAPI-141</t>
  </si>
  <si>
    <t xml:space="preserve">Multiple recording fieldsets displayed in web meeting reports and recordings widget </t>
  </si>
  <si>
    <t>Working on issue ZAPI-141</t>
  </si>
  <si>
    <t>ZAPI-163</t>
  </si>
  <si>
    <t>ZAPI-137</t>
  </si>
  <si>
    <t>Add meeting owner to the top of the roles list automatically when the meeting is created</t>
  </si>
  <si>
    <t>Working on issue ZAPI-137</t>
  </si>
  <si>
    <t>ITP-1873</t>
  </si>
  <si>
    <t>Remove the previous submissions link from submitted webform pages</t>
  </si>
  <si>
    <t>Working on issue PD-1873</t>
  </si>
  <si>
    <t>Create a sample AD/AM and DSS task list</t>
  </si>
  <si>
    <t>Research on Slack web hook and Google API integration</t>
  </si>
  <si>
    <t>Do research on adding multiple rows to a column</t>
  </si>
  <si>
    <t>APPS-432</t>
  </si>
  <si>
    <t>Pull values from touchpoint to add variable addon costs</t>
  </si>
  <si>
    <t xml:space="preserve">Created new columns on toichoints table in order to siplay addon related to the product previously selected and calculate the cost </t>
  </si>
  <si>
    <t>Working on issue APPS-414</t>
  </si>
  <si>
    <t>ZAPI-117</t>
  </si>
  <si>
    <t>Check if non-selected poll response options get displayed in poll reports</t>
  </si>
  <si>
    <t>Working on issue ZAPI-117</t>
  </si>
  <si>
    <t>ZAPI-87</t>
  </si>
  <si>
    <t xml:space="preserve">After a meeting has already been started by an admin, change the "Start meeting" button label for other admins to "Join meeting in progress" </t>
  </si>
  <si>
    <t>Working on issue ZAPI-87</t>
  </si>
  <si>
    <t>ITP-1874</t>
  </si>
  <si>
    <t>Multiple webform submission group conditions</t>
  </si>
  <si>
    <t>Working on issue PD-1874</t>
  </si>
  <si>
    <t>Create new action loops that can add multiple rows into a table</t>
  </si>
  <si>
    <t>APPS-344</t>
  </si>
  <si>
    <t>Move "Feedback" menu item to top of all app menus</t>
  </si>
  <si>
    <t>Implement Feedback view on all apps</t>
  </si>
  <si>
    <t>ZAPI-136</t>
  </si>
  <si>
    <t>An error is occurring when webinars are created</t>
  </si>
  <si>
    <t>Working on issue ZAPI-136</t>
  </si>
  <si>
    <t>ZAPI-146</t>
  </si>
  <si>
    <t>Display name does not show up in Zoom when registration form is used</t>
  </si>
  <si>
    <t>Working on issue ZAPI-146</t>
  </si>
  <si>
    <t>Change UX format for project status</t>
  </si>
  <si>
    <t xml:space="preserve">Now the rows from table "Task list" will be copied into "Tasks" table everytime a new SVT request is Initiated. The number of actions involved is now reduced to 3 (It was 12 actions before) </t>
  </si>
  <si>
    <t>APPS-460</t>
  </si>
  <si>
    <t>Changes to sales opportunity details view</t>
  </si>
  <si>
    <t>Made changes on the sales opportunities also left some commments for mark in order to understand better some tasks and make the correct changes</t>
  </si>
  <si>
    <t>ZAPI-144</t>
  </si>
  <si>
    <t>User can still download video in view only user access</t>
  </si>
  <si>
    <t>Working on issue ZAPI-144</t>
  </si>
  <si>
    <t>ZAPI-147</t>
  </si>
  <si>
    <t>Deploy web meeting v2 features</t>
  </si>
  <si>
    <t>Working on issue ZAPI-147</t>
  </si>
  <si>
    <t>Create table "Who does what" and "Who does what template". Create UX views so that user can add/edit task templates</t>
  </si>
  <si>
    <t>ZAPI-135</t>
  </si>
  <si>
    <t>Make meeting registration approval link easier to understand</t>
  </si>
  <si>
    <t>Working on issue ZAPI-135</t>
  </si>
  <si>
    <t>ZAPI-140</t>
  </si>
  <si>
    <t>Display "Zoom is processing the video recording, please try again later" within recording management fieldset</t>
  </si>
  <si>
    <t>Working on issue ZAPI-140</t>
  </si>
  <si>
    <t>ZAPI-139</t>
  </si>
  <si>
    <t>Join and leaving time should be in EST timezone</t>
  </si>
  <si>
    <t>Working on issue ZAPI-139</t>
  </si>
  <si>
    <t>ZAPI-123</t>
  </si>
  <si>
    <t>Create a "Submit button label" field on the panel form with default value "Register"</t>
  </si>
  <si>
    <t>Working on issue ZAPI-123</t>
  </si>
  <si>
    <t>Zoom API v2.2 (Cleanup) 🧹</t>
  </si>
  <si>
    <t>Working on issue ZAPI-86</t>
  </si>
  <si>
    <t>Migrate "Who does what" data from Jira to "Project manager"</t>
  </si>
  <si>
    <t>Made some changes suggested by mark on the sales opportunities also did some documentation and testing of the new improvements</t>
  </si>
  <si>
    <t>ZAPI-155</t>
  </si>
  <si>
    <t>As an authenticated user, I can register for meetings</t>
  </si>
  <si>
    <t>Working on issue ZAPI-155</t>
  </si>
  <si>
    <t>APPS-508</t>
  </si>
  <si>
    <t>Calculating additional fees for duration and participants</t>
  </si>
  <si>
    <t>Working on issue PDP-240</t>
  </si>
  <si>
    <t>PDP-242</t>
  </si>
  <si>
    <t>Research webform component options for tags</t>
  </si>
  <si>
    <t>Product Development</t>
  </si>
  <si>
    <t>Action Item</t>
  </si>
  <si>
    <t>PDP</t>
  </si>
  <si>
    <t>Working on issue PDP-242</t>
  </si>
  <si>
    <t>APPS-435</t>
  </si>
  <si>
    <t>Troubleshoot AppSheet iframe not showing in Safari</t>
  </si>
  <si>
    <t>Working on issue APPS-435</t>
  </si>
  <si>
    <t>Worked on troubleshooting the problem that the iframe was having on the browsers. We found the error and it was related to allowing or not cookies on the browser. Also we found a solution which was implement the iframe on the main page of impetus and not as a pop-up</t>
  </si>
  <si>
    <t>Sales Pipeline app (v1)</t>
  </si>
  <si>
    <t>Working on issue PDP-66</t>
  </si>
  <si>
    <t>APPS-461</t>
  </si>
  <si>
    <t>Migrate from prototype app to Sales Pipeline</t>
  </si>
  <si>
    <t>Working on issue APPS-461</t>
  </si>
  <si>
    <t>APPS-142</t>
  </si>
  <si>
    <t>APPS-465</t>
  </si>
  <si>
    <t xml:space="preserve">Do a test of an email download and then ask kirsti if she received it to outreach and after she approves it , verify if i have received download </t>
  </si>
  <si>
    <t>Did complete test of website download form and lead generator app with the recipient email of outreach and users email that requested the information</t>
  </si>
  <si>
    <t>5f5125a6333edb00434bffaf</t>
  </si>
  <si>
    <t>Terry Waldner</t>
  </si>
  <si>
    <t>setup branch, data, investigate</t>
  </si>
  <si>
    <t>APPS-463</t>
  </si>
  <si>
    <t>Data modelling and project planning for Impetus IT/HR app</t>
  </si>
  <si>
    <t xml:space="preserve">Worked on doing some research in order to have an idea what each of the HR tables must have and then create a diagram for each table </t>
  </si>
  <si>
    <t>Implementing changes</t>
  </si>
  <si>
    <t>Review tasks</t>
  </si>
  <si>
    <t>Continued implementing (reviews with Trevor, tweaking)</t>
  </si>
  <si>
    <t>Test changes</t>
  </si>
  <si>
    <t>Finalize implementation, create Multidev site</t>
  </si>
  <si>
    <t>Review change</t>
  </si>
  <si>
    <t>Investigate requirements</t>
  </si>
  <si>
    <t>Debug test scenarios with Terry</t>
  </si>
  <si>
    <t>As a salesperson, I can export a proposal to Google Docs and invite the client to review</t>
  </si>
  <si>
    <t>Working on issue APPS-142</t>
  </si>
  <si>
    <t>ZAPI-161</t>
  </si>
  <si>
    <t>Illegal choice' validation error when selecting visible reports for a webinar</t>
  </si>
  <si>
    <t>Working on issue ZAPI-161</t>
  </si>
  <si>
    <t>APPS-466</t>
  </si>
  <si>
    <t>review name of columns on follow up manager tables</t>
  </si>
  <si>
    <t xml:space="preserve">Finish working on diagrams of HR data app and requested Mark to review diagrams and tables. Also started working on reviewing the names of the follow manager app and changing column names to have consistent formatting </t>
  </si>
  <si>
    <t>Create branch, start investigation</t>
  </si>
  <si>
    <t>Implementing solution</t>
  </si>
  <si>
    <t>ZAPI-154</t>
  </si>
  <si>
    <t>Zoom recordings database table is not created during update</t>
  </si>
  <si>
    <t>Investigate, revise, test, commit</t>
  </si>
  <si>
    <t>Debugging css generation issues</t>
  </si>
  <si>
    <t>Continued working on and testing solution</t>
  </si>
  <si>
    <t>Investigate permissions</t>
  </si>
  <si>
    <t>Working on issue PDP-111</t>
  </si>
  <si>
    <t>APPS-451</t>
  </si>
  <si>
    <t>Add touchpoint timeline graphic to top of proposal template</t>
  </si>
  <si>
    <t>Working on issue APPS-451</t>
  </si>
  <si>
    <t>APPS-252</t>
  </si>
  <si>
    <t>As Impetus IT, I can create and modify staff member records</t>
  </si>
  <si>
    <t>Working on issue APPS-252</t>
  </si>
  <si>
    <t>Working on issue ZAPI-154</t>
  </si>
  <si>
    <t>APPS-462</t>
  </si>
  <si>
    <t>Migrate Impetus Staff table to HR app database</t>
  </si>
  <si>
    <t>Working on issue APPS-462</t>
  </si>
  <si>
    <t>APPS-437</t>
  </si>
  <si>
    <t>Possible to change “View” link to “View all” on in-line tables?</t>
  </si>
  <si>
    <t>Did research with Jessica about deck view and view link</t>
  </si>
  <si>
    <t>Worked on the integration of the new actions that will help us generate proposals. also worked with Bryan in order to look for an alternative of changing the finish view of view all proposals. Also worked on the UX of the HR data app.</t>
  </si>
  <si>
    <t>Continued implementation, review changes and follow up tweaks</t>
  </si>
  <si>
    <t>ITP-1877</t>
  </si>
  <si>
    <t xml:space="preserve">TP builder makes pages with section titles longer than allowed character limit </t>
  </si>
  <si>
    <t>Investigate issue</t>
  </si>
  <si>
    <t>5f4030c48d89e300467faa05</t>
  </si>
  <si>
    <t>Go over changes with Terry</t>
  </si>
  <si>
    <t>Finish tweaks, copy css changes over to source</t>
  </si>
  <si>
    <t>Started investigation, understanding of how things work for this area</t>
  </si>
  <si>
    <t>Chat with Terry about fields</t>
  </si>
  <si>
    <t>worked on the new app "HR app" changed all the data source from the old one to the new one in all of the apps. Also worked on the addons table in order to display the fields of number of languages, participants, and hours depending on the addons selected</t>
  </si>
  <si>
    <t>Running various tests against changes</t>
  </si>
  <si>
    <t>Further investigation and planning</t>
  </si>
  <si>
    <t>Create multi-dev site</t>
  </si>
  <si>
    <t>Adding test case, running tests</t>
  </si>
  <si>
    <t>Zoom API v2.1 (Hot Fixes) 🔥</t>
  </si>
  <si>
    <t>Working on issue ZAPI-163</t>
  </si>
  <si>
    <t>worked with Bryan in order to update the data source of the staff in all his apps. Also, worked on troubleshooting the impetus lead app because it is not appearing on the iframe of the website. Also worked on this task and created new columns on some of the tables of the salespipeline</t>
  </si>
  <si>
    <t>Rerun tests, update branch and multi-dev</t>
  </si>
  <si>
    <t>Planning, creating files representing data, looking at integration</t>
  </si>
  <si>
    <t>Change direction to make the changes in custom_webforms and use an entity for new data</t>
  </si>
  <si>
    <t>Final tweaks made, changes uploaded and pull request created</t>
  </si>
  <si>
    <t>Continued development</t>
  </si>
  <si>
    <t xml:space="preserve">Kept working on this task and asked some questions to Elena to clarify some problems that i have encounter. Also worked on the touchpoints specially on the addons </t>
  </si>
  <si>
    <t>APPS-468</t>
  </si>
  <si>
    <t>As a salesperson, I can generate a touchpoint timeline slide from a completed proposal</t>
  </si>
  <si>
    <t>Working on issue APPS-468</t>
  </si>
  <si>
    <t>APPS-176</t>
  </si>
  <si>
    <t>Look into writing test, rework css solution as test not easy to write with proposed solution</t>
  </si>
  <si>
    <t>Investigate build failure</t>
  </si>
  <si>
    <t>Today i prepared a presentation about the new updated of the appsheet community. Also i kept working on the proposal builder with the help of Mark</t>
  </si>
  <si>
    <t>Chat with Terry about npm</t>
  </si>
  <si>
    <t>Tweaking and testing, alter tests for revised logic and add a couple new checks in the test scenarios</t>
  </si>
  <si>
    <t>Working on issue APPS-463</t>
  </si>
  <si>
    <t>Push up changes, merge them in, test on mutlidev, create pull request</t>
  </si>
  <si>
    <t>Database schema development/install functions and testing</t>
  </si>
  <si>
    <t>Review changes</t>
  </si>
  <si>
    <t>Working on issue APPS-465</t>
  </si>
  <si>
    <t>Do data modeling with Jessica regarding setup, database structure and flow diagram</t>
  </si>
  <si>
    <t>Troubleshoot calculations and data relationship with Jessica</t>
  </si>
  <si>
    <t>APPS-438</t>
  </si>
  <si>
    <t>Create “Number of translations” field default = 2, only show when translation add-on is selected. Should appear below the add-on field</t>
  </si>
  <si>
    <t>Help Jessica with show_if formulas</t>
  </si>
  <si>
    <t xml:space="preserve">I worked on the proposal builder now i am able to calculate the variable prices of the addons depending on the number of languages, participants and hours. </t>
  </si>
  <si>
    <t>Controller development</t>
  </si>
  <si>
    <t>Controller Development</t>
  </si>
  <si>
    <t>UI changes/integration</t>
  </si>
  <si>
    <t>Investigate status</t>
  </si>
  <si>
    <t>Update existing files</t>
  </si>
  <si>
    <t>Working on issue APPS-373</t>
  </si>
  <si>
    <t>APPS-477</t>
  </si>
  <si>
    <t>As a salesperson, I can initiate an internal proposal review process</t>
  </si>
  <si>
    <t>Working on issue APPS-477</t>
  </si>
  <si>
    <t>Working on issue APPS-460</t>
  </si>
  <si>
    <t>APPS-390</t>
  </si>
  <si>
    <t>Transfer product and add-on data from rate cards to app</t>
  </si>
  <si>
    <t>Working on issue APPS-390</t>
  </si>
  <si>
    <t>APPS-479</t>
  </si>
  <si>
    <t>Fix iframe issue on Workplace site</t>
  </si>
  <si>
    <t>Working on issue APPS-479</t>
  </si>
  <si>
    <t>Do data modeling with Jessica on database structure and diagram</t>
  </si>
  <si>
    <t>APPS-474</t>
  </si>
  <si>
    <t>System access tracking - user view</t>
  </si>
  <si>
    <t>Create IT access template and Polices template tables. Create UX views that allow add, edit, remove data</t>
  </si>
  <si>
    <t>APPS-473</t>
  </si>
  <si>
    <t>Onboarding checklist</t>
  </si>
  <si>
    <t>Data modeling and migrate "Onboarding Checklist" from confluence page to a spreadsheet template. Create UX view that allows add, edit, remove a checklist template</t>
  </si>
  <si>
    <t>APPS-472</t>
  </si>
  <si>
    <t>Impetus Staff profile setup</t>
  </si>
  <si>
    <t>Do data modeling and create tables with corresponding data types</t>
  </si>
  <si>
    <t xml:space="preserve">Impetus staff can add, remove, edit profile. </t>
  </si>
  <si>
    <t>APPS-469</t>
  </si>
  <si>
    <t>Set initial value for "Project name" to opportunity description on new proposals</t>
  </si>
  <si>
    <t xml:space="preserve">i worked on some of the sales pipeline clean up tasks assigned to me </t>
  </si>
  <si>
    <t>Resource cleanup</t>
  </si>
  <si>
    <t>Continued interface development</t>
  </si>
  <si>
    <t>Update s3 files</t>
  </si>
  <si>
    <t>Clean up resources</t>
  </si>
  <si>
    <t>Investigate if documentation is required</t>
  </si>
  <si>
    <t xml:space="preserve">configure tasks for the HR App
</t>
  </si>
  <si>
    <t>Working on issue APPS-10</t>
  </si>
  <si>
    <t xml:space="preserve">Create action buttons for user access and policies. </t>
  </si>
  <si>
    <t xml:space="preserve">Implement copy-paste feature for user accesses and policies. Now we can generate a whole list of related accesses/policies </t>
  </si>
  <si>
    <t>APPS-492</t>
  </si>
  <si>
    <t>Add "Internal reviewers" enumlist field with Impetus staff drop-down</t>
  </si>
  <si>
    <t>i worked on this new feature on the proposal. Also worked on a workflow that will trigger an email to the reviewers</t>
  </si>
  <si>
    <t>Continued work on interface functionality</t>
  </si>
  <si>
    <t>APPS-447</t>
  </si>
  <si>
    <t>Add proposal service costs and flow-through costs to proposal doc</t>
  </si>
  <si>
    <t>Working on issue APPS-447</t>
  </si>
  <si>
    <t>Provide ability to assign a checklist of 20 items to each staff. Each item in the checklist also has a status field to do system tracking.</t>
  </si>
  <si>
    <t xml:space="preserve">Create more fields for contractors staff. Now both Impetus staff and contractors share the same table but each will have different corresponding data fields. </t>
  </si>
  <si>
    <t>APPS-470</t>
  </si>
  <si>
    <t>Relabel field for additional client stakeholders</t>
  </si>
  <si>
    <t xml:space="preserve">Worked on clean up task assigned by to me </t>
  </si>
  <si>
    <t>Ask about recordings</t>
  </si>
  <si>
    <t>Respond to comment</t>
  </si>
  <si>
    <t>Update line colour order</t>
  </si>
  <si>
    <t>Continued interface functionality development</t>
  </si>
  <si>
    <t>Working on issue APPS-474</t>
  </si>
  <si>
    <t>APPS-495</t>
  </si>
  <si>
    <t>Earned time off</t>
  </si>
  <si>
    <t>Meetings</t>
  </si>
  <si>
    <t>Working on issue APPS-495</t>
  </si>
  <si>
    <t>Create  "versions" value that can be used to update assigned permissions/policies</t>
  </si>
  <si>
    <t>Change Impetus staff category values. Find profile pictures on LinkedIn</t>
  </si>
  <si>
    <t>Kept working on the clean up task and kept working on the workflow template for the internal reviewers</t>
  </si>
  <si>
    <t>Continued interface functionality</t>
  </si>
  <si>
    <t>APPS-480</t>
  </si>
  <si>
    <t>Change secondary header and fix styling for touchpoint inline card view</t>
  </si>
  <si>
    <t xml:space="preserve">Did clean up tasks of the sales pipeline </t>
  </si>
  <si>
    <t>Interface functionality</t>
  </si>
  <si>
    <t>Finish interface changes and testing adding, removing, etc.</t>
  </si>
  <si>
    <t xml:space="preserve">More interface testing, changes to add user to groups upon submission and testing, database data import logic from table being orphaned </t>
  </si>
  <si>
    <t>Research version tracking and JSON API on how to update an existing column</t>
  </si>
  <si>
    <t xml:space="preserve">Worked on cleaning up tasks in order to deploy the sales pipeline soon </t>
  </si>
  <si>
    <t>Run database migration tests, code review, tweaks</t>
  </si>
  <si>
    <t>Finish tweaks from code review, test everything again after changes, investigate automated test changes to make</t>
  </si>
  <si>
    <t>Test large file</t>
  </si>
  <si>
    <t>APPS-487</t>
  </si>
  <si>
    <t>Show proposal status field on proposal detail and form views</t>
  </si>
  <si>
    <t>Working on issue APPS-487</t>
  </si>
  <si>
    <t>APPS-375</t>
  </si>
  <si>
    <t>As a salesperson, I can associate add-ons and reductions with products</t>
  </si>
  <si>
    <t>Working on issue APPS-375</t>
  </si>
  <si>
    <t>Implement target tables and JSON API to keep track of new updates/changes on policies</t>
  </si>
  <si>
    <t>APPS-494</t>
  </si>
  <si>
    <t>Policy tracking</t>
  </si>
  <si>
    <t>Create and generate more columns for policies and onboarding checklist tables</t>
  </si>
  <si>
    <t xml:space="preserve">Worked with the feedback of Kirsti in order to improve UX on the lead generator app </t>
  </si>
  <si>
    <t>Altering and writing test cases for changes, add logic to remove  associated db entries if the webform is deleted, tweaks to use drupal function to get controller when needed, slight tweaks from testing</t>
  </si>
  <si>
    <t>Final user testing, run test cases, creation of multidev site</t>
  </si>
  <si>
    <t>Working on issue ZAPI-98</t>
  </si>
  <si>
    <t>Working on issue ZAPI-143</t>
  </si>
  <si>
    <t>Working on issue APPS-254</t>
  </si>
  <si>
    <t>Implement version tracking on checklist</t>
  </si>
  <si>
    <t>Kept working on the clean up tasks for the sales pipeline</t>
  </si>
  <si>
    <t>Investigate file download permissions</t>
  </si>
  <si>
    <t>Working on issue APPS-508</t>
  </si>
  <si>
    <t>ZAPI-169</t>
  </si>
  <si>
    <t>Prevent users from downloading unauthorized recording files</t>
  </si>
  <si>
    <t>Working on issue ZAPI-169</t>
  </si>
  <si>
    <t>Add email workflow for policy and onboarding checklist tracking</t>
  </si>
  <si>
    <t>Worked with the touchpoints table, added new columns on the table and reorder the fields. Also, started working with the "Touchpoint addons and reductions" table.</t>
  </si>
  <si>
    <t>Updating tasks</t>
  </si>
  <si>
    <t>Create PR</t>
  </si>
  <si>
    <t>Review Terry's changes</t>
  </si>
  <si>
    <t>APPS-507</t>
  </si>
  <si>
    <t>Get up to speed on Google Apps Script for maintenance of proposal builder</t>
  </si>
  <si>
    <t>Working on issue APPS-507</t>
  </si>
  <si>
    <t>Drupal 9 Migration Planning</t>
  </si>
  <si>
    <t>Working on issue EB9-2</t>
  </si>
  <si>
    <t>Set up plan and learn GAS</t>
  </si>
  <si>
    <t xml:space="preserve">Worked on the styling of some of the fields on the touchpoints table and implemented some conditional rules. </t>
  </si>
  <si>
    <t>Tweak to changes, testing, update multidev</t>
  </si>
  <si>
    <t>Deploy changes</t>
  </si>
  <si>
    <t>Assign for testing</t>
  </si>
  <si>
    <t>Go through Javascript classes on Sololearn and w3school to get familiar with syntax and platforms,</t>
  </si>
  <si>
    <t>APPS-499</t>
  </si>
  <si>
    <t>As a salesperson, if work will take place outside of Canada, I'm warned that additional programming may be required</t>
  </si>
  <si>
    <t>Created a new show field to input some working information when other country apart from canada is selected. Also, worked on other clean up task for the sales pipeline</t>
  </si>
  <si>
    <t>Update task statuses</t>
  </si>
  <si>
    <t>IM-516</t>
  </si>
  <si>
    <t>New Space for InSite Mapping™</t>
  </si>
  <si>
    <t>5f412f3d1ac29c0045fa3c5b</t>
  </si>
  <si>
    <t>Travis Drew</t>
  </si>
  <si>
    <t>Impetus Marketing</t>
  </si>
  <si>
    <t>Sub-task</t>
  </si>
  <si>
    <t>IM</t>
  </si>
  <si>
    <t>Working on issue IM-516</t>
  </si>
  <si>
    <t>IM-475</t>
  </si>
  <si>
    <t>Investigate testing</t>
  </si>
  <si>
    <t>Student Training Tasks</t>
  </si>
  <si>
    <t>Working on issue APPS-71</t>
  </si>
  <si>
    <t>APPS-509</t>
  </si>
  <si>
    <t>App styling / UI</t>
  </si>
  <si>
    <t>Working on issue APPS-509</t>
  </si>
  <si>
    <t>ZAPI-82</t>
  </si>
  <si>
    <t>Stress test recording transfer (long meetings could get up to ~5 GB)</t>
  </si>
  <si>
    <t>Working on issue ZAPI-82</t>
  </si>
  <si>
    <t>APPS-63</t>
  </si>
  <si>
    <t>Impetus Gmail add-on</t>
  </si>
  <si>
    <t>Working on issue APPS-63</t>
  </si>
  <si>
    <t>APPS-14</t>
  </si>
  <si>
    <t>Advisor Database app</t>
  </si>
  <si>
    <t>Working on issue APPS-14</t>
  </si>
  <si>
    <t xml:space="preserve">Go through Elena's script files </t>
  </si>
  <si>
    <t>APPS-505</t>
  </si>
  <si>
    <t>As a salesperson, I can specify portal hosting duration for each proposal</t>
  </si>
  <si>
    <t>Worked on the new fields of portal hosting and duration, also worked on the styling/UX of the sales pipeline</t>
  </si>
  <si>
    <t>ZAPI-143</t>
  </si>
  <si>
    <t>When the meeting is launched from the portal, host name is not replaced</t>
  </si>
  <si>
    <t>Create GAS files that trigger email whenever a new access log in registered in "Access log" table of "Impetus authenticator" app</t>
  </si>
  <si>
    <t>worked on the stress testing of proposals in order to generate proposals and see how many characters and touchpoints the dynamic graph could handled</t>
  </si>
  <si>
    <t>APPS-511</t>
  </si>
  <si>
    <t>Sales Pipeline v1 demo, product data entry, feedback collection from SAMS/ADs</t>
  </si>
  <si>
    <t>Working on issue APPS-511</t>
  </si>
  <si>
    <t>Create Gmai Add-ons</t>
  </si>
  <si>
    <t>Practice with Calendar script that can sync a project with calendar schedule</t>
  </si>
  <si>
    <t>Worked on the new table of touchpoints add-ons and made sure all the cost were calculated correctly.</t>
  </si>
  <si>
    <t>Document workflow and actions</t>
  </si>
  <si>
    <t>APPS-522</t>
  </si>
  <si>
    <t>Go through process of importing new advisors pre-touchpoint and updating word counts post-touchpoint</t>
  </si>
  <si>
    <t>Data modeling and analysis</t>
  </si>
  <si>
    <t>APPS-521</t>
  </si>
  <si>
    <t>APPS-138</t>
  </si>
  <si>
    <t>As a salesperson, I can add an overall discount % to a proposal</t>
  </si>
  <si>
    <t xml:space="preserve">worked on the organizations discounts, added new columns to the proposal implemented all changes on how the discount is implemented and made sue the total were all correct </t>
  </si>
  <si>
    <t>Update status</t>
  </si>
  <si>
    <t>Working on issue APPS-388</t>
  </si>
  <si>
    <t>APPS-520</t>
  </si>
  <si>
    <t>Org currency not editable and doesn't update</t>
  </si>
  <si>
    <t>Working on issue APPS-520</t>
  </si>
  <si>
    <t>Working on issue APPS-522</t>
  </si>
  <si>
    <t>APPS-523</t>
  </si>
  <si>
    <t xml:space="preserve">Make "therapeutic area" to be an enum list in the contacts and proposal record </t>
  </si>
  <si>
    <t>Working on issue APPS-523</t>
  </si>
  <si>
    <t>Working on issue APPS-138</t>
  </si>
  <si>
    <t>Learn how to create custom menu and triggers with Apps Script</t>
  </si>
  <si>
    <t>Test creating new advisors data and identify data types</t>
  </si>
  <si>
    <t>Worked with the new data of clients added to the contacts table and replace al the hardcoded field with its related ID. Also changed the column type of the therapeutic area on the contacts and proposals table. Also, worked on the discounts for the organizations and added new columns with conditional formatting.</t>
  </si>
  <si>
    <t>Create copy functions and edit the recruitment template</t>
  </si>
  <si>
    <t>Worked on the organization discounts. made some improvement created a new column on the proposals table with is an enum list. Also worked on deleting some tables from the sales pipeline data source. Changed the order of the cost slice of the proposal. Worked on the new actions in order to change the status of sales opp automatically.</t>
  </si>
  <si>
    <t>Investigation</t>
  </si>
  <si>
    <t>Working on issue PD-1877</t>
  </si>
  <si>
    <t>Searching for where still</t>
  </si>
  <si>
    <t>Investigation with Trevor</t>
  </si>
  <si>
    <t>Create html popups and duplicate checking</t>
  </si>
  <si>
    <t>Worked on implementing changes to the sales pipeline such as changes on views.</t>
  </si>
  <si>
    <t>Implementing solution, looking for side effects</t>
  </si>
  <si>
    <t>More testing looking for side effects</t>
  </si>
  <si>
    <t>Complete  the transfer apps script.</t>
  </si>
  <si>
    <t>APPS-512</t>
  </si>
  <si>
    <t>Default durations for each product</t>
  </si>
  <si>
    <t>Working on issue APPS-512</t>
  </si>
  <si>
    <t xml:space="preserve">Did some clean up tasks such as change the name of some columns. Change the display format of the date. </t>
  </si>
  <si>
    <t>Worked on calculating the number of months depending on the date of the touchpoints. Got max date and min date of touchpoints. Created a virtual column to display the number of months either if its manually entered or calculated by the formula.</t>
  </si>
  <si>
    <t>Investigating issue raised from DSS testing</t>
  </si>
  <si>
    <t>Further testing, discovered an issue in the menu title with the changes</t>
  </si>
  <si>
    <t>Figured out issue from DSS testing, unrelated to changes, reported back to Dan</t>
  </si>
  <si>
    <t>Complete merging duplicate between 2 spreadsheets</t>
  </si>
  <si>
    <t xml:space="preserve">Change code to using loops instead of hard codes. </t>
  </si>
  <si>
    <t xml:space="preserve">Worked on the workflow that trigger an email for the proposal reviewers and also worked doing some research about why the edit button points to the incorrect slice and it seems to be a bug in the system when we reference a table or deck on the details view of other data. Also created new edit button that points to the correct slice. </t>
  </si>
  <si>
    <t>Merging in master changes, some retesting</t>
  </si>
  <si>
    <t>Found another field affected by the change in length</t>
  </si>
  <si>
    <t>APPS-513</t>
  </si>
  <si>
    <t>Add featured image to touchpoint summary tables</t>
  </si>
  <si>
    <t>Working on issue APPS-513</t>
  </si>
  <si>
    <t>APPS-510</t>
  </si>
  <si>
    <t>Improvements to internal review request email</t>
  </si>
  <si>
    <t>Working on issue APPS-510</t>
  </si>
  <si>
    <t>APPS-526</t>
  </si>
  <si>
    <t>Error with new custom requirements and add-ons/reductions not being added to cost fields in details view</t>
  </si>
  <si>
    <t>Working on issue APPS-526</t>
  </si>
  <si>
    <t>Clean up syntax and comments</t>
  </si>
  <si>
    <t>Using arrays to show the alert only once instead oh multiple times</t>
  </si>
  <si>
    <t>Add touchpoint field, change format to recruitment template</t>
  </si>
  <si>
    <t>worked on the products table in order to delete one of the columns and went to the products app, tester app and sales pipeline app in order to regenerated the tables</t>
  </si>
  <si>
    <t>worked on the action button and made conditional statements in order to show some values to specific users and did some testing</t>
  </si>
  <si>
    <t>APPS-529</t>
  </si>
  <si>
    <t>If salesperson enters duration longer than product’s default duration, show warning</t>
  </si>
  <si>
    <t>Working on issue APPS-529</t>
  </si>
  <si>
    <t>APPS-448</t>
  </si>
  <si>
    <t>Project totals and org discount table</t>
  </si>
  <si>
    <t>Working on issue APPS-448</t>
  </si>
  <si>
    <t>APPS-527</t>
  </si>
  <si>
    <t>Create AppSheet database for participant data</t>
  </si>
  <si>
    <t>Create and import tables to AppSheet</t>
  </si>
  <si>
    <t>Created new virtual columns on touchpoints table. Also, did testing to see that every calculation was correct. made the same changes and testing on the testers app otherwise everything would have crashed.</t>
  </si>
  <si>
    <t xml:space="preserve">Worked on the reviewers email and also did some testing with Bryan in order to see if everything was working correctly and also to verify that some fields were hiden from the reviewers and requestors </t>
  </si>
  <si>
    <t>Continued hunting/testing</t>
  </si>
  <si>
    <t>Create pull request</t>
  </si>
  <si>
    <t>Still trying to hunt down/resolve all length conflicts</t>
  </si>
  <si>
    <t>APPS-530</t>
  </si>
  <si>
    <t>If more participants entered than ‘max participants’ on product, show warning</t>
  </si>
  <si>
    <t>Working on issue APPS-530</t>
  </si>
  <si>
    <t>APPS-528</t>
  </si>
  <si>
    <t>Create searching UX view</t>
  </si>
  <si>
    <t xml:space="preserve">Create metric view </t>
  </si>
  <si>
    <t>Create search form for name, email and specialty</t>
  </si>
  <si>
    <t>Worked on the products and service app data source because i encountered a problem on which I has to change couple of things on the add-ons and reductions table. also worked on the touchpoints table of the sales pipeline.</t>
  </si>
  <si>
    <t>Futile efforts, investigation with Trevor, implement change, testing</t>
  </si>
  <si>
    <t>Pull request, logic tweak</t>
  </si>
  <si>
    <t>Testing</t>
  </si>
  <si>
    <t>Testing, automated test creation, multidev setup</t>
  </si>
  <si>
    <t>APPS-533</t>
  </si>
  <si>
    <t>Migrate 50 real records from "Bryan's copy" to AppSheet for testing</t>
  </si>
  <si>
    <t>Migrate 50 records from "Bryan's copy"</t>
  </si>
  <si>
    <t>APPS-531</t>
  </si>
  <si>
    <t>Warning for events scheduled on weekends and holidays</t>
  </si>
  <si>
    <t xml:space="preserve">Worked on the validation of the touchpoint date also look a way to check if the day selected is the weekend or a week day. Fixed a formula on the sales opportunity contact and organizations. worked on finding a solution to replace the following character ' but had no luck </t>
  </si>
  <si>
    <t>Clean up codes and make some small changes on recruitment template</t>
  </si>
  <si>
    <t>Setup test data on multidev and verify functionality.</t>
  </si>
  <si>
    <t>Refine searching function</t>
  </si>
  <si>
    <t>Working on issue APPS-531</t>
  </si>
  <si>
    <t>Trouble shoot  error message</t>
  </si>
  <si>
    <t xml:space="preserve">worked on clean up tasks fo the sales pipeline and worked on the proposal generator in order to display accurate information. Replaced physical columns for virtual columns on the proposals table </t>
  </si>
  <si>
    <t>QA, change requests, pressure testing</t>
  </si>
  <si>
    <t>APPS-532</t>
  </si>
  <si>
    <t>Add CSV export option from "Participants" view</t>
  </si>
  <si>
    <t>Create export CSV action</t>
  </si>
  <si>
    <t>APPS-536</t>
  </si>
  <si>
    <t>As a salesperson, I can initiate key Sales Pipeline actions from Gmail</t>
  </si>
  <si>
    <t>Catch up with Sales pipeline Apps Script and create new action buttons</t>
  </si>
  <si>
    <t>Working on issue APPS-536</t>
  </si>
  <si>
    <t>Working on issue APPS-505</t>
  </si>
  <si>
    <t>APPS-514</t>
  </si>
  <si>
    <t>Add table for portal hosting fees above touchpoint summary tables</t>
  </si>
  <si>
    <t>Working on issue APPS-514</t>
  </si>
  <si>
    <t>Merging in master changes, updating multidev</t>
  </si>
  <si>
    <t>Adjust functions and widgets</t>
  </si>
  <si>
    <t>Worked on implementing changes to the internal reviewers email and actions. created different views instead of the inline view to display information from the reviewers. Bryan helped me with the sentence case changes on the therapeutic area.</t>
  </si>
  <si>
    <t>Do QA process for email workflow</t>
  </si>
  <si>
    <t>Working on issue APPS-266</t>
  </si>
  <si>
    <t>Edit and update the list of weekends and holidays</t>
  </si>
  <si>
    <t>Fix the titles and image links</t>
  </si>
  <si>
    <t>Worked on the proposals and add more features to the proposal reviewers. Assign Bryan to do some QA testing of the features implemented and worked on the portal hosting total to include into the proposals cost</t>
  </si>
  <si>
    <t>Test events schedule on weekend and holidays</t>
  </si>
  <si>
    <t>QA, clean-up, PM</t>
  </si>
  <si>
    <t>Research a way to parse email address from Gmail to AppSheet using URL</t>
  </si>
  <si>
    <t>Worked with Bryan in order to do QA of the whole process of a proposals creation. Encounter some problems and suggested some fixes. Also worked on the landing page of the reviewers and had the weekly meeting with Mark and gave him updates</t>
  </si>
  <si>
    <t>Test the process of reviewer and requestor</t>
  </si>
  <si>
    <t>APPS-535</t>
  </si>
  <si>
    <t>Update rollout processes for new products/service inclusions/pricing</t>
  </si>
  <si>
    <t>Working on issue APPS-535</t>
  </si>
  <si>
    <t>Test custom requirements and add-ons/reductions</t>
  </si>
  <si>
    <t>APPS-540</t>
  </si>
  <si>
    <t>Sample proposal test calculations</t>
  </si>
  <si>
    <t>Working on issue APPS-540</t>
  </si>
  <si>
    <t>Create new button that can replicate email value to the contact form</t>
  </si>
  <si>
    <t xml:space="preserve">Worked in clean up tasks in the proposals specially on the touchpoints. Worked with Bryan in order to solve some error encounter during Discounts QA. The discounts are displaying correctly when a discount is selected or not. Also worked finding a solution to the final view of the proposal's cost slice </t>
  </si>
  <si>
    <t>QA for discounts and reductions</t>
  </si>
  <si>
    <t>Move code to new file, clean code and implement error handling</t>
  </si>
  <si>
    <t>APPS-541</t>
  </si>
  <si>
    <t>As a salesperson, I can increase the total cost of touchpoint service costs by a % rate</t>
  </si>
  <si>
    <t>Created new Vcolumns for the proposals costs that calculates the total service cost depending on which premium was selected. The value calculated is used after any discounts are applied. worked on the landing page of the reviewers.</t>
  </si>
  <si>
    <t>Update task to send for testing</t>
  </si>
  <si>
    <t>Sales Pipeline app (v2)</t>
  </si>
  <si>
    <t>Working on issue APPS-176</t>
  </si>
  <si>
    <t>5b8040c6cd0cc72a612ca6fd</t>
  </si>
  <si>
    <t>Cecilia Petrus</t>
  </si>
  <si>
    <t>Get first name, last name from sender email</t>
  </si>
  <si>
    <t>Work with Jessica to test review process and fix the landing page bug</t>
  </si>
  <si>
    <t>APPS-544</t>
  </si>
  <si>
    <t>Add "Hosting duration" value to placeholders sheet</t>
  </si>
  <si>
    <t>Troubleshoot with Bryan error that appscript was given when a proposal without hosting was generated, also started doing some research about similar companies to snapbar and related tools</t>
  </si>
  <si>
    <t>Do QA process on hosting duration and portal fees</t>
  </si>
  <si>
    <t>ITP-1622</t>
  </si>
  <si>
    <t>Clients are unable to download CV's from the activity tracker</t>
  </si>
  <si>
    <t>Final QA, deployment, and training</t>
  </si>
  <si>
    <t>Working on issue APPS-267</t>
  </si>
  <si>
    <t>Backlog/sort</t>
  </si>
  <si>
    <t>Working on issue APPS-11</t>
  </si>
  <si>
    <t>APPS-539</t>
  </si>
  <si>
    <t>Anyone at Impetus can submit a product idea, IT request, or SAMS request from Gmail to Jira</t>
  </si>
  <si>
    <t>Working on issue APPS-539</t>
  </si>
  <si>
    <t>APPS-546</t>
  </si>
  <si>
    <t>Final review of proposal verbiage/content</t>
  </si>
  <si>
    <t>Working on issue APPS-546</t>
  </si>
  <si>
    <t>Natasha D'Alessandro</t>
  </si>
  <si>
    <t xml:space="preserve">Finished doing the reasearch for similar companies or tools to snapbar. Created action in order for the duration and customization to land on the correct details proposal page. Also, worked on the porducts and services app addons and reductions table in which have added new columns in order to know if the add-on has a variable or fixed cost, if variable is selected then what type of variable is asked.  </t>
  </si>
  <si>
    <t>QA process on the price %</t>
  </si>
  <si>
    <t>APPS-549</t>
  </si>
  <si>
    <t>Issue with displaying similar items on proposal doc</t>
  </si>
  <si>
    <t>Working on issue APPS-549</t>
  </si>
  <si>
    <t>Grab first name and construct the URL</t>
  </si>
  <si>
    <t>APPS-548</t>
  </si>
  <si>
    <t>Investigate SendGrid email verification API (integrate in Gmail/Mailchimp outreach processes) to improve open rates and reduce risk in getting flagged</t>
  </si>
  <si>
    <t>+ TLS investigation for Amgen</t>
  </si>
  <si>
    <t>Working on issue APPS-541</t>
  </si>
  <si>
    <t>Create sample organizations, contacts and sample proposals</t>
  </si>
  <si>
    <t>Trim double quote and coma from the name, also swap first name and last name if there's coma</t>
  </si>
  <si>
    <t>Recreate proposal and LEEP engagement plan</t>
  </si>
  <si>
    <t>APPS-551</t>
  </si>
  <si>
    <t>Show a warning in the contacts form if the email has already been saved in another contact</t>
  </si>
  <si>
    <t>Working on issue APPS-551</t>
  </si>
  <si>
    <t>APPS-550</t>
  </si>
  <si>
    <t>Show text + link to service inclusions on touchpoint form</t>
  </si>
  <si>
    <t>Working on issue APPS-550</t>
  </si>
  <si>
    <t>Create issue on Jira with detailed guide how to recreate duplicate name bug</t>
  </si>
  <si>
    <t>Create new proposal and test the bug</t>
  </si>
  <si>
    <t>Check duplicate email in the database, show warning and provide the link to the existing data instead</t>
  </si>
  <si>
    <t>Work with Jessica to troubleshoot the bug with auto added portal fees</t>
  </si>
  <si>
    <t>Give feedback to Jessica regarding the internal review process</t>
  </si>
  <si>
    <t>Construct URL link and check for existing email in spreadsheet</t>
  </si>
  <si>
    <t>did QA on the proposal generation specifically trying out the premium rates in which a found an error and fixed while creating a virtual column that has a show condition. Also finish other changes on the sales pipeline and contact table</t>
  </si>
  <si>
    <t>APPS-69</t>
  </si>
  <si>
    <t>As a salesperson, I can search and insert customer stories into prospect emails</t>
  </si>
  <si>
    <t>Working on issue APPS-69</t>
  </si>
  <si>
    <t>Research how to get folder and file from Drive and input them to Gmail add-on</t>
  </si>
  <si>
    <t>Working on issue APPS-80</t>
  </si>
  <si>
    <t>Build version 1 where the add-on button will pop-up customer stories</t>
  </si>
  <si>
    <t xml:space="preserve">Worked on the add-ons and reductions table in order to display how the total cost is calculated when an add-on is variable. also worked on the internal review worflow and implemented a new trigger in order to send updates when a review status has changed to done </t>
  </si>
  <si>
    <t>APPS-553</t>
  </si>
  <si>
    <t>Investigate permissions error</t>
  </si>
  <si>
    <t>Working on issue APPS-553</t>
  </si>
  <si>
    <t>Gmail add-on install for Jess, troubleshooting</t>
  </si>
  <si>
    <t>Build version 2 in which the script will grab the customer stories folder and input them to the add-on</t>
  </si>
  <si>
    <t>Create and organize folders/ files dynamically</t>
  </si>
  <si>
    <t>APPS-554</t>
  </si>
  <si>
    <t>Add program objectives to proposal builder, show full objective</t>
  </si>
  <si>
    <t>Worked on small changes to the sales pipeline, proposals. Also did some research about the new card view appsheet is displaying because i encountered a bug that display a delete word in the cards. Also, looked into the new task manager tasks. Did some QA on the proposal generator in rder to display the proposals objectives but had no luck so contacted Elena for advise</t>
  </si>
  <si>
    <t>Updating branch/multidev with master, quick retest, pull request</t>
  </si>
  <si>
    <t>Working on issue APPS-554</t>
  </si>
  <si>
    <t>Insert attachment pdf files into draft</t>
  </si>
  <si>
    <t>Fix the issue where the script cannot grab shortcut files</t>
  </si>
  <si>
    <t>Build extended gmail UI</t>
  </si>
  <si>
    <t>APPS-555</t>
  </si>
  <si>
    <t>As Alyssia, I can set up a new project from a proposal</t>
  </si>
  <si>
    <t>Working on issue APPS-555</t>
  </si>
  <si>
    <t>APPS-556</t>
  </si>
  <si>
    <t>On proposal details, add action "Transfer to CST" (will send email to Alyssia) and prompt the salesperson to check all data beforehand</t>
  </si>
  <si>
    <t>Working on issue APPS-556</t>
  </si>
  <si>
    <t xml:space="preserve">Did some test on the proposal generation (objectives) also implemented more diagrams to the PM dashboard. Went through the Impetus apps tasks and highlited the most important tasks we will have to focus on this week. </t>
  </si>
  <si>
    <t>Build contextual UI and track the active draft/message</t>
  </si>
  <si>
    <t>APPS-557</t>
  </si>
  <si>
    <t>On Projects app, create new project form and insert as much proposal data as possible</t>
  </si>
  <si>
    <t xml:space="preserve">Worked with Bryan in order to solve the bug we found in Appsheet "Is part of" on the proposals. If a sales Opportunity is deleted the related proposals dont get deleted. Also, worked making some changes to the internal reviewers email and did some testing. Also, started looking into the new app "Projects" and brainstorm which columns should i use and which ones to use. </t>
  </si>
  <si>
    <t>Investigate build failures</t>
  </si>
  <si>
    <t>Research if it is possible to attach the file instead of URL to drive</t>
  </si>
  <si>
    <t>Redesign the gmail add-ons</t>
  </si>
  <si>
    <t>APPS-565</t>
  </si>
  <si>
    <t>Remove empty rows and add consistent space after list items in touchpoint tables</t>
  </si>
  <si>
    <t>Working on issue APPS-565</t>
  </si>
  <si>
    <t>APPS-545</t>
  </si>
  <si>
    <t>As a salesperson, I can initiate a proposal from Gmail</t>
  </si>
  <si>
    <t>Working on issue APPS-545</t>
  </si>
  <si>
    <t>Change page Url and improve email form handling</t>
  </si>
  <si>
    <t xml:space="preserve">Worked on the new projects app and on the sales pipeline fixing a bug i encountered that was related to the creation and las update date </t>
  </si>
  <si>
    <t>APPS-560</t>
  </si>
  <si>
    <t>After a project has been created, ensure all touchpoints from the proposal are referenced within the Projects app</t>
  </si>
  <si>
    <t>Working on issue APPS-560</t>
  </si>
  <si>
    <t>Working on issue APPS-557</t>
  </si>
  <si>
    <t>Troubleshoot the folder ID problem</t>
  </si>
  <si>
    <t>Change sales resources item in compose UI</t>
  </si>
  <si>
    <t>Display empty email, develop radio button and autofill type</t>
  </si>
  <si>
    <t>APPS-568</t>
  </si>
  <si>
    <t>On save of new proposal, set destination to proposal details so touchpoints can be added</t>
  </si>
  <si>
    <t xml:space="preserve">Worked on the weekly update of the Appsheet community on which I have found something interesting which is going to be very useful in the future formulas. Also, worked on the sales pipeline and projects app, also I need some data soruce update on the sales pipeline projects table. </t>
  </si>
  <si>
    <t>APPS-569</t>
  </si>
  <si>
    <t>Create "My proposals" slice for dashboard page</t>
  </si>
  <si>
    <t>Working on issue APPS-569</t>
  </si>
  <si>
    <t>APPS-354</t>
  </si>
  <si>
    <t>Revamp radio button form</t>
  </si>
  <si>
    <t xml:space="preserve">Worked on the projects app and implemented suggestions received during the meeting, going to start working on the sales pipeline projects app </t>
  </si>
  <si>
    <t>APPS-450</t>
  </si>
  <si>
    <t>As a salesperson or AD, I can save a signed proposal to the proposal record (Drive) via Gmail add-on</t>
  </si>
  <si>
    <t>Working on issue APPS-450</t>
  </si>
  <si>
    <t>APPS-572</t>
  </si>
  <si>
    <t>As a salesperson, I can manually enter a total value for a sales opportunity</t>
  </si>
  <si>
    <t>Working on issue APPS-572</t>
  </si>
  <si>
    <t>Remove dropdown, instead show the markup field for new sales opp</t>
  </si>
  <si>
    <t>APPS-573</t>
  </si>
  <si>
    <t>Update team sigs</t>
  </si>
  <si>
    <t>worked on the projects app and changed some virtual columns for physical columns in order to get the correct information on the sales pipeline too. Also, made some additions to the sales opportunity fields and created a formula that automatically calculates the correct expected sales opp value depending on different factors</t>
  </si>
  <si>
    <t>Default the proposal name the same with selected sales opp. Rebuild the form for dynamic change</t>
  </si>
  <si>
    <t>Working on issue APPS-573</t>
  </si>
  <si>
    <t>APPS-563</t>
  </si>
  <si>
    <t>File previews before inserting</t>
  </si>
  <si>
    <t>Get file thumbnails and dynamically insert them to the form</t>
  </si>
  <si>
    <t xml:space="preserve">Worked on making changes to the sales pipeline and looked into the formula that was not working , did deeply testing and seems that the formula is working fine its just that the initial value always will be zero. Also, worked with Bryan in order to figure it out how to design the projects table. </t>
  </si>
  <si>
    <t>APPS-564</t>
  </si>
  <si>
    <t>Ability to directly add attachments</t>
  </si>
  <si>
    <t>Attach file from composeUI</t>
  </si>
  <si>
    <t>Research a way to insert Drive file directly as attachment</t>
  </si>
  <si>
    <t>Working on issue APPS-564</t>
  </si>
  <si>
    <t>Do QA for total value</t>
  </si>
  <si>
    <t>Research Google Chrome Extension to attach file</t>
  </si>
  <si>
    <t>APPS-62</t>
  </si>
  <si>
    <t>As a salesperson, I can search for and insert objection responses and typical responses into prospect emails</t>
  </si>
  <si>
    <t>Working on issue APPS-62</t>
  </si>
  <si>
    <t>Investigating</t>
  </si>
  <si>
    <t>5eb9e8dca4c57d0b8b3d698a</t>
  </si>
  <si>
    <t>Joelle Robitaille</t>
  </si>
  <si>
    <t>ITP-1622 / Bi inhaleabilty - call A+A cv upload issues portal programming</t>
  </si>
  <si>
    <t>Working on issue ITP-1622</t>
  </si>
  <si>
    <t>Clean up code and set up new Impetus account for upcoming Objection handler app</t>
  </si>
  <si>
    <t>Investigate, trying to resolve</t>
  </si>
  <si>
    <t>ITP-1622 /BI tech issue</t>
  </si>
  <si>
    <t>BI Inhaleability - recruitment launch bug issues ITP-1622</t>
  </si>
  <si>
    <t>Clean code and start structuring the email objection</t>
  </si>
  <si>
    <t>Changes to CV link logic</t>
  </si>
  <si>
    <t>Create prototype where user can search responses</t>
  </si>
  <si>
    <t>Worked with Kirsti in order to make some changes to the internal review fields and tested it</t>
  </si>
  <si>
    <t>Copy for treatment sequencing demo</t>
  </si>
  <si>
    <t>Tweaking and testing</t>
  </si>
  <si>
    <t>Testing, multidev creation and testing</t>
  </si>
  <si>
    <t>Create button where user can search or browse through all responses</t>
  </si>
  <si>
    <t>Made changes on lead generator app that were requested by Kirsti</t>
  </si>
  <si>
    <t>CSS tweak</t>
  </si>
  <si>
    <t>Branch maintenance</t>
  </si>
  <si>
    <t>Work with Jess to gather feedback regarding new add-ons</t>
  </si>
  <si>
    <t>Worked on solving the error on the iframe added to the wordpress website and made changes Kirsti requested</t>
  </si>
  <si>
    <t>Made more chnages to the email formts and app description to the elad generator app and impetus website downloaders app</t>
  </si>
  <si>
    <t xml:space="preserve">Worked on the projects app and started embeding it within the sales pipeline app Also encounter a problem on the proposal generator from the sales pipeline </t>
  </si>
  <si>
    <t>Grab email responses from spreadsheet</t>
  </si>
  <si>
    <t>APPS-525</t>
  </si>
  <si>
    <t>As a salesperson, I can save an email from a client as an "interaction" in the Sales Pipeline</t>
  </si>
  <si>
    <t>Research saving email to pdf file</t>
  </si>
  <si>
    <t>Investigating email links on form submission</t>
  </si>
  <si>
    <t>Issue key</t>
  </si>
  <si>
    <t>Labels</t>
  </si>
  <si>
    <t>Issue id</t>
  </si>
  <si>
    <t>Parent id</t>
  </si>
  <si>
    <t>Summary</t>
  </si>
  <si>
    <t>Assignee</t>
  </si>
  <si>
    <t>Assignee Id</t>
  </si>
  <si>
    <t>Reporter Id</t>
  </si>
  <si>
    <t>Status</t>
  </si>
  <si>
    <t>Updated</t>
  </si>
  <si>
    <t>Σ Time Spent</t>
  </si>
  <si>
    <t>Created</t>
  </si>
  <si>
    <t>Custom field (Epic Name)</t>
  </si>
  <si>
    <t>Custom field (Epic Link)</t>
  </si>
  <si>
    <t>Done</t>
  </si>
  <si>
    <t>EB9-12</t>
  </si>
  <si>
    <t>Improved group/access management (reduce issues with rebuilding permissions, etc.) — ensure 0 risk of adding users to wrong client groups, showing wrong content, etc.</t>
  </si>
  <si>
    <t>To Do</t>
  </si>
  <si>
    <t>EB9-25</t>
  </si>
  <si>
    <t>As a meeting administrator, when scheduling a meeting, I can enable automatic email reminders to participants leading up to and at the meeting start time</t>
  </si>
  <si>
    <t>EB9-13</t>
  </si>
  <si>
    <t>More reliable and more efficient file/folder management; easier file sharing process for CST (currently issues with email attachments, Drive links, blocked sites, slow process via current portal)</t>
  </si>
  <si>
    <t>EB9-11</t>
  </si>
  <si>
    <t>Portal v3</t>
  </si>
  <si>
    <t>EB9-10</t>
  </si>
  <si>
    <t>Portal v2</t>
  </si>
  <si>
    <t>EB9-24</t>
  </si>
  <si>
    <t>Email batching to prevent sending errors and consider multiple IPs for larger volume (stats on this?)</t>
  </si>
  <si>
    <t>EB9-21</t>
  </si>
  <si>
    <t>End-to-end encryption for key data tables (marketable feature)</t>
  </si>
  <si>
    <t>EB9-8</t>
  </si>
  <si>
    <t>Portal v1</t>
  </si>
  <si>
    <t>EB9-20</t>
  </si>
  <si>
    <t>Contextual email/reminder drafting and scheduling (with email preview links for clients without authentication; live editor, streamlined, quick template selection; built-in icon selection for email templates)</t>
  </si>
  <si>
    <t>EB9-9</t>
  </si>
  <si>
    <t>As a DSS, I can programmatically give new Impetus staff access to portals via G Suite Cloud Identity API</t>
  </si>
  <si>
    <t>EB9-17</t>
  </si>
  <si>
    <t>Multi-tenant portal first with subdomain or /client/ access; charge extra for companies that require separate instance</t>
  </si>
  <si>
    <t>EB9-18</t>
  </si>
  <si>
    <t>Modern UI refresh and separate freelancer to assist with this (new custom theme, snappier, mobile first, especially for webforms, documents, default forms, login/system screens)</t>
  </si>
  <si>
    <t>EB9-15</t>
  </si>
  <si>
    <t>Draft migration plan for client portals (for client assessments that did ask re multi-tenant vs. single tenant hosting, we should update them...)</t>
  </si>
  <si>
    <t>EB9-7</t>
  </si>
  <si>
    <t>Site Spin-up Process</t>
  </si>
  <si>
    <t>In Progress</t>
  </si>
  <si>
    <t>EB9-6</t>
  </si>
  <si>
    <t>Drupal 9 Demo Portal</t>
  </si>
  <si>
    <t>EB9-4</t>
  </si>
  <si>
    <t>Multi-tenant and platform hosting research</t>
  </si>
  <si>
    <t>EB9-14</t>
  </si>
  <si>
    <t>Penetration testing for new platform using open-source tools</t>
  </si>
  <si>
    <t>APPS-311</t>
  </si>
  <si>
    <t>As a salesperson, I can define email funnels (email names, subjects, doc templates, and sequences, and schedule offsets)</t>
  </si>
  <si>
    <t>Elena Goretskaia</t>
  </si>
  <si>
    <t>5e304b10082f050e72231db4</t>
  </si>
  <si>
    <t>Ready for review</t>
  </si>
  <si>
    <t>APPS-312</t>
  </si>
  <si>
    <t>As a salesperson, I can manage a list of scheduled emails</t>
  </si>
  <si>
    <t>APPS-158</t>
  </si>
  <si>
    <t>On the proposal form, below prospective client field, add therapeutic area field dropdown (initial value from contact table)</t>
  </si>
  <si>
    <t>APPS-198</t>
  </si>
  <si>
    <t>Create a new table called "Website downloaders" with columns email, name, last name, organization, fk_download, date of request</t>
  </si>
  <si>
    <t>APPS-309</t>
  </si>
  <si>
    <t>As a salesperson, I can authorize the Follow-up Manager app/script to send emails on my behalf via button on Impetus Gmail add-on</t>
  </si>
  <si>
    <t>APPS-157</t>
  </si>
  <si>
    <t>Hide discount y/n field from details view</t>
  </si>
  <si>
    <t>APPS-197</t>
  </si>
  <si>
    <t xml:space="preserve">Email on first screen if there is a match the form can be submitted otherwise show first name, last name, organization </t>
  </si>
  <si>
    <t>APPS-310</t>
  </si>
  <si>
    <t>As a salesperson, I can define custom attributes for email templates</t>
  </si>
  <si>
    <t>APPS-156</t>
  </si>
  <si>
    <t>Create a new field on proposals that ref the organization discount. Place the column above the discount field.</t>
  </si>
  <si>
    <t>APPS-155</t>
  </si>
  <si>
    <t>In organization discounts deck view add the description as a secondary header</t>
  </si>
  <si>
    <t>APPS-194</t>
  </si>
  <si>
    <t>Copy the "Daily reminder email" report to AVT</t>
  </si>
  <si>
    <t>APPS-154</t>
  </si>
  <si>
    <t>Use data in apps-139 as default values on new organizational discounts</t>
  </si>
  <si>
    <t>APPS-193</t>
  </si>
  <si>
    <t>Documentation for complex views and actions</t>
  </si>
  <si>
    <t>APPS-153</t>
  </si>
  <si>
    <t xml:space="preserve">Hide FK_Proposal on products form, month on proposals, </t>
  </si>
  <si>
    <t>APPS-152</t>
  </si>
  <si>
    <t>After multiple selections are possible, revisit the deck views for add-ons and reductions (ensure the list of associated products appears)</t>
  </si>
  <si>
    <t>APPS-192</t>
  </si>
  <si>
    <t>APPS-191</t>
  </si>
  <si>
    <t>Move "Client contact email" to the same page with "Touchpoint basics" for "AVT intake form"</t>
  </si>
  <si>
    <t>APPS-151</t>
  </si>
  <si>
    <t>allow multiple selections on products for both reductions and add-ons and change label of form to "Associated products"</t>
  </si>
  <si>
    <t>APPS-190</t>
  </si>
  <si>
    <t>Create "Cancel request" action that can change "Impetus status" to "Cancelled" (always available)</t>
  </si>
  <si>
    <t>APPS-517</t>
  </si>
  <si>
    <t>PK format on Proposal Notes data table</t>
  </si>
  <si>
    <t>APPS-68</t>
  </si>
  <si>
    <t>As a salesperson, I can insert example engagement plans into prospect emails</t>
  </si>
  <si>
    <t>APPS-317</t>
  </si>
  <si>
    <t>Remove all proposals from main view to the menu and delete the proposal form from the main view</t>
  </si>
  <si>
    <t>APPS-207</t>
  </si>
  <si>
    <t>Move total cost fields (before and after discount), discount fields, probability field, and proposal status field to page 2 of proposal form (create page break)</t>
  </si>
  <si>
    <t>APPS-316</t>
  </si>
  <si>
    <t>As a salesperson, I receive a weekly digest of the emails that are scheduled to be sent with links to modify them if needed</t>
  </si>
  <si>
    <t>APPS-205</t>
  </si>
  <si>
    <t>Move custom requirements to proposal product/touchpoint form</t>
  </si>
  <si>
    <t>APPS-203</t>
  </si>
  <si>
    <t>Change status from "Sent to client" to "In client review"</t>
  </si>
  <si>
    <t>APPS-314</t>
  </si>
  <si>
    <t>As a salesperson, I can preview email templates as a contact recipient via link from template manager view</t>
  </si>
  <si>
    <t>APPS-202</t>
  </si>
  <si>
    <t>Improve consistency of all PKs so they have a brief description followed by _ and UNIQUEID(), e.g. "OrgID_2u993i"</t>
  </si>
  <si>
    <t>APPS-315</t>
  </si>
  <si>
    <t>As a salesperson, I can track open/click rates</t>
  </si>
  <si>
    <t>APPS-201</t>
  </si>
  <si>
    <t>Make sure all columns don't use Italic format</t>
  </si>
  <si>
    <t>APPS-200</t>
  </si>
  <si>
    <t>Test to make sure no email reminder is sent on weekends</t>
  </si>
  <si>
    <t>APPS-199</t>
  </si>
  <si>
    <t>create a view for the email downloads on the menu</t>
  </si>
  <si>
    <t>APPS-515</t>
  </si>
  <si>
    <t>Bold first sentence of each bullet on touchpoint tables</t>
  </si>
  <si>
    <t>APPS-516</t>
  </si>
  <si>
    <t>Change initial value for opportunity description</t>
  </si>
  <si>
    <t>APPS-313</t>
  </si>
  <si>
    <t>Flow diagram for defining and scheduling email funnels</t>
  </si>
  <si>
    <t>As a salesperson, I can schedule a prospect to receive a series of post-demo follow-up emails</t>
  </si>
  <si>
    <t>APPS-324</t>
  </si>
  <si>
    <t>Hide last edit and edit by from new planning document form</t>
  </si>
  <si>
    <t>APPS-322</t>
  </si>
  <si>
    <t>As a contact, I can unsubscribe from marketing and sales follow-up funnels</t>
  </si>
  <si>
    <t>APPS-458</t>
  </si>
  <si>
    <t>Changes to related projects inline table on contact details view and work with Bryan to make related improvements on PM app</t>
  </si>
  <si>
    <t>APPS-323</t>
  </si>
  <si>
    <t>Add "Created", "Last Edit", "Edit by" columns to these data tables, please hide them on forms</t>
  </si>
  <si>
    <t>APPS-459</t>
  </si>
  <si>
    <t>Remove full name on contact details view</t>
  </si>
  <si>
    <t>APPS-320</t>
  </si>
  <si>
    <t>On the copy version (called "Touchpoint planner"), only keep 4 views</t>
  </si>
  <si>
    <t>APPS-321</t>
  </si>
  <si>
    <t>Try formula in Security filter</t>
  </si>
  <si>
    <t>APPS-318</t>
  </si>
  <si>
    <t>Add actions to change status to "To-do", "In progress", "Done"</t>
  </si>
  <si>
    <t>APPS-319</t>
  </si>
  <si>
    <t>Find new icon images</t>
  </si>
  <si>
    <t>APPS-159</t>
  </si>
  <si>
    <t>On the proposal form, add a probability column and this will have an option of low, medium, high (place below status, type enum)</t>
  </si>
  <si>
    <t>APPS-578</t>
  </si>
  <si>
    <t>Proposal generator impetus signature error solved by its self</t>
  </si>
  <si>
    <t>APPS-300</t>
  </si>
  <si>
    <t>Change finish view of basic info proposal and check other finish views when creating a proposal</t>
  </si>
  <si>
    <t>APPS-330</t>
  </si>
  <si>
    <t>Try conditionally setting initial  values with useremail() if the user is logged in. Otherwise, show it blank.</t>
  </si>
  <si>
    <t>APPS-118</t>
  </si>
  <si>
    <t>Add new question formats to AVT form</t>
  </si>
  <si>
    <t>APPS-328</t>
  </si>
  <si>
    <t>finish view of sales opportunity form needs to be the detail view of sales opportunity</t>
  </si>
  <si>
    <t>APPS-298</t>
  </si>
  <si>
    <t>Change name of AppSheet app in Info &gt; Spec from "Project Requests" to "Touchpoint Planner" (see description)</t>
  </si>
  <si>
    <t>APPS-329</t>
  </si>
  <si>
    <t xml:space="preserve">make a conditional for the sales opportunity form "Related Proposals" to show only if a proposal has been created before </t>
  </si>
  <si>
    <t>APPS-299</t>
  </si>
  <si>
    <t>Change button labels on AVT "Advisor comment visibility options"</t>
  </si>
  <si>
    <t>APPS-297</t>
  </si>
  <si>
    <t>Revise confirmation pop-up on SVT and AVT</t>
  </si>
  <si>
    <t>APPS-296</t>
  </si>
  <si>
    <t>Status ="To-do", "In progress", "Done"</t>
  </si>
  <si>
    <t>APPS-327</t>
  </si>
  <si>
    <t>Remove “Are you ready to create a proposal...” enum, always show proposal ref, and relabel "Proposals for this sales opportunity" to "Proposals"</t>
  </si>
  <si>
    <t>APPS-446</t>
  </si>
  <si>
    <t>Add proposal service inclusion tables to proposal doc</t>
  </si>
  <si>
    <t>APPS-308</t>
  </si>
  <si>
    <t>Investigate options for scheduling templated emails to send on behalf of salespeople via Gmail API and using AppSheet as a scheduling tool</t>
  </si>
  <si>
    <t>APPS-306</t>
  </si>
  <si>
    <t>Create a detail view (menu) on "Touchpoint Planner" that will direct to the "Feedback app"</t>
  </si>
  <si>
    <t>APPS-119</t>
  </si>
  <si>
    <t>Move example objective field above objective 1</t>
  </si>
  <si>
    <t>Sales Follow-up Manager app</t>
  </si>
  <si>
    <t>APPS-335</t>
  </si>
  <si>
    <t>Pass FK_RequestID from "Project request" to "Touchpoint planner"</t>
  </si>
  <si>
    <t>APPS-304</t>
  </si>
  <si>
    <t>Try "Show if" option in the views to filter users.</t>
  </si>
  <si>
    <t>APPS-305</t>
  </si>
  <si>
    <t>Create separate slices: 1 for user to submit feedback, 1 for staff to view and edit.</t>
  </si>
  <si>
    <t>Apply security filter to SVT and AVT tables</t>
  </si>
  <si>
    <t>APPS-303</t>
  </si>
  <si>
    <t>Create a google doc template for the "Daily reminder report"</t>
  </si>
  <si>
    <t>APPS-332</t>
  </si>
  <si>
    <t>Look into the Add-on of the touchpoints because it is not showing</t>
  </si>
  <si>
    <t>APPS-333</t>
  </si>
  <si>
    <t>On the sales opportunity detail view disable slide show mode</t>
  </si>
  <si>
    <t>APPS-301</t>
  </si>
  <si>
    <t>Documentation for how to create a new download and set the iframe source for the download request app form</t>
  </si>
  <si>
    <t>APPS-92</t>
  </si>
  <si>
    <t xml:space="preserve">Create a dashboard view that has all "Organizations", on the left place the table view, and on the right place the details view  </t>
  </si>
  <si>
    <t>APPS-91</t>
  </si>
  <si>
    <t xml:space="preserve">Create a dashboard view that has all "Contacts", on the left place the table view, and on the right place the details view </t>
  </si>
  <si>
    <t>APPS-90</t>
  </si>
  <si>
    <t>Change labels of yes and no in order to display the whole word and not just the first letter</t>
  </si>
  <si>
    <t>APPS-125</t>
  </si>
  <si>
    <t>On sales opportunities put in first place the project name, hide the "date of creation" and "status"</t>
  </si>
  <si>
    <t>APPS-124</t>
  </si>
  <si>
    <t>Change the notes on Sales Opportunities to look similar to the notes on proposals</t>
  </si>
  <si>
    <t>APPS-89</t>
  </si>
  <si>
    <t xml:space="preserve">Create a dashboard view that has only active sales opportunities, on the left place the table view and on the right place the details view (Dashboard interactive mode) </t>
  </si>
  <si>
    <t>APPS-123</t>
  </si>
  <si>
    <t>Research about mail chimp API and AppSheet</t>
  </si>
  <si>
    <t>APPS-88</t>
  </si>
  <si>
    <t>Create a dashboard view for all types of request on the left, details on the right (with interactive view)</t>
  </si>
  <si>
    <t>APPS-122</t>
  </si>
  <si>
    <t>On contact create a field type long text for "Notes". Locate it above number of sales opportunity</t>
  </si>
  <si>
    <t>APPS-121</t>
  </si>
  <si>
    <t>Hide column of sum of product prices</t>
  </si>
  <si>
    <t>APPS-449</t>
  </si>
  <si>
    <t>Insert special terms/conditions/requirements to proposal doc</t>
  </si>
  <si>
    <t>APPS-87</t>
  </si>
  <si>
    <t>Add an upload section on internal and external section ( user can choose to fill the form manually or upload a file, default=fill the form)</t>
  </si>
  <si>
    <t>APPS-86</t>
  </si>
  <si>
    <t>Add an option for upload or drawing (default) signature</t>
  </si>
  <si>
    <t>APPS-120</t>
  </si>
  <si>
    <t>As a salesperson, I can view a dashboard of key sales metrics</t>
  </si>
  <si>
    <t>APPS-85</t>
  </si>
  <si>
    <t>Add a general question section+instruction and file upload at the bottom of the form.</t>
  </si>
  <si>
    <t>APPS-84</t>
  </si>
  <si>
    <t>Add a data type for polling questions</t>
  </si>
  <si>
    <t>APPS-559</t>
  </si>
  <si>
    <t>On the proposal details, ensure projects that have been set up show in the Projects ref table</t>
  </si>
  <si>
    <t>APPS-558</t>
  </si>
  <si>
    <t>Create a dashboard for the list of active projects in the Projects app</t>
  </si>
  <si>
    <t>APPS-61</t>
  </si>
  <si>
    <t>As a salesperson, I can easily compile a PDF of common Impetus objections and responses and send via email</t>
  </si>
  <si>
    <t>APPS-452</t>
  </si>
  <si>
    <t>Change defaults and conditionals for “Has the prospect had a demo yet?” field</t>
  </si>
  <si>
    <t>APPS-339</t>
  </si>
  <si>
    <t>Reduce default actions on Organizations deck view to ‘edit’ (pencil icon) only</t>
  </si>
  <si>
    <t>APPS-340</t>
  </si>
  <si>
    <t>Hide these fields from Contacts details view</t>
  </si>
  <si>
    <t>APPS-97</t>
  </si>
  <si>
    <t>Go through all forms and views and ensure that sentence case is used</t>
  </si>
  <si>
    <t>APPS-96</t>
  </si>
  <si>
    <t>Implement a feature of adding a proposal when a sales opportunities is approved by the contact</t>
  </si>
  <si>
    <t>APPS-95</t>
  </si>
  <si>
    <t>Create proposals table</t>
  </si>
  <si>
    <t>APPS-94</t>
  </si>
  <si>
    <t xml:space="preserve">Create another dashboard view to manage sales staff,  on the left place the table view  and on the right place an edit view (maybe detail view?) </t>
  </si>
  <si>
    <t>APPS-93</t>
  </si>
  <si>
    <t xml:space="preserve">"Projects" table needs to be linked to sales opportunities and contacts </t>
  </si>
  <si>
    <t>APPS-67</t>
  </si>
  <si>
    <t>[Prototype] As a salesperson, I can initiate a proposal from Gmail</t>
  </si>
  <si>
    <t>APPS-454</t>
  </si>
  <si>
    <t>Change app name from "Feedback Reviewer" to "Feedback Submission" to match</t>
  </si>
  <si>
    <t>APPS-455</t>
  </si>
  <si>
    <t>Organization Discounts have some stale data</t>
  </si>
  <si>
    <t>APPS-101</t>
  </si>
  <si>
    <t>Add page breaks like the SRT view, use same headers as the Demo Portal</t>
  </si>
  <si>
    <t>APPS-100</t>
  </si>
  <si>
    <t>Check that all field labels are sentence case</t>
  </si>
  <si>
    <t>APPS-99</t>
  </si>
  <si>
    <t xml:space="preserve">create a new field on impetus staff called "Signature image" just upload an image </t>
  </si>
  <si>
    <t>APPS-453</t>
  </si>
  <si>
    <t xml:space="preserve">When submitting a feedback request, can we pre-populate the "app name" field? </t>
  </si>
  <si>
    <t>APPS-98</t>
  </si>
  <si>
    <t>As a salesperson, I can initiate a proposal from a sales opportunity (with ability to create multiple proposals per opportunity)</t>
  </si>
  <si>
    <t>APPS-444</t>
  </si>
  <si>
    <t>Change from Series ID to Sequence ID</t>
  </si>
  <si>
    <t>APPS-442</t>
  </si>
  <si>
    <t>Change label from "salesperson" to "The emails will appear from"</t>
  </si>
  <si>
    <t>APPS-255</t>
  </si>
  <si>
    <t>Rename "Opportunity description" field on sales opportunity form to "Brief description"</t>
  </si>
  <si>
    <t>APPS-256</t>
  </si>
  <si>
    <t>Add field for file uploads to Interactions form</t>
  </si>
  <si>
    <t>APPS-443</t>
  </si>
  <si>
    <t>Change label "contact" to "recepient"</t>
  </si>
  <si>
    <t>APPS-440</t>
  </si>
  <si>
    <t>Change label from "related scheduled emails" to "Select email sequence"</t>
  </si>
  <si>
    <t>APPS-504</t>
  </si>
  <si>
    <t>Show “Portal hosting” section after core product is  based on touchpoint type</t>
  </si>
  <si>
    <t>APPS-441</t>
  </si>
  <si>
    <t>Add a ref field (email name) that would be first email within the sequence</t>
  </si>
  <si>
    <t>APPS-439</t>
  </si>
  <si>
    <t>If translation is selected, need to enter the languages that will require interpretation</t>
  </si>
  <si>
    <t>APPS-456</t>
  </si>
  <si>
    <t>Integrate post-demo email tracking (sent emails) with Interactions table as "Automatic follow-up email: [Email name]"</t>
  </si>
  <si>
    <t>APPS-436</t>
  </si>
  <si>
    <t>Remove edit icon from list of proposals since we want them to view the full proposal instead</t>
  </si>
  <si>
    <t>APPS-457</t>
  </si>
  <si>
    <t>Move scheduled emails inline table to bottom of sales opportunities details view</t>
  </si>
  <si>
    <t>APPS-77</t>
  </si>
  <si>
    <t>Test</t>
  </si>
  <si>
    <t>APPS-547</t>
  </si>
  <si>
    <t>As a DSS, I'm reminded to purge client data according to our default data retention policies (or per custom client request)</t>
  </si>
  <si>
    <t>APPS-263</t>
  </si>
  <si>
    <t>Remove the word "Slice" from slice names since they are identified as such in lists (see attached; currently says slice twice)</t>
  </si>
  <si>
    <t>APPS-261</t>
  </si>
  <si>
    <t>Create a Thank you finish view for SVT/AVT intake forms for clients</t>
  </si>
  <si>
    <t>APPS-259</t>
  </si>
  <si>
    <t>Get "Client", "Organization", "Start date" and "End date" from the "Proposal" table</t>
  </si>
  <si>
    <t>APPS-260</t>
  </si>
  <si>
    <t>Add proposal dropdown to top of "Project" form</t>
  </si>
  <si>
    <t>APPS-108</t>
  </si>
  <si>
    <t>As a marketer, I can add and update new content resources for client request forms</t>
  </si>
  <si>
    <t>APPS-107</t>
  </si>
  <si>
    <t>Custom requirements should be able to add similar to products on proposals</t>
  </si>
  <si>
    <t>APPS-506</t>
  </si>
  <si>
    <t>Increase number of touchpoints visible on inline table</t>
  </si>
  <si>
    <t>APPS-258</t>
  </si>
  <si>
    <t>Hide "Project_ID"</t>
  </si>
  <si>
    <t>APPS-106</t>
  </si>
  <si>
    <t>On sales opportunities table hide columns of lead source, prospect response, follow up, demo, notes y/n</t>
  </si>
  <si>
    <t>APPS-105</t>
  </si>
  <si>
    <t>On organization details view "you can add multiple emails " needs to be only a description not the display name of the column</t>
  </si>
  <si>
    <t>APPS-445</t>
  </si>
  <si>
    <t>Hide email template (as it will be identified within the sequence)</t>
  </si>
  <si>
    <t>APPS-104</t>
  </si>
  <si>
    <t>Change display name of virtual columns and other columns to make it user understandable</t>
  </si>
  <si>
    <t>APPS-103</t>
  </si>
  <si>
    <t>create Bundles, Reductions, Categories and Custom requirements tables to be referenced by the products table</t>
  </si>
  <si>
    <t>APPS-273</t>
  </si>
  <si>
    <t>Change  touchpoint inline view to card view on proposal form [Image, touchpoint description as header and date as secondary]</t>
  </si>
  <si>
    <t>APPS-421</t>
  </si>
  <si>
    <t>Move "Project epic" below "Project title", rename to "Project ID", use short code formula from Jessica</t>
  </si>
  <si>
    <t>APPS-271</t>
  </si>
  <si>
    <t>Create a new total for honorarium rate from all touchpoints of the current proposal, title of the field should be "Total flow-through costs". The total honorarium rate needs to be displayed above the currency</t>
  </si>
  <si>
    <t>APPS-272</t>
  </si>
  <si>
    <t>As a marketer, I can embed the Lead Generator App within a website page</t>
  </si>
  <si>
    <t>APPS-269</t>
  </si>
  <si>
    <t>Lead Generator app (v2)</t>
  </si>
  <si>
    <t>APPS-270</t>
  </si>
  <si>
    <t>Look into useremail error and try to use validation so only uses email if available otherwise anonymous</t>
  </si>
  <si>
    <t>APPS-419</t>
  </si>
  <si>
    <t>Look into the follow up app in order to select the first email of the sequence</t>
  </si>
  <si>
    <t>APPS-268</t>
  </si>
  <si>
    <t>Reminder to change lead processing address to outreach@impetusdigital.com before launch</t>
  </si>
  <si>
    <t>APPS-418</t>
  </si>
  <si>
    <t>Change email template to email sequence on sales opportunity schedule table</t>
  </si>
  <si>
    <t>APPS-265</t>
  </si>
  <si>
    <t>APPS-219</t>
  </si>
  <si>
    <t>Add another Impetus status to AVT &amp; SVT called “Touchpoint complete and pending close-out” (appears after "Touchpoint launched")</t>
  </si>
  <si>
    <t>APPS-217</t>
  </si>
  <si>
    <t>Re-label the “Final” Impetus status on AVT &amp; SVT to “Ready for programming”</t>
  </si>
  <si>
    <t>APPS-218</t>
  </si>
  <si>
    <t>Add another Impetus status to AVT &amp; SVT called  “Touchpoint launched” (appears after "Ready for programming")</t>
  </si>
  <si>
    <t>APPS-467</t>
  </si>
  <si>
    <t>Revert script web deployment to only be available to impetusdigital.com</t>
  </si>
  <si>
    <t>APPS-279</t>
  </si>
  <si>
    <t>Remove "Advisor comment visibility" image</t>
  </si>
  <si>
    <t>APPS-280</t>
  </si>
  <si>
    <t>In Reference materials, all fields except the "description" should be required</t>
  </si>
  <si>
    <t>APPS-277</t>
  </si>
  <si>
    <t>Touchpoint title is required</t>
  </si>
  <si>
    <t>APPS-278</t>
  </si>
  <si>
    <t>Question format, question title and question content are required</t>
  </si>
  <si>
    <t>APPS-275</t>
  </si>
  <si>
    <t>All "Toll-free" enum default is "no"</t>
  </si>
  <si>
    <t>APPS-276</t>
  </si>
  <si>
    <t>Clean up ""Waiting room" enum</t>
  </si>
  <si>
    <t>APPS-274</t>
  </si>
  <si>
    <t>"project title" = "project name" from the "Proposals" table</t>
  </si>
  <si>
    <t>APPS-422</t>
  </si>
  <si>
    <t>Change "Related tempos" to "Time logs"</t>
  </si>
  <si>
    <t>APPS-227</t>
  </si>
  <si>
    <t>Create an action to change "Send email status" one to "Send" and other to "Do not send"</t>
  </si>
  <si>
    <t>APPS-404</t>
  </si>
  <si>
    <t>change initial value types of each column on follow-up manager app</t>
  </si>
  <si>
    <t>APPS-228</t>
  </si>
  <si>
    <t>Show computed name ONLY on deck view</t>
  </si>
  <si>
    <t>APPS-431</t>
  </si>
  <si>
    <t>Within touchpoint form, estimated duration in hours does not accept 1.5 as a valid entry</t>
  </si>
  <si>
    <t>APPS-285</t>
  </si>
  <si>
    <t>As a marketer, I can create website general inquiry forms with processing queues and automatic follow-ups</t>
  </si>
  <si>
    <t>APPS-224</t>
  </si>
  <si>
    <t>Create a separate form views (using modification slices from SVT and AVT table) so modification/cancelation requests can be made from both the intake forms and the reminder emails</t>
  </si>
  <si>
    <t>APPS-225</t>
  </si>
  <si>
    <t>Add form link to request modification/cancellation to first page of SVT and AVT forms (e.g. LINKTOROW() on modification slice)</t>
  </si>
  <si>
    <t>APPS-284</t>
  </si>
  <si>
    <t>As a marketer, I can create website event registration forms with processing queues and automatic follow-ups</t>
  </si>
  <si>
    <t>APPS-430</t>
  </si>
  <si>
    <t>Within the proposal, "where will the work be primarily conducted" should be mandatory, as that affects the currency later on</t>
  </si>
  <si>
    <t>APPS-428</t>
  </si>
  <si>
    <t>Hide the “follow up date” until “new” scheduled email is created</t>
  </si>
  <si>
    <t>APPS-429</t>
  </si>
  <si>
    <t>When adding a new proposal within a sales opp, you should not be able to change the sales opportunity from the drop down</t>
  </si>
  <si>
    <t>APPS-223</t>
  </si>
  <si>
    <t>Add another client status to AVT &amp; SVT called  “Modification or cancellation requested”</t>
  </si>
  <si>
    <t>Provide user options to search multiple criteria.</t>
  </si>
  <si>
    <t>APPS-220</t>
  </si>
  <si>
    <t>Add another Impetus status to AVT &amp; SVT called “Touchpoint closed” (appears after "Touchpoint complete and pending close-out")</t>
  </si>
  <si>
    <t>APPS-282</t>
  </si>
  <si>
    <t>In "Your participants" section, move "Notes" column to below "Add participants" and above the show column</t>
  </si>
  <si>
    <t>APPS-425</t>
  </si>
  <si>
    <t>Ask Mark to provide icon URLs of products</t>
  </si>
  <si>
    <t>APPS-283</t>
  </si>
  <si>
    <t>Create a Gallery view with 3 options: Request an update, request a new feature, report a bug</t>
  </si>
  <si>
    <t>APPS-426</t>
  </si>
  <si>
    <t>Look into the Impetus website in order to create categories for each product</t>
  </si>
  <si>
    <t>APPS-281</t>
  </si>
  <si>
    <t>In "Your participants" section, try to change the enum "Add participants" to "Add participants directly"</t>
  </si>
  <si>
    <t>APPS-537</t>
  </si>
  <si>
    <t>Reorder components on proposal details</t>
  </si>
  <si>
    <t>APPS-538</t>
  </si>
  <si>
    <t>Update message for internal people</t>
  </si>
  <si>
    <t>APPS-234</t>
  </si>
  <si>
    <t>For organization - Only display logo and org name</t>
  </si>
  <si>
    <t>APPS-235</t>
  </si>
  <si>
    <t>Create a new Dashboard view with related SVT requests on the left and AVT requests on the right</t>
  </si>
  <si>
    <t>Kirsti Heitz</t>
  </si>
  <si>
    <t>5eac89f4acdf9c0b9124ffe8</t>
  </si>
  <si>
    <t>APPS-232</t>
  </si>
  <si>
    <t>Validate the email with the black list domain and blacklist competitors email</t>
  </si>
  <si>
    <t>APPS-289</t>
  </si>
  <si>
    <t>Create a currency field and set initial value what is set on the prospective client's organization, and add the ability to edit it after with a dropdown list. Place it above the total including flow-through costs</t>
  </si>
  <si>
    <t>Create a relation between the sales pipeline and the follow up manager</t>
  </si>
  <si>
    <t>APPS-290</t>
  </si>
  <si>
    <t>Create a "Grand total including flow-through costs" field(impetus service costs+total honorarium) place it after honorarium total costs</t>
  </si>
  <si>
    <t>APPS-209</t>
  </si>
  <si>
    <t>Rename products to touchpoints</t>
  </si>
  <si>
    <t>APPS-412</t>
  </si>
  <si>
    <t>Create a new dashboard view for tasks</t>
  </si>
  <si>
    <t>APPS-288</t>
  </si>
  <si>
    <t>see if action button can be moved to the bottom of the detail view or look for other option</t>
  </si>
  <si>
    <t>APPS-231</t>
  </si>
  <si>
    <t>Create a separate table for blacklist competitors email and add a form to this table on the menu</t>
  </si>
  <si>
    <t>APPS-433</t>
  </si>
  <si>
    <t>Set default values in participant honoraria section</t>
  </si>
  <si>
    <t>APPS-229</t>
  </si>
  <si>
    <t>Finish the create contact from (More formulas on the action for org, name, las name, etc)</t>
  </si>
  <si>
    <t>APPS-411</t>
  </si>
  <si>
    <t>Change the "Save" button at the end of the form to "Submit"</t>
  </si>
  <si>
    <t>APPS-286</t>
  </si>
  <si>
    <t>As a marketer, I can create website demo request forms with processing queues and automatic follow-ups</t>
  </si>
  <si>
    <t>APPS-371</t>
  </si>
  <si>
    <t>Put the show column at the top: "Please confirm your email address below and click Submit to begin the authentication process. "</t>
  </si>
  <si>
    <t>APPS-372</t>
  </si>
  <si>
    <t>Create a thank you page with the message "Thank you for your submission! We will send you an email to submit your project requirements shortly. You many now close this window."</t>
  </si>
  <si>
    <t>APPS-369</t>
  </si>
  <si>
    <t>Create a workflow that sends email back to Impetus when client change status to "All finished! Send to Impetus"</t>
  </si>
  <si>
    <t>APPS-238</t>
  </si>
  <si>
    <t xml:space="preserve">Create another action "Change status back to "pending review" " and only show when status =do not send </t>
  </si>
  <si>
    <t>APPS-239</t>
  </si>
  <si>
    <t xml:space="preserve">When adding a new contact try pre-filling the "organization" with the "lead organization provided", if this gives you an error try showing a pop up instructing them to add a new organization by clicking the "new" button on the organization field </t>
  </si>
  <si>
    <t>APPS-370</t>
  </si>
  <si>
    <t>Update the client intake form status field type to buttons instead of dropdown</t>
  </si>
  <si>
    <t>APPS-215</t>
  </si>
  <si>
    <t xml:space="preserve">Create a workflow to send to Impetus if the lead "Send email status= pending for review" and give the direct link to the appsheet record on website downloaders </t>
  </si>
  <si>
    <t>APPS-367</t>
  </si>
  <si>
    <t>On error handling, put message = "help@impetusdigital.com"</t>
  </si>
  <si>
    <t>APPS-295</t>
  </si>
  <si>
    <t>Relabel "Virtual column Impetus staff" to "Impetus lead" on SVT details view</t>
  </si>
  <si>
    <t>APPS-216</t>
  </si>
  <si>
    <t xml:space="preserve">Create a way to create a new contact with pre-filled information from the website downloaders form AFTER "Email status is=sent" </t>
  </si>
  <si>
    <t>APPS-368</t>
  </si>
  <si>
    <t>APPS-237</t>
  </si>
  <si>
    <t>Look for a way to display the name of the file on email downloads instead of a automatically generated code</t>
  </si>
  <si>
    <t>APPS-293</t>
  </si>
  <si>
    <t>Go through SVT and AVT forms and change any instance of "(Optional)" to "(optional)" and "(Required)" to "(required)"</t>
  </si>
  <si>
    <t>APPS-213</t>
  </si>
  <si>
    <t>Validate email on the website downloaders form</t>
  </si>
  <si>
    <t>APPS-434</t>
  </si>
  <si>
    <t>As a new Impetus staff member, I can navigate a self-guided training space</t>
  </si>
  <si>
    <t>APPS-294</t>
  </si>
  <si>
    <t>Remove ref link on timezone field on SVT form</t>
  </si>
  <si>
    <t>APPS-214</t>
  </si>
  <si>
    <t>on workflow "Send download to approved leads" validate "Send email status=send" in order to send email</t>
  </si>
  <si>
    <t>APPS-211</t>
  </si>
  <si>
    <t>If the downloader doesn't have a record on the contacts show all the fields</t>
  </si>
  <si>
    <t>APPS-409</t>
  </si>
  <si>
    <t>When a service inclusion template is added to a touchpoint, the new field is an editable textbox by default. There is nothing identifying that.</t>
  </si>
  <si>
    <t>APPS-417</t>
  </si>
  <si>
    <t>Create a new view that shows related taks to the useremail(). Put this view as default start view</t>
  </si>
  <si>
    <t>APPS-291</t>
  </si>
  <si>
    <t>Add show text below image with a thank you message</t>
  </si>
  <si>
    <t>APPS-292</t>
  </si>
  <si>
    <t>In "Language and waiting room section", if the language field is not empty, display a "show text" column</t>
  </si>
  <si>
    <t>APPS-212</t>
  </si>
  <si>
    <t>On website downloaders "Send email status" default to sent only if they are already a contact, if not default to pending</t>
  </si>
  <si>
    <t>APPS-415</t>
  </si>
  <si>
    <t>Change "Task Inline" to "Task list"</t>
  </si>
  <si>
    <t>APPS-407</t>
  </si>
  <si>
    <t xml:space="preserve">Sales opportunity description for "Project planned" should be mandatory. Otherwise we will have countless unnamed sales opportunities </t>
  </si>
  <si>
    <t>APPS-416</t>
  </si>
  <si>
    <t>Create another kanban board for task status</t>
  </si>
  <si>
    <t>APPS-408</t>
  </si>
  <si>
    <t>When adding a touchpoint to a sales opportunity, select product and touchpoint description have the same information. Could we remove / hide the TP description? Is it needed to be visible?</t>
  </si>
  <si>
    <t>APPS-210</t>
  </si>
  <si>
    <t>If the downloader has a record on the contacts don't show any of the fields(name, last name, organization, and action)</t>
  </si>
  <si>
    <t>APPS-247</t>
  </si>
  <si>
    <t>Change date labels to "Estimated start/end date"</t>
  </si>
  <si>
    <t>APPS-498</t>
  </si>
  <si>
    <t>Possible to make touchpoint icons bigger?</t>
  </si>
  <si>
    <t>APPS-246</t>
  </si>
  <si>
    <t>Change action labels</t>
  </si>
  <si>
    <t>APPS-376</t>
  </si>
  <si>
    <t>As a CST manager, I can create bundles of products and add-ons</t>
  </si>
  <si>
    <t>APPS-245</t>
  </si>
  <si>
    <t>On touchpoint form, add a new longtext field below "Select a product" field called "Touchpoint description" and make the initial value the name of the product selected (keep editable)</t>
  </si>
  <si>
    <t>APPS-377</t>
  </si>
  <si>
    <t>As a CST manager, I can view a dashboard of product categories (left, narrow) and products (large right) that uses interactive mode to show the products that pertain to the selected category</t>
  </si>
  <si>
    <t>As a CST manager, I can add new products, add-ons, and reductions</t>
  </si>
  <si>
    <t>APPS-242</t>
  </si>
  <si>
    <t>Create a thank you page after the form is filled</t>
  </si>
  <si>
    <t>APPS-243</t>
  </si>
  <si>
    <t>"This is what the lead provided if the org dosent exist" create a show column with the lead provided org</t>
  </si>
  <si>
    <t>APPS-464</t>
  </si>
  <si>
    <t>Configure emails for launch</t>
  </si>
  <si>
    <t>APPS-241</t>
  </si>
  <si>
    <t>remove page 2 page break</t>
  </si>
  <si>
    <t>APPS-574</t>
  </si>
  <si>
    <t>Dynamically convert proposal cost to CAD (via Sheets) if currency is in USD</t>
  </si>
  <si>
    <t>APPS-240</t>
  </si>
  <si>
    <t>On contacts table hide lead organization provided and action</t>
  </si>
  <si>
    <t>APPS-383</t>
  </si>
  <si>
    <t>create a dashboard that includes add-ons  and products. also create one for reductions and products</t>
  </si>
  <si>
    <t>APPS-384</t>
  </si>
  <si>
    <t>Create a "Welcome" view for "Touchpoint Planner" app as a start view.</t>
  </si>
  <si>
    <t>APPS-381</t>
  </si>
  <si>
    <t>Grab images from the website for the product category</t>
  </si>
  <si>
    <t>APPS-382</t>
  </si>
  <si>
    <t>remove the menu items from the sales pipeline that are not relevant anymore</t>
  </si>
  <si>
    <t>APPS-379</t>
  </si>
  <si>
    <t>remove some action of the categories and products dashboard. actions such as email, and arrow</t>
  </si>
  <si>
    <t>APPS-380</t>
  </si>
  <si>
    <t>Change name on products table of Fk_category to "Product category"</t>
  </si>
  <si>
    <t>APPS-501</t>
  </si>
  <si>
    <t>Documentation and training</t>
  </si>
  <si>
    <t>APPS-500</t>
  </si>
  <si>
    <t>Make custom requirements stand out more</t>
  </si>
  <si>
    <t>APPS-253</t>
  </si>
  <si>
    <t>As a salesperson, I can upload client planning documents and reference files to sales opportunities and touchpoints</t>
  </si>
  <si>
    <t>APPS-575</t>
  </si>
  <si>
    <t>Additions to proposal builder</t>
  </si>
  <si>
    <t>APPS-250</t>
  </si>
  <si>
    <t>Create a data model that will allow us to collect bugs, change requests, and feature requests for all of our apps</t>
  </si>
  <si>
    <t>APPS-502</t>
  </si>
  <si>
    <t>Have Kirsti update new process for Danica to process new leads and add to Mailchimp</t>
  </si>
  <si>
    <t>APPS-248</t>
  </si>
  <si>
    <t>Use HYPERLINK to change "Link to edit this form" to "Edit this form on behalf of the client"</t>
  </si>
  <si>
    <t>APPS-249</t>
  </si>
  <si>
    <t>Make client intake forms use tabs (with short labels) and enable auto save</t>
  </si>
  <si>
    <t>APPS-52</t>
  </si>
  <si>
    <t>As a writer, I can add/modify follow-up email content</t>
  </si>
  <si>
    <t>APPS-53</t>
  </si>
  <si>
    <t>As a salesperson, I can initiate a post-demo workflow</t>
  </si>
  <si>
    <t>As a lead generator, I can vet website leads and add them to the canned demo funnel</t>
  </si>
  <si>
    <t>APPS-49</t>
  </si>
  <si>
    <t>As a salesperson, I can enter notes/interactions with contacts</t>
  </si>
  <si>
    <t>APPS-51</t>
  </si>
  <si>
    <t>As a salesperson, I can transition a lead to a prospect</t>
  </si>
  <si>
    <t>APPS-503</t>
  </si>
  <si>
    <t>blank</t>
  </si>
  <si>
    <t>APPS-389</t>
  </si>
  <si>
    <t>On organization form, set initial value of currency automatically if they are not from Canada</t>
  </si>
  <si>
    <t>APPS-386</t>
  </si>
  <si>
    <t>Create a new column called [Send email to client] (enum value: Yes, No)</t>
  </si>
  <si>
    <t>APPS-387</t>
  </si>
  <si>
    <t>Add action button on detail view of AVT/SVT request that updates [Send email to client] from "No" to "Yes". Only show if current value is "No"</t>
  </si>
  <si>
    <t>APPS-385</t>
  </si>
  <si>
    <t>Shorten then authentication link</t>
  </si>
  <si>
    <t>APPS-471</t>
  </si>
  <si>
    <t>Remove product icon field form touchpoint details</t>
  </si>
  <si>
    <t>APPS-59</t>
  </si>
  <si>
    <t>As a lead generator, I can create my own template and schedule my own follow-ups for a custom campaign</t>
  </si>
  <si>
    <t>APPS-60</t>
  </si>
  <si>
    <t>Reminder to merge sales pipeline duplicates, add secondary email fields, and associate contacts with direct profile links</t>
  </si>
  <si>
    <t>APPS-395</t>
  </si>
  <si>
    <t>Make organization mandatory on Contacts form</t>
  </si>
  <si>
    <t>APPS-396</t>
  </si>
  <si>
    <t>Remove “of residence” from Contact country field</t>
  </si>
  <si>
    <t>APPS-393</t>
  </si>
  <si>
    <t>Remove “Projects” primary menu button from Sales Pipeline app as projects will be accessed via Contact/Sales Opp. level or separate PM app</t>
  </si>
  <si>
    <t>APPS-394</t>
  </si>
  <si>
    <t>Changes to org discount inline table columns</t>
  </si>
  <si>
    <t>APPS-391</t>
  </si>
  <si>
    <t>Change icon of sales opportunity status change action and formatting/colour of statuses on status details view</t>
  </si>
  <si>
    <t>APPS-392</t>
  </si>
  <si>
    <t>Change primary header on proposal deck view</t>
  </si>
  <si>
    <t>APPS-543</t>
  </si>
  <si>
    <t xml:space="preserve">As a salesperson, I can generate a custom f/u slide deck for prospects for a personalized touch </t>
  </si>
  <si>
    <t>APPS-542</t>
  </si>
  <si>
    <t>Always show grand total</t>
  </si>
  <si>
    <t>APPS-64</t>
  </si>
  <si>
    <t>As a salesperson, I can generate a tagged link to the canned demo recording page so we can track engagement</t>
  </si>
  <si>
    <t>APPS-32</t>
  </si>
  <si>
    <t>As a security manager, I can document progress and formal passing of IT risk assessments</t>
  </si>
  <si>
    <t>APPS-33</t>
  </si>
  <si>
    <t>As a salesperson, I can filter through prospects, access their profiles, and see their opportunities and notes/interactions</t>
  </si>
  <si>
    <t>APPS-34</t>
  </si>
  <si>
    <t>As a salesperson, I can compile a list of leads by company for sales pushes</t>
  </si>
  <si>
    <t>APPS-54</t>
  </si>
  <si>
    <t>As a DSS, I can trigger a bullseye feedback form to send (and reminders) after a touchpoint is completed</t>
  </si>
  <si>
    <t>APPS-476</t>
  </si>
  <si>
    <t>Contractor profile setup</t>
  </si>
  <si>
    <t>APPS-402</t>
  </si>
  <si>
    <t>New proposal end screen missing touchpoints inline and way to create a new touchpoint</t>
  </si>
  <si>
    <t>APPS-576</t>
  </si>
  <si>
    <t>As a salesperson, I can manually enter a potential start date for a sales opportunity</t>
  </si>
  <si>
    <t>APPS-400</t>
  </si>
  <si>
    <t>Country field on contact details appears to be broken</t>
  </si>
  <si>
    <t>APPS-401</t>
  </si>
  <si>
    <t>Consider changing countries to regions on “Where will the work take place?” field</t>
  </si>
  <si>
    <t>APPS-475</t>
  </si>
  <si>
    <t>Change touchpoint product label to "Core product" for consistency</t>
  </si>
  <si>
    <t>APPS-399</t>
  </si>
  <si>
    <t>Fixes to project details view when sales access projects from inline list on contact/sales record</t>
  </si>
  <si>
    <t>APPS-58</t>
  </si>
  <si>
    <t>As a client, I am informed of my "KOL engagement score" and shown how to increase it</t>
  </si>
  <si>
    <t>APPS-397</t>
  </si>
  <si>
    <t>Move org below last name on Contact form (and for other views)</t>
  </si>
  <si>
    <t>APPS-570</t>
  </si>
  <si>
    <t>Create "My POs" slice for dashboard page</t>
  </si>
  <si>
    <t>APPS-55</t>
  </si>
  <si>
    <t>As a salesperson, I can easily view and request edits to all types of email content</t>
  </si>
  <si>
    <t>APPS-42</t>
  </si>
  <si>
    <t>As an AD, I can activate the sales attrition funnel for non-renewed clients</t>
  </si>
  <si>
    <t>APPS-19</t>
  </si>
  <si>
    <t>Two-way sync with Mailchimp</t>
  </si>
  <si>
    <t>APPS-43</t>
  </si>
  <si>
    <t>As a salesperson, I can associate additional client/internal participants to a proposal (and subsequently, a project)</t>
  </si>
  <si>
    <t>APPS-571</t>
  </si>
  <si>
    <t>Create "My sales opportunities" slice and replace current SO view</t>
  </si>
  <si>
    <t>APPS-577</t>
  </si>
  <si>
    <t>Review progress with Alyssia (week of Dec 14)</t>
  </si>
  <si>
    <t>APPS-561</t>
  </si>
  <si>
    <t>If there are any pending internal reviews (i.e. when a review request is made), change proposal status to 'In internal review'</t>
  </si>
  <si>
    <t>APPS-403</t>
  </si>
  <si>
    <t>When changing a product in the touchpoint form, the addons do not get removed if the new selected product does not have the same add ons.</t>
  </si>
  <si>
    <t>APPS-534</t>
  </si>
  <si>
    <t>Issue with destination after saving proposal cost (slice) form</t>
  </si>
  <si>
    <t>APPS-46</t>
  </si>
  <si>
    <t>As a salesperson, I can add new leads to our CRM (incl. Mailchimp lists) from my inbox</t>
  </si>
  <si>
    <t>APPS-47</t>
  </si>
  <si>
    <t>As a salesperson, I can change email funnel subscriptions from my inbox</t>
  </si>
  <si>
    <t>APPS-44</t>
  </si>
  <si>
    <t>As a salesperson, I can get instant access to contact profile information in the context of an email</t>
  </si>
  <si>
    <t>APPS-45</t>
  </si>
  <si>
    <t>As a salesperson, I can initiate a new proposal from the context of an email</t>
  </si>
  <si>
    <t>APPS-21</t>
  </si>
  <si>
    <t>As a salesperson, I'm reminded when I should send a personalized demo follow-up</t>
  </si>
  <si>
    <t>APPS-65</t>
  </si>
  <si>
    <t>As a salesperson, I can run a report that lists all recipients who clicked a link in each Mailchimp campaign</t>
  </si>
  <si>
    <t>APPS-48</t>
  </si>
  <si>
    <t>As a salesperson, I can instantly unsubscribe leads from my inbox</t>
  </si>
  <si>
    <t>APPS-485</t>
  </si>
  <si>
    <t>Customize "Estimated date" field based on touchpoint type</t>
  </si>
  <si>
    <t>APPS-562</t>
  </si>
  <si>
    <t>Ability to search for stories by title and keyword (metadata?)</t>
  </si>
  <si>
    <t>APPS-486</t>
  </si>
  <si>
    <t>Consider if we should generate the list of available add-ons/reductions based on categories not products</t>
  </si>
  <si>
    <t>APPS-482</t>
  </si>
  <si>
    <t>Change "Addons Services" to "Add-on Services"</t>
  </si>
  <si>
    <t>APPS-518</t>
  </si>
  <si>
    <t>Remove Bundles data table from sheet and app</t>
  </si>
  <si>
    <t>APPS-519</t>
  </si>
  <si>
    <t>Do we need "Categories" table on Sales Pipeline Data sheet?</t>
  </si>
  <si>
    <t>APPS-484</t>
  </si>
  <si>
    <t>Remove "Unit" column from products if not being used</t>
  </si>
  <si>
    <t>Advisor Database data modelling and workflow design</t>
  </si>
  <si>
    <t>APPS-483</t>
  </si>
  <si>
    <t>Is Products with Reductions table still needed?</t>
  </si>
  <si>
    <t>APPS-497</t>
  </si>
  <si>
    <t>Change label to Internal reviews</t>
  </si>
  <si>
    <t>APPS-17</t>
  </si>
  <si>
    <t>As a lead generator, I can input leads in bulk</t>
  </si>
  <si>
    <t>APPS-481</t>
  </si>
  <si>
    <t>As a salesperson, I can select the type of touchpoint being planned and edit type-specific data</t>
  </si>
  <si>
    <t>APPS-18</t>
  </si>
  <si>
    <t>As a lead generator, I can see any matching lead profiles as I input new leads</t>
  </si>
  <si>
    <t>APPS-496</t>
  </si>
  <si>
    <t>Hide email follow-ups from detail view for now</t>
  </si>
  <si>
    <t>APPS-70</t>
  </si>
  <si>
    <t>As a salesperson, I can create a demo access pass</t>
  </si>
  <si>
    <t>APPS-37</t>
  </si>
  <si>
    <t>As a salesperson or AD, I can receive a weekly digest with a preview of the prospects who will soon receive demo or proposal follow-ups and be BCC'd on each email (or have them appear in my Sent folder and labelled as proposal f/u's)</t>
  </si>
  <si>
    <t>APPS-41</t>
  </si>
  <si>
    <t>As a lead generator, I can add/modify organization profiles and define org affiliates, and define previous orgs on contacts</t>
  </si>
  <si>
    <t>APPS-38</t>
  </si>
  <si>
    <t>As an AD, I can receive a weekly digest with a preview of the prospects who will soon receive LEEP renewal follow-ups</t>
  </si>
  <si>
    <t>APPS-39</t>
  </si>
  <si>
    <t>As a salesperson, I can see if prospects have opened or clicked a link in a follow-up email</t>
  </si>
  <si>
    <t>APPS-489</t>
  </si>
  <si>
    <t>Show "Last updated" date below "Current assignee" field on proposal details view (don't show on form)</t>
  </si>
  <si>
    <t>APPS-491</t>
  </si>
  <si>
    <t>Add field for "Due to client" to proposal details and form view, place below "Current assignee" field, above last updated</t>
  </si>
  <si>
    <t>APPS-488</t>
  </si>
  <si>
    <t xml:space="preserve">Create "Current assignee" (Impetus staff member) field on proposal </t>
  </si>
  <si>
    <t>As a salesperson, I access dashboards of my active proposals and company sales metrics</t>
  </si>
  <si>
    <t>APPS-567</t>
  </si>
  <si>
    <t>Set default value for "Due to client" on new proposals to today</t>
  </si>
  <si>
    <t>APPS-566</t>
  </si>
  <si>
    <t>Issue with touchpoint field orders in some slices</t>
  </si>
  <si>
    <t>APPS-22</t>
  </si>
  <si>
    <t>As management, I can access key client metrics</t>
  </si>
  <si>
    <t>APPS-23</t>
  </si>
  <si>
    <t>As management, I can access key project metrics like profit margin, duration, advisor engagement</t>
  </si>
  <si>
    <t>APPS-26</t>
  </si>
  <si>
    <t>As a salesperson, I can transition a proposal (sales) to a project (CST)</t>
  </si>
  <si>
    <t>APPS-24</t>
  </si>
  <si>
    <t>As an AD, I can document MSAs and be notified when one is about to expire</t>
  </si>
  <si>
    <t>APPS-25</t>
  </si>
  <si>
    <t>As an AD, I can enrol my clients in a LEEP auto-renewal funnel</t>
  </si>
  <si>
    <t>APPS-361</t>
  </si>
  <si>
    <t>As a developer, I can manage dynamic email signature templates</t>
  </si>
  <si>
    <t>APPS-358</t>
  </si>
  <si>
    <t>On proposal form (when creating new proposal), hide “Program objectives” from form so it only shows on the details view where they can click “Add” and see them at the same time as touchpoints</t>
  </si>
  <si>
    <t>APPS-493</t>
  </si>
  <si>
    <t>Remove 'Impetus project lead' column from proposal data table since this will be assigned on the project level (no longer need this field)</t>
  </si>
  <si>
    <t>APPS-359</t>
  </si>
  <si>
    <t>On touchpoint form, above “Add-ons”, add a new show section with the title “Touchpoint cost breakdown”, move product “Price” above “Add-ones”, and relabel to Price to “Product cost”</t>
  </si>
  <si>
    <t>APPS-357</t>
  </si>
  <si>
    <t>Look into error on sales opportunity</t>
  </si>
  <si>
    <t>APPS-365</t>
  </si>
  <si>
    <t>Move the field "stakeholder role" to the end of the additional client stakeholder form</t>
  </si>
  <si>
    <t>APPS-362</t>
  </si>
  <si>
    <t>Replace product names with foreign keys on add-ons and reductions tables</t>
  </si>
  <si>
    <t>APPS-363</t>
  </si>
  <si>
    <t>Create a show column for error handling</t>
  </si>
  <si>
    <t>APPS-129</t>
  </si>
  <si>
    <t>Additional fields for proposal products form (join table)</t>
  </si>
  <si>
    <t>APPS-128</t>
  </si>
  <si>
    <t>Changes to proposal project requirements section</t>
  </si>
  <si>
    <t>APPS-127</t>
  </si>
  <si>
    <t>In new proposal form view, change Contact label to Prospective Client</t>
  </si>
  <si>
    <t>APPS-126</t>
  </si>
  <si>
    <t>Hide proposals inline table from new staff member form</t>
  </si>
  <si>
    <t>APPS-137</t>
  </si>
  <si>
    <t>Ensure total proposal cost adds add-ons and subtracts reductions</t>
  </si>
  <si>
    <t>APPS-136</t>
  </si>
  <si>
    <t>Ability to select (multiple) add-ons and reductions for each proposal product</t>
  </si>
  <si>
    <t>APPS-343</t>
  </si>
  <si>
    <t>On Contact form, make Contact status field default ‘New lead’</t>
  </si>
  <si>
    <t>APPS-135</t>
  </si>
  <si>
    <t>Create menu view for list of reductions (like list of products), with ability to create/modify reductions and associate them with product(s)</t>
  </si>
  <si>
    <t>APPS-134</t>
  </si>
  <si>
    <t>Create menu view for list of add-ons (like list of products), with ability to create/modify add-ons and associate them with product(s)</t>
  </si>
  <si>
    <t>APPS-133</t>
  </si>
  <si>
    <t>As a salesperson, I can create add-ons and reductions for proposal products</t>
  </si>
  <si>
    <t>APPS-131</t>
  </si>
  <si>
    <t>On sales opportunity form, change "Prospect response" label to "Prospect response (i.e. when they asked for a demo or proposal)" and default value to NOW()</t>
  </si>
  <si>
    <t>APPS-130</t>
  </si>
  <si>
    <t>As a salesperson, I can see the last 5 emails that were clicked on by each contact</t>
  </si>
  <si>
    <t>APPS-349</t>
  </si>
  <si>
    <t>Remove feedback management view from client version of app, show on reviewer version of app</t>
  </si>
  <si>
    <t>APPS-144</t>
  </si>
  <si>
    <t>Rename new sales opportunity form view name</t>
  </si>
  <si>
    <t>APPS-143</t>
  </si>
  <si>
    <t>As a project manager, I can assign Impetus staff and their roles to an AVT and SVT</t>
  </si>
  <si>
    <t>APPS-348</t>
  </si>
  <si>
    <t>As a client, I can validate my email on an authentication form, submit, then receive an email with a link to the appropriate app that expires in 5 minutes</t>
  </si>
  <si>
    <t>APPS-141</t>
  </si>
  <si>
    <t>As a salesperson, I can create a proposal based on a template/bundle of products, add-ons, and reductions</t>
  </si>
  <si>
    <t>APPS-140</t>
  </si>
  <si>
    <t>Ability to add a discount (%) from the Discounts table (by organization) to a proposal and have the total price reduced (% is not editable here)</t>
  </si>
  <si>
    <t>APPS-139</t>
  </si>
  <si>
    <t>Create menu view for list of discounts with ability to create/modify discounts and associate them with proposal(s)</t>
  </si>
  <si>
    <t>APPS-170</t>
  </si>
  <si>
    <t>At the end of the new sales opportunity form, add enum that asks salesperson if they would like to create a proposal right away and then redirect them to the proposal form</t>
  </si>
  <si>
    <t>APPS-169</t>
  </si>
  <si>
    <t>Hide “Estimated start date” from sales opportunity form since it will never be accurate (relies on proposals that aren’t built yet)</t>
  </si>
  <si>
    <t>APPS-168</t>
  </si>
  <si>
    <t>On sales opportunity form, move the “Lead source” field to the contact table with the ability to update the contact’s record from this context</t>
  </si>
  <si>
    <t>APPS-352</t>
  </si>
  <si>
    <t>Test if user can still submit the form after the time is expired</t>
  </si>
  <si>
    <t>APPS-167</t>
  </si>
  <si>
    <t>On sales opportunity form, move “Status” below the interactions field, relabel “Opportunity status”, and set default to active (see task description...)</t>
  </si>
  <si>
    <t>APPS-149</t>
  </si>
  <si>
    <t xml:space="preserve">On sales opportunity form create two fields one for "Has this prospect has a demo yet?" y/n and other field for the demo date only if the user has select yes </t>
  </si>
  <si>
    <t>APPS-166</t>
  </si>
  <si>
    <t>On sales opportunity form, relabel “Project name” to “Opportunity description” (same as proposal form)</t>
  </si>
  <si>
    <t>APPS-165</t>
  </si>
  <si>
    <t>Replicate post creation setting from SVT to AVT</t>
  </si>
  <si>
    <t>APPS-148</t>
  </si>
  <si>
    <t>On sales opportunities hide/remove impetus follow up</t>
  </si>
  <si>
    <t>APPS-147</t>
  </si>
  <si>
    <t>On sales opportunities "Potential start date" is the minimum of the products on related proposals "start date"</t>
  </si>
  <si>
    <t>APPS-164</t>
  </si>
  <si>
    <t>When Impetus staff submits "Initiate form", show a popup with the URL to fill in the form to the client.</t>
  </si>
  <si>
    <t>APPS-146</t>
  </si>
  <si>
    <t>on sales opportunities if a proposal is active then sales opportunity is active</t>
  </si>
  <si>
    <t>APPS-163</t>
  </si>
  <si>
    <t>Add another "status" column called "Impetus status"</t>
  </si>
  <si>
    <t>APPS-162</t>
  </si>
  <si>
    <t>Add a virtual column to count number of external/internal participants and add a new column as "Estimated number of participants"</t>
  </si>
  <si>
    <t>APPS-524</t>
  </si>
  <si>
    <t>Document complex worflows and actions and save it on Google Docs</t>
  </si>
  <si>
    <t>APPS-145</t>
  </si>
  <si>
    <t>On project requirements hide date of creation</t>
  </si>
  <si>
    <t>APPS-161</t>
  </si>
  <si>
    <t>Move "Form vs Upload" enum above the "Internal" Contact name table</t>
  </si>
  <si>
    <t>APPS-160</t>
  </si>
  <si>
    <t>Move "Form vs Upload" enum above the "External" Contact name table</t>
  </si>
  <si>
    <t>APPS-115</t>
  </si>
  <si>
    <t>Every product needs to be displayed on a new line</t>
  </si>
  <si>
    <t>APPS-181</t>
  </si>
  <si>
    <t>On proposals change label name of organization discount to "Organization's discount"</t>
  </si>
  <si>
    <t>APPS-180</t>
  </si>
  <si>
    <t>Rename columns of proposal products</t>
  </si>
  <si>
    <t>APPS-114</t>
  </si>
  <si>
    <t>Create a table view of "products list" which shows the product name and its price</t>
  </si>
  <si>
    <t>APPS-113</t>
  </si>
  <si>
    <t>Hide column of proposal status</t>
  </si>
  <si>
    <t>APPS-179</t>
  </si>
  <si>
    <t>On proposal products table only show estimated  date, the name of the product, add-ons, reductions and total price</t>
  </si>
  <si>
    <t>APPS-112</t>
  </si>
  <si>
    <t xml:space="preserve">all views of proposals need to be on the following order: Project name, Contact, Contact email VC, Salesperson, and project lead </t>
  </si>
  <si>
    <t>APPS-178</t>
  </si>
  <si>
    <t>Move total product price to the bottom of the form</t>
  </si>
  <si>
    <t>APPS-111</t>
  </si>
  <si>
    <t>the order of the second form page of proposal needs to be on the following order: title, notes, products and custom requirements</t>
  </si>
  <si>
    <t>As an Impetus project lead, I can schedule automatic reminder emails every 3 business days until SVT/AVT completion</t>
  </si>
  <si>
    <t>APPS-110</t>
  </si>
  <si>
    <t>Add a column for notes to the proposals this field needs to be located on the second page of the form at the top</t>
  </si>
  <si>
    <t>APPS-175</t>
  </si>
  <si>
    <t>On program objectives form (part of new proposal), hide date of creation, last edit, and edited by</t>
  </si>
  <si>
    <t>APPS-109</t>
  </si>
  <si>
    <t>Calculate the total price from custom requirements and products</t>
  </si>
  <si>
    <t>APPS-174</t>
  </si>
  <si>
    <t>On proposal form, make Probably default to “medium”</t>
  </si>
  <si>
    <t>APPS-173</t>
  </si>
  <si>
    <t>On sales opportunity details view, reduce actions on Related proposals table to just ‘view’ and ‘edit’</t>
  </si>
  <si>
    <t>APPS-172</t>
  </si>
  <si>
    <t>On new interaction form (part of sales opportunities), relabel “Date and time of creation” to “Date of interaction”, only show date (no time), and allow the salesperson to change it</t>
  </si>
  <si>
    <t>APPS-552</t>
  </si>
  <si>
    <t>As CST, I can see a list of all projects assigned to me</t>
  </si>
  <si>
    <t>APPS-171</t>
  </si>
  <si>
    <t>On new sales opportunity form, hide the created date field (only show in details view)</t>
  </si>
  <si>
    <t>APPS-150</t>
  </si>
  <si>
    <t>All reduction values on reductions form must be negative</t>
  </si>
  <si>
    <t>APPS-189</t>
  </si>
  <si>
    <t>APPS-188</t>
  </si>
  <si>
    <t>Create "Finalize request" action that can change "Impetus status" to final</t>
  </si>
  <si>
    <t>APPS-187</t>
  </si>
  <si>
    <t>Add "Touchpoint title" to the top of "Initiate AVT"</t>
  </si>
  <si>
    <t>APPS-185</t>
  </si>
  <si>
    <t>Custom formulas for products and add-ons (max advisors, duration, translations, etc.)</t>
  </si>
  <si>
    <t>APPS-184</t>
  </si>
  <si>
    <t>Order of detail view: Event title &gt; Client status &gt; Impetus status &gt; "Link to edit submission" &gt; the rest</t>
  </si>
  <si>
    <t>APPS-183</t>
  </si>
  <si>
    <t>Move [URL link to row] to top of details view, relabel it to "Link to edit submission". Hide [Link to row]</t>
  </si>
  <si>
    <t>APPS-182</t>
  </si>
  <si>
    <t>Show the description of the organization discount under the ref of organization discount(make a conditional to show only if discount its selected)</t>
  </si>
  <si>
    <t>APPS-116</t>
  </si>
  <si>
    <t>Change display name of salesperson to Impetus salesperson and of project lead to Impetus project lead</t>
  </si>
  <si>
    <t>ZAPI-30</t>
  </si>
  <si>
    <t>As an attendee, I can join a meeting from the portal</t>
  </si>
  <si>
    <t>Deployed</t>
  </si>
  <si>
    <t>ZAPI-142</t>
  </si>
  <si>
    <t>Add delete button to delete exported videos from the recording management (if export made in error, or needed to re-crop)</t>
  </si>
  <si>
    <t>Pending Deployment</t>
  </si>
  <si>
    <t>Multiple recording fieldsets displayed in web meeting reports and recordings widget</t>
  </si>
  <si>
    <t>ZAPI-138</t>
  </si>
  <si>
    <t>An error is occurring when there is a meeting conflict</t>
  </si>
  <si>
    <t>ZAPI-88</t>
  </si>
  <si>
    <t>Look into what polling data is available via API when multiple polling instances are launched during a meeting</t>
  </si>
  <si>
    <t>ZAPI-45</t>
  </si>
  <si>
    <t>Delete Zoom meeting when a meeting panel is removed from a page</t>
  </si>
  <si>
    <t>ZAPI-98</t>
  </si>
  <si>
    <t>After a webinar has already been started by an admin, change the "Start meeting" button label for other admins to "Join webinar in progress"</t>
  </si>
  <si>
    <t>ZAPI-33</t>
  </si>
  <si>
    <t>Testing for creating and joining a web meeting from the portal</t>
  </si>
  <si>
    <t>ZAPI-168</t>
  </si>
  <si>
    <t>Update event calendar auto generated text</t>
  </si>
  <si>
    <t>ZAPI-162</t>
  </si>
  <si>
    <t>As a DSS, I can view all fields in past event bookings</t>
  </si>
  <si>
    <t>ZAPI-118</t>
  </si>
  <si>
    <t>Test transferring and trimming a meeting recording</t>
  </si>
  <si>
    <t>ZAPI-119</t>
  </si>
  <si>
    <t>Adding custom fields to registration form</t>
  </si>
  <si>
    <t>ZAPI-70</t>
  </si>
  <si>
    <t>As an administrator, I can specify the portal users (clients or presenters) who are able to start and host/co-host meetings without Impetus</t>
  </si>
  <si>
    <t>As a meeting administrator, I can schedule a meeting for a client without concern of double-booking</t>
  </si>
  <si>
    <t>ZAPI-44</t>
  </si>
  <si>
    <t>Add registrant when a user is added to a meeting group or user list</t>
  </si>
  <si>
    <t>ZAPI-39</t>
  </si>
  <si>
    <t>Display user first and last names in Zoom</t>
  </si>
  <si>
    <t>ZAPI-42</t>
  </si>
  <si>
    <t>Add registrants to meetings when meetings are created</t>
  </si>
  <si>
    <t>ZAPI-107</t>
  </si>
  <si>
    <t>Add a toggle (checkbox with AJAX call) that allows DSSes to show/hide each edited streamable videos directly on the node in a "Recordings" section below the "Recording management" section</t>
  </si>
  <si>
    <t>ZAPI-102</t>
  </si>
  <si>
    <t>Assuming yes (re ZAPI-101), implement S3/CloudFront streaming service</t>
  </si>
  <si>
    <t>ZAPI-101</t>
  </si>
  <si>
    <t>Test HTML5 player with very large file on desktop and mobile to verify we still need a streaming service</t>
  </si>
  <si>
    <t>ZAPI-36</t>
  </si>
  <si>
    <t>Change the start/join meeting time buffer to 1 hour</t>
  </si>
  <si>
    <t>IV2-122</t>
  </si>
  <si>
    <t>portal-builder</t>
  </si>
  <si>
    <t>Mark touchpoints as closed</t>
  </si>
  <si>
    <t>IV2-2</t>
  </si>
  <si>
    <t>Backlog</t>
  </si>
  <si>
    <t>IV2-138</t>
  </si>
  <si>
    <t>Closed</t>
  </si>
  <si>
    <t>IV2-144</t>
  </si>
  <si>
    <t>Allow users to schedule reminder emails using the Portal Builder</t>
  </si>
  <si>
    <t>Janice Smith</t>
  </si>
  <si>
    <t>IV2-172</t>
  </si>
  <si>
    <t>Customize the landing page url in reminder emails for each user</t>
  </si>
  <si>
    <t>IV2-128</t>
  </si>
  <si>
    <t>Automatic weekly status email</t>
  </si>
  <si>
    <t>IV2-153</t>
  </si>
  <si>
    <t>Hide participant form inputs after a touchpoint has been created</t>
  </si>
  <si>
    <t>IV2-140</t>
  </si>
  <si>
    <t>Allow users to configure discussion forum likes using the Portal Builder</t>
  </si>
  <si>
    <t>IV2-139</t>
  </si>
  <si>
    <t>Add brain breaks using the Portal Builder form</t>
  </si>
  <si>
    <t>IV2-157</t>
  </si>
  <si>
    <t>Put all touchpoint pages at the same level in the menu</t>
  </si>
  <si>
    <t>IV2-152</t>
  </si>
  <si>
    <t>Remember usernames</t>
  </si>
  <si>
    <t>IV2-193</t>
  </si>
  <si>
    <t>Add frequently used webform functionality to the Touchpoint Builder</t>
  </si>
  <si>
    <t>IV2-178</t>
  </si>
  <si>
    <t>IV2-150</t>
  </si>
  <si>
    <t>Force users to set their password when they first login</t>
  </si>
  <si>
    <t>IV2-167</t>
  </si>
  <si>
    <t>Allow users to add merge tags to portal builder emails</t>
  </si>
  <si>
    <t>IV2-149</t>
  </si>
  <si>
    <t>Move activity tracker info into the Portal Manager tab</t>
  </si>
  <si>
    <t>IV2-163</t>
  </si>
  <si>
    <t>Improve the styling of the Portal Builder</t>
  </si>
  <si>
    <t>IV2-121</t>
  </si>
  <si>
    <t>Add future advisory board question to the opt-in form</t>
  </si>
  <si>
    <t>IV2-148</t>
  </si>
  <si>
    <t>Add Portal Manager tab to the Portal Builder</t>
  </si>
  <si>
    <t>IV2-161</t>
  </si>
  <si>
    <t>Use component keys instead of labels in webform analysis dropdown</t>
  </si>
  <si>
    <t>Natalie Yeadon</t>
  </si>
  <si>
    <t>557058:2c379320-edf6-4c92-88f0-2062697d265c</t>
  </si>
  <si>
    <t>ITP-1237</t>
  </si>
  <si>
    <t>ITP-1240</t>
  </si>
  <si>
    <t>ITP-154</t>
  </si>
  <si>
    <t>touchpoint-builder</t>
  </si>
  <si>
    <t>automated-summary-reports</t>
  </si>
  <si>
    <t>Ben Wong</t>
  </si>
  <si>
    <t>ITP-168</t>
  </si>
  <si>
    <t>TP builder makes pages with section titles longer than allowed character limit</t>
  </si>
  <si>
    <t>ITP-1239</t>
  </si>
  <si>
    <t>ITP-142</t>
  </si>
  <si>
    <t>ITP-1805</t>
  </si>
  <si>
    <t>ITP-1842</t>
  </si>
  <si>
    <t>ITP-370</t>
  </si>
  <si>
    <t>ITP-1263</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</si>
</sst>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quot;$&quot;#,##0.00"/>
    <numFmt numFmtId="165" formatCode="yyyy-mm-dd h:mm"/>
    <numFmt numFmtId="166" formatCode="yyyy-m-d h:mm"/>
    <numFmt numFmtId="167" formatCode="&quot; &quot;yyyy&quot;-&quot;mm&quot;-&quot;dd"/>
    <numFmt numFmtId="168" formatCode="yyyy-mm-dd h:mm am/pm"/>
    <numFmt numFmtId="169" formatCode="dd/mmm/yy h:mm am/pm"/>
    <numFmt numFmtId="170" formatCode="d/mmm/yy h:mm am/pm"/>
    <numFmt numFmtId="171" formatCode="d/mmmm/yy h:mm am/pm"/>
    <numFmt numFmtId="172" formatCode="dd/mmmm/yy h:mm am/pm"/>
  </numFmts>
  <fonts count="9">
    <font>
      <sz val="10.0"/>
      <color rgb="FF000000"/>
      <name val="Arial"/>
    </font>
    <font>
      <b/>
      <color rgb="FFFFFFFF"/>
      <name val="Roboto"/>
    </font>
    <font>
      <name val="Roboto"/>
    </font>
    <font>
      <u/>
      <color rgb="FF1155CC"/>
      <name val="Roboto"/>
    </font>
    <font>
      <b/>
      <color rgb="FF38761D"/>
      <name val="Roboto"/>
    </font>
    <font>
      <b/>
      <name val="Roboto"/>
    </font>
    <font>
      <u/>
      <color rgb="FF0000FF"/>
      <name val="Roboto"/>
    </font>
    <font>
      <u/>
      <color rgb="FF0000FF"/>
      <name val="Roboto"/>
    </font>
    <font/>
  </fonts>
  <fills count="6">
    <fill>
      <patternFill patternType="none"/>
    </fill>
    <fill>
      <patternFill patternType="lightGray"/>
    </fill>
    <fill>
      <patternFill patternType="solid">
        <fgColor rgb="FF000000"/>
        <bgColor rgb="FF000000"/>
      </patternFill>
    </fill>
    <fill>
      <patternFill patternType="solid">
        <fgColor rgb="FF38761D"/>
        <bgColor rgb="FF38761D"/>
      </patternFill>
    </fill>
    <fill>
      <patternFill patternType="solid">
        <fgColor rgb="FFD9EAD3"/>
        <bgColor rgb="FFD9EAD3"/>
      </patternFill>
    </fill>
    <fill>
      <patternFill patternType="solid">
        <fgColor rgb="FFF3F3F3"/>
        <bgColor rgb="FFF3F3F3"/>
      </patternFill>
    </fill>
  </fills>
  <borders count="2">
    <border/>
    <border>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left" readingOrder="0" shrinkToFit="0" vertical="center" wrapText="1"/>
    </xf>
    <xf borderId="0" fillId="3" fontId="1" numFmtId="0" xfId="0" applyAlignment="1" applyFill="1" applyFont="1">
      <alignment horizontal="left" readingOrder="0" shrinkToFit="0" vertical="center" wrapText="1"/>
    </xf>
    <xf borderId="0" fillId="2" fontId="1" numFmtId="2" xfId="0" applyAlignment="1" applyFont="1" applyNumberFormat="1">
      <alignment horizontal="left" readingOrder="0" shrinkToFit="0" vertical="center" wrapText="1"/>
    </xf>
    <xf borderId="0" fillId="0" fontId="2" numFmtId="0" xfId="0" applyAlignment="1" applyFont="1">
      <alignment readingOrder="0" shrinkToFit="0" vertical="top" wrapText="1"/>
    </xf>
    <xf borderId="0" fillId="0" fontId="2" numFmtId="0" xfId="0" applyAlignment="1" applyFont="1">
      <alignment readingOrder="0" shrinkToFit="0" vertical="top" wrapText="1"/>
    </xf>
    <xf borderId="0" fillId="0" fontId="2" numFmtId="0" xfId="0" applyAlignment="1" applyFont="1">
      <alignment horizontal="left" readingOrder="0" shrinkToFit="0" vertical="top" wrapText="1"/>
    </xf>
    <xf borderId="0" fillId="0" fontId="3" numFmtId="0" xfId="0" applyAlignment="1" applyFont="1">
      <alignment readingOrder="0" shrinkToFit="0" vertical="top" wrapText="1"/>
    </xf>
    <xf borderId="0" fillId="4" fontId="4" numFmtId="2" xfId="0" applyAlignment="1" applyFill="1" applyFont="1" applyNumberFormat="1">
      <alignment horizontal="left" readingOrder="0" shrinkToFit="0" vertical="top" wrapText="1"/>
    </xf>
    <xf borderId="0" fillId="0" fontId="5" numFmtId="2" xfId="0" applyAlignment="1" applyFont="1" applyNumberFormat="1">
      <alignment horizontal="left" readingOrder="0" shrinkToFit="0" vertical="top" wrapText="1"/>
    </xf>
    <xf borderId="0" fillId="0" fontId="6" numFmtId="0" xfId="0" applyAlignment="1" applyFont="1">
      <alignment readingOrder="0" shrinkToFit="0" vertical="top" wrapText="1"/>
    </xf>
    <xf borderId="0" fillId="2" fontId="1" numFmtId="164" xfId="0" applyAlignment="1" applyFont="1" applyNumberFormat="1">
      <alignment horizontal="left" readingOrder="0" shrinkToFit="0" vertical="center" wrapText="1"/>
    </xf>
    <xf borderId="0" fillId="0" fontId="5" numFmtId="0" xfId="0" applyAlignment="1" applyFont="1">
      <alignment horizontal="left" readingOrder="0" shrinkToFit="0" vertical="top" wrapText="1"/>
    </xf>
    <xf borderId="0" fillId="5" fontId="2" numFmtId="164" xfId="0" applyAlignment="1" applyFill="1" applyFont="1" applyNumberFormat="1">
      <alignment horizontal="left" shrinkToFit="0" vertical="top" wrapText="1"/>
    </xf>
    <xf borderId="0" fillId="0" fontId="2" numFmtId="0" xfId="0" applyAlignment="1" applyFont="1">
      <alignment horizontal="center" shrinkToFit="0" vertical="top" wrapText="1"/>
    </xf>
    <xf borderId="0" fillId="0" fontId="5" numFmtId="0" xfId="0" applyAlignment="1" applyFont="1">
      <alignment readingOrder="0"/>
    </xf>
    <xf borderId="0" fillId="0" fontId="7" numFmtId="0" xfId="0" applyAlignment="1" applyFont="1">
      <alignment readingOrder="0"/>
    </xf>
    <xf borderId="0" fillId="0" fontId="2" numFmtId="0" xfId="0" applyAlignment="1" applyFont="1">
      <alignment readingOrder="0"/>
    </xf>
    <xf borderId="0" fillId="0" fontId="2" numFmtId="165" xfId="0" applyAlignment="1" applyFont="1" applyNumberFormat="1">
      <alignment readingOrder="0"/>
    </xf>
    <xf borderId="0" fillId="0" fontId="2" numFmtId="0" xfId="0" applyFont="1"/>
    <xf borderId="0" fillId="0" fontId="2" numFmtId="166" xfId="0" applyAlignment="1" applyFont="1" applyNumberFormat="1">
      <alignment readingOrder="0"/>
    </xf>
    <xf borderId="0" fillId="2" fontId="1" numFmtId="0" xfId="0" applyAlignment="1" applyFont="1">
      <alignment readingOrder="0" vertical="top"/>
    </xf>
    <xf borderId="0" fillId="2" fontId="1" numFmtId="0" xfId="0" applyAlignment="1" applyFont="1">
      <alignment horizontal="center" readingOrder="0" vertical="top"/>
    </xf>
    <xf borderId="0" fillId="2" fontId="1" numFmtId="2" xfId="0" applyAlignment="1" applyFont="1" applyNumberFormat="1">
      <alignment horizontal="center" readingOrder="0" vertical="top"/>
    </xf>
    <xf borderId="0" fillId="2" fontId="1" numFmtId="167" xfId="0" applyAlignment="1" applyFont="1" applyNumberFormat="1">
      <alignment horizontal="center" readingOrder="0" vertical="top"/>
    </xf>
    <xf borderId="0" fillId="0" fontId="2" numFmtId="0" xfId="0" applyAlignment="1" applyFont="1">
      <alignment readingOrder="0" vertical="top"/>
    </xf>
    <xf borderId="0" fillId="0" fontId="2" numFmtId="0" xfId="0" applyAlignment="1" applyFont="1">
      <alignment horizontal="center" readingOrder="0" vertical="top"/>
    </xf>
    <xf borderId="0" fillId="0" fontId="2" numFmtId="2" xfId="0" applyAlignment="1" applyFont="1" applyNumberFormat="1">
      <alignment horizontal="center" readingOrder="0" vertical="top"/>
    </xf>
    <xf borderId="0" fillId="0" fontId="2" numFmtId="167" xfId="0" applyAlignment="1" applyFont="1" applyNumberFormat="1">
      <alignment horizontal="center" readingOrder="0" vertical="top"/>
    </xf>
    <xf borderId="0" fillId="0" fontId="2" numFmtId="0" xfId="0" applyAlignment="1" applyFont="1">
      <alignment horizontal="center" readingOrder="0" shrinkToFit="0" vertical="top" wrapText="1"/>
    </xf>
    <xf borderId="0" fillId="5" fontId="2" numFmtId="0" xfId="0" applyAlignment="1" applyFont="1">
      <alignment readingOrder="0" vertical="top"/>
    </xf>
    <xf borderId="0" fillId="5" fontId="2" numFmtId="0" xfId="0" applyAlignment="1" applyFont="1">
      <alignment horizontal="center" readingOrder="0" vertical="top"/>
    </xf>
    <xf borderId="0" fillId="5" fontId="2" numFmtId="2" xfId="0" applyAlignment="1" applyFont="1" applyNumberFormat="1">
      <alignment horizontal="center" readingOrder="0" vertical="top"/>
    </xf>
    <xf borderId="0" fillId="5" fontId="2" numFmtId="167" xfId="0" applyAlignment="1" applyFont="1" applyNumberFormat="1">
      <alignment horizontal="center" readingOrder="0" vertical="top"/>
    </xf>
    <xf borderId="1" fillId="5" fontId="2" numFmtId="0" xfId="0" applyAlignment="1" applyBorder="1" applyFont="1">
      <alignment readingOrder="0" vertical="top"/>
    </xf>
    <xf borderId="1" fillId="5" fontId="2" numFmtId="0" xfId="0" applyAlignment="1" applyBorder="1" applyFont="1">
      <alignment horizontal="center" readingOrder="0" vertical="top"/>
    </xf>
    <xf borderId="1" fillId="5" fontId="2" numFmtId="2" xfId="0" applyAlignment="1" applyBorder="1" applyFont="1" applyNumberFormat="1">
      <alignment horizontal="center" readingOrder="0" vertical="top"/>
    </xf>
    <xf borderId="1" fillId="5" fontId="2" numFmtId="167" xfId="0" applyAlignment="1" applyBorder="1" applyFont="1" applyNumberFormat="1">
      <alignment horizontal="center" readingOrder="0" vertical="top"/>
    </xf>
    <xf borderId="0" fillId="0" fontId="8" numFmtId="0" xfId="0" applyAlignment="1" applyFont="1">
      <alignment readingOrder="0"/>
    </xf>
    <xf borderId="0" fillId="0" fontId="8" numFmtId="168" xfId="0" applyAlignment="1" applyFont="1" applyNumberFormat="1">
      <alignment readingOrder="0"/>
    </xf>
    <xf borderId="0" fillId="0" fontId="8" numFmtId="165" xfId="0" applyAlignment="1" applyFont="1" applyNumberFormat="1">
      <alignment readingOrder="0"/>
    </xf>
    <xf quotePrefix="1" borderId="0" fillId="0" fontId="8" numFmtId="0" xfId="0" applyAlignment="1" applyFont="1">
      <alignment readingOrder="0"/>
    </xf>
    <xf borderId="0" fillId="0" fontId="8" numFmtId="169" xfId="0" applyAlignment="1" applyFont="1" applyNumberFormat="1">
      <alignment readingOrder="0"/>
    </xf>
    <xf borderId="0" fillId="0" fontId="8" numFmtId="170" xfId="0" applyAlignment="1" applyFont="1" applyNumberFormat="1">
      <alignment readingOrder="0"/>
    </xf>
    <xf borderId="0" fillId="0" fontId="8" numFmtId="171" xfId="0" applyAlignment="1" applyFont="1" applyNumberFormat="1">
      <alignment readingOrder="0"/>
    </xf>
    <xf borderId="0" fillId="0" fontId="8" numFmtId="172"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impetus.atlassian.net/browse/IV2-208?jql=labels%20%3D%20portal-builder-SRED" TargetMode="External"/><Relationship Id="rId2" Type="http://schemas.openxmlformats.org/officeDocument/2006/relationships/hyperlink" Target="https://impetus.atlassian.net/browse/APPS-578?jql=labels%20%3D%20insite-workflow-SRED" TargetMode="External"/><Relationship Id="rId3" Type="http://schemas.openxmlformats.org/officeDocument/2006/relationships/hyperlink" Target="https://www.drupal.org/project/form_builder." TargetMode="External"/><Relationship Id="rId4" Type="http://schemas.openxmlformats.org/officeDocument/2006/relationships/hyperlink" Target="https://impetus.atlassian.net/issues/?jql=labels%20%3D%20portal-builder-SRED" TargetMode="External"/><Relationship Id="rId5" Type="http://schemas.openxmlformats.org/officeDocument/2006/relationships/hyperlink" Target="https://impetus.atlassian.net/issues/?jql=labels%20%3D%20insite-mapping-SRED"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0" Type="http://schemas.openxmlformats.org/officeDocument/2006/relationships/hyperlink" Target="http://ravicm.in" TargetMode="External"/><Relationship Id="rId22" Type="http://schemas.openxmlformats.org/officeDocument/2006/relationships/hyperlink" Target="http://ravicm.in" TargetMode="External"/><Relationship Id="rId21" Type="http://schemas.openxmlformats.org/officeDocument/2006/relationships/hyperlink" Target="http://ravicm.in" TargetMode="External"/><Relationship Id="rId24" Type="http://schemas.openxmlformats.org/officeDocument/2006/relationships/hyperlink" Target="http://ravicm.in" TargetMode="External"/><Relationship Id="rId23" Type="http://schemas.openxmlformats.org/officeDocument/2006/relationships/hyperlink" Target="http://ravicm.in" TargetMode="External"/><Relationship Id="rId1" Type="http://schemas.openxmlformats.org/officeDocument/2006/relationships/hyperlink" Target="http://ravicm.in" TargetMode="External"/><Relationship Id="rId2" Type="http://schemas.openxmlformats.org/officeDocument/2006/relationships/hyperlink" Target="http://ravicm.in" TargetMode="External"/><Relationship Id="rId3" Type="http://schemas.openxmlformats.org/officeDocument/2006/relationships/hyperlink" Target="http://ravicm.in" TargetMode="External"/><Relationship Id="rId4" Type="http://schemas.openxmlformats.org/officeDocument/2006/relationships/hyperlink" Target="http://ravicm.in" TargetMode="External"/><Relationship Id="rId9" Type="http://schemas.openxmlformats.org/officeDocument/2006/relationships/hyperlink" Target="http://ravicm.in" TargetMode="External"/><Relationship Id="rId26" Type="http://schemas.openxmlformats.org/officeDocument/2006/relationships/hyperlink" Target="http://ravicm.in" TargetMode="External"/><Relationship Id="rId25" Type="http://schemas.openxmlformats.org/officeDocument/2006/relationships/hyperlink" Target="http://ravicm.in" TargetMode="External"/><Relationship Id="rId28" Type="http://schemas.openxmlformats.org/officeDocument/2006/relationships/hyperlink" Target="http://ravicm.in" TargetMode="External"/><Relationship Id="rId27" Type="http://schemas.openxmlformats.org/officeDocument/2006/relationships/hyperlink" Target="http://ravicm.in" TargetMode="External"/><Relationship Id="rId5" Type="http://schemas.openxmlformats.org/officeDocument/2006/relationships/hyperlink" Target="http://ravicm.in" TargetMode="External"/><Relationship Id="rId6" Type="http://schemas.openxmlformats.org/officeDocument/2006/relationships/hyperlink" Target="http://ravicm.in" TargetMode="External"/><Relationship Id="rId29" Type="http://schemas.openxmlformats.org/officeDocument/2006/relationships/hyperlink" Target="http://ravicm.in" TargetMode="External"/><Relationship Id="rId7" Type="http://schemas.openxmlformats.org/officeDocument/2006/relationships/hyperlink" Target="http://ravicm.in" TargetMode="External"/><Relationship Id="rId8" Type="http://schemas.openxmlformats.org/officeDocument/2006/relationships/hyperlink" Target="http://ravicm.in" TargetMode="External"/><Relationship Id="rId31" Type="http://schemas.openxmlformats.org/officeDocument/2006/relationships/hyperlink" Target="http://ravicm.in" TargetMode="External"/><Relationship Id="rId30" Type="http://schemas.openxmlformats.org/officeDocument/2006/relationships/hyperlink" Target="http://ravicm.in" TargetMode="External"/><Relationship Id="rId11" Type="http://schemas.openxmlformats.org/officeDocument/2006/relationships/hyperlink" Target="http://ravicm.in" TargetMode="External"/><Relationship Id="rId33" Type="http://schemas.openxmlformats.org/officeDocument/2006/relationships/drawing" Target="../drawings/drawing3.xml"/><Relationship Id="rId10" Type="http://schemas.openxmlformats.org/officeDocument/2006/relationships/hyperlink" Target="http://ravicm.in" TargetMode="External"/><Relationship Id="rId32" Type="http://schemas.openxmlformats.org/officeDocument/2006/relationships/hyperlink" Target="http://ravicm.in" TargetMode="External"/><Relationship Id="rId13" Type="http://schemas.openxmlformats.org/officeDocument/2006/relationships/hyperlink" Target="http://ravicm.in" TargetMode="External"/><Relationship Id="rId12" Type="http://schemas.openxmlformats.org/officeDocument/2006/relationships/hyperlink" Target="http://ravicm.in" TargetMode="External"/><Relationship Id="rId15" Type="http://schemas.openxmlformats.org/officeDocument/2006/relationships/hyperlink" Target="http://ravicm.in" TargetMode="External"/><Relationship Id="rId14" Type="http://schemas.openxmlformats.org/officeDocument/2006/relationships/hyperlink" Target="http://ravicm.in" TargetMode="External"/><Relationship Id="rId17" Type="http://schemas.openxmlformats.org/officeDocument/2006/relationships/hyperlink" Target="http://ravicm.in" TargetMode="External"/><Relationship Id="rId16" Type="http://schemas.openxmlformats.org/officeDocument/2006/relationships/hyperlink" Target="http://ravicm.in" TargetMode="External"/><Relationship Id="rId19" Type="http://schemas.openxmlformats.org/officeDocument/2006/relationships/hyperlink" Target="http://ravicm.in" TargetMode="External"/><Relationship Id="rId18" Type="http://schemas.openxmlformats.org/officeDocument/2006/relationships/hyperlink" Target="http://ravicm.i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1.29"/>
    <col customWidth="1" min="2" max="2" width="81.43"/>
    <col customWidth="1" min="3" max="3" width="57.43"/>
    <col customWidth="1" min="4" max="4" width="32.71"/>
    <col customWidth="1" min="5" max="5" width="29.0"/>
    <col customWidth="1" min="6" max="7" width="31.29"/>
    <col customWidth="1" min="8" max="9" width="37.0"/>
    <col customWidth="1" min="10" max="10" width="34.57"/>
    <col customWidth="1" min="11" max="11" width="36.29"/>
    <col customWidth="1" min="12" max="13" width="37.0"/>
    <col customWidth="1" min="14" max="14" width="40.0"/>
  </cols>
  <sheetData>
    <row r="1" ht="53.25" customHeight="1">
      <c r="A1" s="1" t="s">
        <v>0</v>
      </c>
      <c r="B1" s="1" t="s">
        <v>1</v>
      </c>
      <c r="C1" s="2" t="s">
        <v>2</v>
      </c>
      <c r="D1" s="1" t="s">
        <v>3</v>
      </c>
      <c r="E1" s="3" t="str">
        <f>CONCATENATE("Total Hours to be Claimed: ",ROUND(SUM(E2:E5),0))</f>
        <v>Total Hours to be Claimed: 2819</v>
      </c>
      <c r="F1" s="4" t="s">
        <v>4</v>
      </c>
      <c r="G1" s="4" t="s">
        <v>5</v>
      </c>
      <c r="H1" s="2" t="s">
        <v>6</v>
      </c>
      <c r="I1" s="2" t="s">
        <v>7</v>
      </c>
      <c r="J1" s="2" t="s">
        <v>8</v>
      </c>
      <c r="K1" s="2" t="s">
        <v>9</v>
      </c>
      <c r="L1" s="2" t="s">
        <v>10</v>
      </c>
      <c r="M1" s="2" t="s">
        <v>11</v>
      </c>
      <c r="N1" s="2" t="s">
        <v>12</v>
      </c>
    </row>
    <row r="2">
      <c r="A2" s="5" t="s">
        <v>13</v>
      </c>
      <c r="B2" s="6" t="s">
        <v>14</v>
      </c>
      <c r="C2" s="7" t="s">
        <v>15</v>
      </c>
      <c r="D2" s="8" t="s">
        <v>16</v>
      </c>
      <c r="E2" s="9">
        <f t="shared" ref="E2:E5" si="1">SUM(F2:N2)</f>
        <v>302.0666667</v>
      </c>
      <c r="F2" s="10">
        <f>SUMIFS('2020 Worklogs'!$D:$D,'2020 Worklogs'!$G:$G,"Trevor Coehoorn",'2020 Worklogs'!A:A,$D2)</f>
        <v>195.15</v>
      </c>
      <c r="G2" s="10">
        <f>SUMIFS('2020 Worklogs'!$D:$D,'2020 Worklogs'!$G:$G,"Terry Waldner",'2020 Worklogs'!$A:$A,$D2)</f>
        <v>0</v>
      </c>
      <c r="H2" s="10">
        <f>856-790</f>
        <v>66</v>
      </c>
      <c r="I2" s="10">
        <f>SUMIFS('2020 Worklogs'!$D:$D,'2020 Worklogs'!$G:$G,"Jessica Obando",'2020 Worklogs'!$A:$A,$D2)</f>
        <v>0</v>
      </c>
      <c r="J2" s="10">
        <f>SUMIFS('2020 Worklogs'!$D:$D,'2020 Worklogs'!$G:$G,"Mark Corrigan",'2020 Worklogs'!$A:$A,$D2)</f>
        <v>35.75</v>
      </c>
      <c r="K2" s="10">
        <f>SUMIFS('2020 Worklogs'!$D:$D,'2020 Worklogs'!$G:$G,"Dan Wells",'2020 Worklogs'!$A:$A,$D2)</f>
        <v>0</v>
      </c>
      <c r="L2" s="10">
        <f>SUMIFS('2020 Worklogs'!$D:$D,'2020 Worklogs'!$G:$G,"Holly Lam",'2020 Worklogs'!$A:$A,$D2)</f>
        <v>0</v>
      </c>
      <c r="M2" s="10">
        <f>SUMIFS('2020 Worklogs'!$D:$D,'2020 Worklogs'!$G:$G,"Alyssia Grant",'2020 Worklogs'!$A:$A,$D2)</f>
        <v>0</v>
      </c>
      <c r="N2" s="10">
        <f>SUMIFS('2020 Worklogs'!$D:$D,'2020 Worklogs'!$G:$G,"Nikita Kuzmin",'2020 Worklogs'!$A:$A,$D2)</f>
        <v>5.166666667</v>
      </c>
    </row>
    <row r="3">
      <c r="A3" s="5" t="s">
        <v>17</v>
      </c>
      <c r="B3" s="6" t="s">
        <v>18</v>
      </c>
      <c r="C3" s="7"/>
      <c r="D3" s="8" t="s">
        <v>19</v>
      </c>
      <c r="E3" s="9">
        <f t="shared" si="1"/>
        <v>1854.116667</v>
      </c>
      <c r="F3" s="10">
        <f>SUMIFS('2020 Worklogs'!$D:$D,'2020 Worklogs'!$G:$G,"Trevor Coehoorn",'2020 Worklogs'!A:A,$D3)</f>
        <v>0.1166666667</v>
      </c>
      <c r="G3" s="10">
        <f>SUMIFS('2020 Worklogs'!$D:$D,'2020 Worklogs'!$G:$G,"Terry Waldner",'2020 Worklogs'!$A:$A,$D3)</f>
        <v>0</v>
      </c>
      <c r="H3" s="10">
        <f>SUMIFS('2020 Worklogs'!$D:$D,'2020 Worklogs'!$G:$G,"Bryan Le",'2020 Worklogs'!$A:$A,$D3)</f>
        <v>790</v>
      </c>
      <c r="I3" s="10">
        <f>SUMIFS('2020 Worklogs'!$D:$D,'2020 Worklogs'!$G:$G,"Jessica Obando",'2020 Worklogs'!$A:$A,$D3)</f>
        <v>856</v>
      </c>
      <c r="J3" s="10">
        <f>SUMIFS('2020 Worklogs'!$D:$D,'2020 Worklogs'!$G:$G,"Mark Corrigan",'2020 Worklogs'!$A:$A,$D3)</f>
        <v>200.0833333</v>
      </c>
      <c r="K3" s="10">
        <f>SUMIFS('2020 Worklogs'!$D:$D,'2020 Worklogs'!$G:$G,"Dan Wells",'2020 Worklogs'!$A:$A,$D3)</f>
        <v>0</v>
      </c>
      <c r="L3" s="10">
        <f>SUMIFS('2020 Worklogs'!$D:$D,'2020 Worklogs'!$G:$G,"Holly Lam",'2020 Worklogs'!$A:$A,$D3)</f>
        <v>0</v>
      </c>
      <c r="M3" s="10">
        <f>SUMIFS('2020 Worklogs'!$D:$D,'2020 Worklogs'!$G:$G,"Alyssia Grant",'2020 Worklogs'!$A:$A,$D3)</f>
        <v>0</v>
      </c>
      <c r="N3" s="10">
        <f>SUMIFS('2020 Worklogs'!$D:$D,'2020 Worklogs'!$G:$G,"Nikita Kuzmin",'2020 Worklogs'!$A:$A,$D3)</f>
        <v>7.916666667</v>
      </c>
    </row>
    <row r="4" ht="93.0" customHeight="1">
      <c r="A4" s="5" t="s">
        <v>20</v>
      </c>
      <c r="B4" s="11" t="s">
        <v>21</v>
      </c>
      <c r="C4" s="7" t="s">
        <v>22</v>
      </c>
      <c r="D4" s="8" t="s">
        <v>23</v>
      </c>
      <c r="E4" s="9">
        <f t="shared" si="1"/>
        <v>603.65</v>
      </c>
      <c r="F4" s="10">
        <f>SUMIFS('2020 Worklogs'!$D:$D,'2020 Worklogs'!$G:$G,"Trevor Coehoorn",'2020 Worklogs'!A:A,$D4)</f>
        <v>447.55</v>
      </c>
      <c r="G4" s="10">
        <f>SUMIFS('2020 Worklogs'!$D:$D,'2020 Worklogs'!$G:$G,"Terry Waldner",'2020 Worklogs'!$A:$A,$D4)</f>
        <v>133.5</v>
      </c>
      <c r="H4" s="10">
        <f>SUMIFS('2020 Worklogs'!$D:$D,'2020 Worklogs'!$G:$G,"Bryan Le",'2020 Worklogs'!$A:$A,$D4)</f>
        <v>0</v>
      </c>
      <c r="I4" s="10">
        <f>SUMIFS('2020 Worklogs'!$D:$D,'2020 Worklogs'!$G:$G,"Jessica Obando",'2020 Worklogs'!$A:$A,$D4)</f>
        <v>0</v>
      </c>
      <c r="J4" s="10">
        <f>SUMIFS('2020 Worklogs'!D:D,'2020 Worklogs'!G:G,"Mark Corrigan",'2020 Worklogs'!A:A,$D4)</f>
        <v>3.25</v>
      </c>
      <c r="K4" s="10">
        <f>SUMIFS('2020 Worklogs'!$D:$D,'2020 Worklogs'!$G:$G,"Dan Wells",'2020 Worklogs'!$A:$A,$D4)</f>
        <v>9.75</v>
      </c>
      <c r="L4" s="10">
        <f>SUMIFS('2020 Worklogs'!$D:$D,'2020 Worklogs'!$G:$G,"Holly Lam",'2020 Worklogs'!$A:$A,$D4)</f>
        <v>7.35</v>
      </c>
      <c r="M4" s="10">
        <f>SUMIFS('2020 Worklogs'!$D:$D,'2020 Worklogs'!$G:$G,"Alyssia Grant",'2020 Worklogs'!$A:$A,$D4)</f>
        <v>2.25</v>
      </c>
      <c r="N4" s="10">
        <f>SUMIFS('2020 Worklogs'!$D:$D,'2020 Worklogs'!$G:$G,"Nikita Kuzmin",'2020 Worklogs'!$A:$A,$D4)</f>
        <v>0</v>
      </c>
    </row>
    <row r="5">
      <c r="A5" s="6" t="s">
        <v>24</v>
      </c>
      <c r="B5" s="6" t="s">
        <v>25</v>
      </c>
      <c r="C5" s="7" t="s">
        <v>26</v>
      </c>
      <c r="D5" s="8" t="s">
        <v>27</v>
      </c>
      <c r="E5" s="9">
        <f t="shared" si="1"/>
        <v>59.11666667</v>
      </c>
      <c r="F5" s="10">
        <f>SUMIFS('2020 Worklogs'!$D:$D,'2020 Worklogs'!$G:$G,"Trevor Coehoorn",'2020 Worklogs'!A:A,$D5)</f>
        <v>44.86666667</v>
      </c>
      <c r="G5" s="10">
        <f>SUMIFS('2020 Worklogs'!$D:$D,'2020 Worklogs'!$G:$G,"Terry Waldner",'2020 Worklogs'!$A:$A,$D5)</f>
        <v>0.75</v>
      </c>
      <c r="H5" s="10">
        <f>SUMIFS('2020 Worklogs'!$D:$D,'2020 Worklogs'!$G:$G,"Bryan Le",'2020 Worklogs'!$A:$A,$D5)</f>
        <v>0</v>
      </c>
      <c r="I5" s="10">
        <f>SUMIFS('2020 Worklogs'!$D:$D,'2020 Worklogs'!$G:$G,"Jessica Obando",'2020 Worklogs'!$A:$A,$D5)</f>
        <v>0</v>
      </c>
      <c r="J5" s="10">
        <f>SUMIFS('2020 Worklogs'!D:D,'2020 Worklogs'!G:G,"Mark Corrigan",'2020 Worklogs'!A:A,$D5)</f>
        <v>3</v>
      </c>
      <c r="K5" s="10">
        <f>SUMIFS('2020 Worklogs'!$D:$D,'2020 Worklogs'!$G:$G,"Dan Wells",'2020 Worklogs'!$A:$A,$D5)</f>
        <v>0</v>
      </c>
      <c r="L5" s="10">
        <f>SUMIFS('2020 Worklogs'!$D:$D,'2020 Worklogs'!$G:$G,"Holly Lam",'2020 Worklogs'!$A:$A,$D5)</f>
        <v>0</v>
      </c>
      <c r="M5" s="10">
        <f>SUMIFS('2020 Worklogs'!$D:$D,'2020 Worklogs'!$G:$G,"Alyssia Grant",'2020 Worklogs'!$A:$A,$D5)</f>
        <v>0</v>
      </c>
      <c r="N5" s="10">
        <f>SUMIFS('2020 Worklogs'!$D:$D,'2020 Worklogs'!$G:$G,"Nikita Kuzmin",'2020 Worklogs'!$A:$A,$D5)</f>
        <v>10.5</v>
      </c>
    </row>
  </sheetData>
  <hyperlinks>
    <hyperlink r:id="rId1" ref="D2"/>
    <hyperlink r:id="rId2" ref="D3"/>
    <hyperlink r:id="rId3" ref="B4"/>
    <hyperlink r:id="rId4" ref="D4"/>
    <hyperlink r:id="rId5" ref="D5"/>
  </hyperlinks>
  <printOptions gridLines="1" horizontalCentered="1"/>
  <pageMargins bottom="0.75" footer="0.0" header="0.0" left="0.7" right="0.7" top="0.75"/>
  <pageSetup fitToHeight="0" cellComments="atEnd" orientation="landscape" pageOrder="overThenDown"/>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5.57"/>
    <col customWidth="1" min="2" max="2" width="59.57"/>
    <col customWidth="1" min="3" max="3" width="48.71"/>
    <col customWidth="1" min="4" max="4" width="13.43"/>
    <col customWidth="1" min="5" max="5" width="31.29"/>
    <col customWidth="1" min="6" max="6" width="62.14"/>
    <col customWidth="1" min="7" max="7" width="57.43"/>
    <col customWidth="1" min="8" max="8" width="25.57"/>
    <col customWidth="1" min="9" max="9" width="38.43"/>
  </cols>
  <sheetData>
    <row r="1" ht="37.5" customHeight="1">
      <c r="A1" s="1" t="s">
        <v>0</v>
      </c>
      <c r="B1" s="1" t="s">
        <v>28</v>
      </c>
      <c r="C1" s="1" t="s">
        <v>29</v>
      </c>
      <c r="D1" s="2" t="s">
        <v>30</v>
      </c>
      <c r="E1" s="2" t="s">
        <v>31</v>
      </c>
      <c r="F1" s="2" t="s">
        <v>32</v>
      </c>
      <c r="G1" s="2" t="s">
        <v>33</v>
      </c>
      <c r="H1" s="12" t="s">
        <v>34</v>
      </c>
      <c r="I1" s="12" t="s">
        <v>35</v>
      </c>
    </row>
    <row r="2">
      <c r="A2" s="5" t="s">
        <v>36</v>
      </c>
      <c r="B2" s="6" t="s">
        <v>37</v>
      </c>
      <c r="C2" s="11" t="str">
        <f>HYPERLINK("https://impetus.atlassian.net/issues/?jql=labels%20%3D%20internationalization","internationalization")</f>
        <v>internationalization</v>
      </c>
      <c r="D2" s="7" t="s">
        <v>38</v>
      </c>
      <c r="E2" s="13">
        <v>76.0</v>
      </c>
      <c r="F2" s="7" t="s">
        <v>39</v>
      </c>
      <c r="G2" s="7" t="s">
        <v>40</v>
      </c>
      <c r="H2" s="14"/>
      <c r="I2" s="14"/>
    </row>
    <row r="3">
      <c r="A3" s="5" t="s">
        <v>41</v>
      </c>
      <c r="B3" s="6" t="s">
        <v>42</v>
      </c>
      <c r="C3" s="11" t="str">
        <f>HYPERLINK("https://impetus.atlassian.net/issues/?jql=labels%20%3D%20summary-report-export","summary-report-export")</f>
        <v>summary-report-export</v>
      </c>
      <c r="D3" s="7" t="s">
        <v>43</v>
      </c>
      <c r="E3" s="13">
        <v>171.0</v>
      </c>
      <c r="F3" s="7" t="s">
        <v>44</v>
      </c>
      <c r="G3" s="7" t="s">
        <v>45</v>
      </c>
      <c r="H3" s="14"/>
      <c r="I3" s="14"/>
    </row>
    <row r="4">
      <c r="A4" s="6" t="s">
        <v>46</v>
      </c>
      <c r="B4" s="6" t="s">
        <v>47</v>
      </c>
      <c r="C4" s="11" t="str">
        <f>HYPERLINK("https://impetus.atlassian.net/issues/?jql=labels+%3D+site-spin-up-automation","site-spin-up-automation")</f>
        <v>site-spin-up-automation</v>
      </c>
      <c r="D4" s="7" t="s">
        <v>48</v>
      </c>
      <c r="E4" s="13">
        <f>192+119</f>
        <v>311</v>
      </c>
      <c r="F4" s="7" t="s">
        <v>49</v>
      </c>
      <c r="G4" s="7" t="s">
        <v>50</v>
      </c>
      <c r="H4" s="14"/>
      <c r="I4" s="14"/>
    </row>
    <row r="5">
      <c r="A5" s="6" t="s">
        <v>51</v>
      </c>
      <c r="B5" s="6" t="s">
        <v>52</v>
      </c>
      <c r="C5" s="11" t="str">
        <f>HYPERLINK("https://impetus.atlassian.net/issues/?jql=labels+%3D+touchpoint-builder","touchpoint-builder")</f>
        <v>touchpoint-builder</v>
      </c>
      <c r="D5" s="7" t="s">
        <v>53</v>
      </c>
      <c r="E5" s="13">
        <v>645.0</v>
      </c>
      <c r="F5" s="7" t="s">
        <v>54</v>
      </c>
      <c r="G5" s="7" t="s">
        <v>55</v>
      </c>
      <c r="H5" s="14"/>
      <c r="I5" s="14"/>
    </row>
    <row r="6">
      <c r="A6" s="6" t="s">
        <v>56</v>
      </c>
      <c r="B6" s="6" t="s">
        <v>57</v>
      </c>
      <c r="C6" s="11" t="str">
        <f>HYPERLINK("https://impetus.atlassian.net/issues/?jql=labels%20%3D%20client-notification-enhancements","client-notification-enhancements")</f>
        <v>client-notification-enhancements</v>
      </c>
      <c r="D6" s="7" t="s">
        <v>43</v>
      </c>
      <c r="E6" s="13">
        <v>63.0</v>
      </c>
      <c r="F6" s="7" t="s">
        <v>58</v>
      </c>
      <c r="G6" s="15"/>
      <c r="H6" s="14"/>
      <c r="I6" s="14"/>
    </row>
    <row r="7">
      <c r="A7" s="6" t="s">
        <v>59</v>
      </c>
      <c r="B7" s="6" t="s">
        <v>60</v>
      </c>
      <c r="C7" s="11" t="str">
        <f>HYPERLINK("https://impetus.atlassian.net/issues/?jql=labels+%3D+interactive-group-discussion","interactive-group-discussion")</f>
        <v>interactive-group-discussion</v>
      </c>
      <c r="D7" s="7" t="s">
        <v>43</v>
      </c>
      <c r="E7" s="13">
        <v>106.0</v>
      </c>
      <c r="F7" s="7" t="s">
        <v>61</v>
      </c>
      <c r="G7" s="7" t="s">
        <v>62</v>
      </c>
      <c r="H7" s="14"/>
      <c r="I7" s="14"/>
    </row>
    <row r="8">
      <c r="A8" s="6" t="s">
        <v>63</v>
      </c>
      <c r="B8" s="6" t="s">
        <v>64</v>
      </c>
      <c r="C8" s="11" t="str">
        <f>HYPERLINK("https://impetus.atlassian.net/issues/?jql=labels+%3D+integrated-web-meetings","integrated-web-meetings")</f>
        <v>integrated-web-meetings</v>
      </c>
      <c r="D8" s="7" t="s">
        <v>48</v>
      </c>
      <c r="E8" s="13">
        <v>94.0</v>
      </c>
      <c r="F8" s="7" t="s">
        <v>65</v>
      </c>
      <c r="G8" s="7" t="s">
        <v>66</v>
      </c>
      <c r="H8" s="14"/>
      <c r="I8" s="14"/>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hidden="1" min="2" max="2" width="14.43"/>
    <col customWidth="1" min="3" max="3" width="62.86"/>
    <col customWidth="1" min="4" max="4" width="13.43"/>
    <col customWidth="1" min="5" max="5" width="19.29"/>
    <col customWidth="1" min="6" max="6" width="9.71"/>
    <col customWidth="1" min="7" max="7" width="28.43"/>
    <col customWidth="1" min="8" max="8" width="28.0"/>
    <col customWidth="1" min="12" max="12" width="21.29"/>
  </cols>
  <sheetData>
    <row r="1">
      <c r="A1" s="16" t="s">
        <v>67</v>
      </c>
      <c r="B1" s="16" t="s">
        <v>67</v>
      </c>
      <c r="C1" s="16" t="s">
        <v>68</v>
      </c>
      <c r="D1" s="16" t="s">
        <v>69</v>
      </c>
      <c r="E1" s="16" t="s">
        <v>70</v>
      </c>
      <c r="F1" s="16" t="s">
        <v>71</v>
      </c>
      <c r="G1" s="16" t="s">
        <v>72</v>
      </c>
      <c r="H1" s="16" t="s">
        <v>73</v>
      </c>
      <c r="I1" s="16" t="s">
        <v>74</v>
      </c>
      <c r="J1" s="16"/>
      <c r="K1" s="16"/>
      <c r="L1" s="16"/>
      <c r="M1" s="16"/>
      <c r="N1" s="16"/>
    </row>
    <row r="2">
      <c r="A2" s="17" t="str">
        <f t="shared" ref="A2:A1659" si="1">HYPERLINK(CONCATENATE("https://impetus.atlassian.net/secure/QuickSearch.jspa?searchString=",B2),B2)</f>
        <v>PD-1565</v>
      </c>
      <c r="B2" s="18" t="s">
        <v>75</v>
      </c>
      <c r="C2" s="18" t="s">
        <v>76</v>
      </c>
      <c r="D2" s="18">
        <v>0.25</v>
      </c>
      <c r="E2" s="19">
        <v>43136.0</v>
      </c>
      <c r="F2" s="18" t="s">
        <v>77</v>
      </c>
      <c r="G2" s="18"/>
      <c r="H2" s="18"/>
      <c r="I2" s="18" t="s">
        <v>78</v>
      </c>
      <c r="J2" s="18"/>
      <c r="K2" s="20"/>
      <c r="L2" s="20"/>
      <c r="M2" s="20"/>
      <c r="N2" s="18"/>
    </row>
    <row r="3">
      <c r="A3" s="17" t="str">
        <f t="shared" si="1"/>
        <v>PD-1398</v>
      </c>
      <c r="B3" s="18" t="s">
        <v>79</v>
      </c>
      <c r="C3" s="18" t="s">
        <v>80</v>
      </c>
      <c r="D3" s="18">
        <v>0.233333333</v>
      </c>
      <c r="E3" s="19">
        <v>43136.0</v>
      </c>
      <c r="F3" s="18" t="s">
        <v>81</v>
      </c>
      <c r="G3" s="18"/>
      <c r="H3" s="18"/>
      <c r="I3" s="18" t="s">
        <v>81</v>
      </c>
      <c r="J3" s="18"/>
      <c r="K3" s="20"/>
      <c r="L3" s="20"/>
      <c r="M3" s="20"/>
      <c r="N3" s="18"/>
    </row>
    <row r="4">
      <c r="A4" s="17" t="str">
        <f t="shared" si="1"/>
        <v>PD-1399</v>
      </c>
      <c r="B4" s="18" t="s">
        <v>82</v>
      </c>
      <c r="C4" s="18" t="s">
        <v>83</v>
      </c>
      <c r="D4" s="18">
        <v>0.216666667</v>
      </c>
      <c r="E4" s="19">
        <v>43136.0</v>
      </c>
      <c r="F4" s="18" t="s">
        <v>81</v>
      </c>
      <c r="G4" s="18"/>
      <c r="H4" s="18"/>
      <c r="I4" s="18" t="s">
        <v>81</v>
      </c>
      <c r="J4" s="18"/>
      <c r="K4" s="20"/>
      <c r="L4" s="18"/>
      <c r="M4" s="20"/>
      <c r="N4" s="18"/>
    </row>
    <row r="5">
      <c r="A5" s="17" t="str">
        <f t="shared" si="1"/>
        <v>PD-1400</v>
      </c>
      <c r="B5" s="18" t="s">
        <v>84</v>
      </c>
      <c r="C5" s="18" t="s">
        <v>85</v>
      </c>
      <c r="D5" s="18">
        <v>0.283333333</v>
      </c>
      <c r="E5" s="19">
        <v>43136.0</v>
      </c>
      <c r="F5" s="18" t="s">
        <v>81</v>
      </c>
      <c r="G5" s="18"/>
      <c r="H5" s="18"/>
      <c r="I5" s="18" t="s">
        <v>81</v>
      </c>
      <c r="J5" s="18"/>
      <c r="K5" s="20"/>
      <c r="L5" s="18"/>
      <c r="M5" s="20"/>
      <c r="N5" s="18"/>
    </row>
    <row r="6">
      <c r="A6" s="17" t="str">
        <f t="shared" si="1"/>
        <v>PD-1564</v>
      </c>
      <c r="B6" s="18" t="s">
        <v>86</v>
      </c>
      <c r="C6" s="18" t="s">
        <v>87</v>
      </c>
      <c r="D6" s="18">
        <v>0.366666667</v>
      </c>
      <c r="E6" s="19">
        <v>43136.0</v>
      </c>
      <c r="F6" s="18" t="s">
        <v>81</v>
      </c>
      <c r="G6" s="18"/>
      <c r="H6" s="18" t="s">
        <v>88</v>
      </c>
      <c r="I6" s="18" t="s">
        <v>89</v>
      </c>
      <c r="J6" s="18"/>
      <c r="K6" s="20"/>
      <c r="L6" s="18"/>
      <c r="M6" s="20"/>
      <c r="N6" s="18"/>
    </row>
    <row r="7">
      <c r="A7" s="17" t="str">
        <f t="shared" si="1"/>
        <v>PD-1464</v>
      </c>
      <c r="B7" s="18" t="s">
        <v>90</v>
      </c>
      <c r="C7" s="18" t="s">
        <v>91</v>
      </c>
      <c r="D7" s="18">
        <v>0.533333333</v>
      </c>
      <c r="E7" s="19">
        <v>43136.0</v>
      </c>
      <c r="F7" s="18" t="s">
        <v>81</v>
      </c>
      <c r="G7" s="18"/>
      <c r="H7" s="18" t="s">
        <v>92</v>
      </c>
      <c r="I7" s="18" t="s">
        <v>93</v>
      </c>
      <c r="J7" s="18"/>
      <c r="K7" s="20"/>
      <c r="L7" s="18"/>
      <c r="M7" s="20"/>
      <c r="N7" s="18"/>
    </row>
    <row r="8">
      <c r="A8" s="17" t="str">
        <f t="shared" si="1"/>
        <v>PD-1565</v>
      </c>
      <c r="B8" s="18" t="s">
        <v>75</v>
      </c>
      <c r="C8" s="18" t="s">
        <v>76</v>
      </c>
      <c r="D8" s="18">
        <v>0.5</v>
      </c>
      <c r="E8" s="19">
        <v>43136.0</v>
      </c>
      <c r="F8" s="18" t="s">
        <v>81</v>
      </c>
      <c r="G8" s="18"/>
      <c r="H8" s="18"/>
      <c r="I8" s="18" t="s">
        <v>78</v>
      </c>
      <c r="J8" s="18"/>
      <c r="K8" s="20"/>
      <c r="L8" s="20"/>
      <c r="M8" s="20"/>
      <c r="N8" s="18"/>
    </row>
    <row r="9">
      <c r="A9" s="17" t="str">
        <f t="shared" si="1"/>
        <v>PD-1513</v>
      </c>
      <c r="B9" s="18" t="s">
        <v>94</v>
      </c>
      <c r="C9" s="18" t="s">
        <v>95</v>
      </c>
      <c r="D9" s="18">
        <v>1.083333333</v>
      </c>
      <c r="E9" s="19">
        <v>43136.0</v>
      </c>
      <c r="F9" s="18" t="s">
        <v>81</v>
      </c>
      <c r="G9" s="18"/>
      <c r="H9" s="18" t="s">
        <v>96</v>
      </c>
      <c r="I9" s="18" t="s">
        <v>81</v>
      </c>
      <c r="J9" s="18"/>
      <c r="K9" s="20"/>
      <c r="L9" s="20"/>
      <c r="M9" s="20"/>
      <c r="N9" s="18"/>
    </row>
    <row r="10">
      <c r="A10" s="17" t="str">
        <f t="shared" si="1"/>
        <v>IOP-850</v>
      </c>
      <c r="B10" s="18" t="s">
        <v>97</v>
      </c>
      <c r="C10" s="18" t="s">
        <v>98</v>
      </c>
      <c r="D10" s="18">
        <v>0.283333333</v>
      </c>
      <c r="E10" s="19">
        <v>43136.0</v>
      </c>
      <c r="F10" s="18" t="s">
        <v>81</v>
      </c>
      <c r="G10" s="18"/>
      <c r="H10" s="18"/>
      <c r="I10" s="18" t="s">
        <v>81</v>
      </c>
      <c r="J10" s="18"/>
      <c r="K10" s="20"/>
      <c r="L10" s="20"/>
      <c r="M10" s="20"/>
      <c r="N10" s="18"/>
    </row>
    <row r="11">
      <c r="A11" s="17" t="str">
        <f t="shared" si="1"/>
        <v>PD-1502</v>
      </c>
      <c r="B11" s="18" t="s">
        <v>99</v>
      </c>
      <c r="C11" s="18" t="s">
        <v>100</v>
      </c>
      <c r="D11" s="18">
        <v>2.683333333</v>
      </c>
      <c r="E11" s="19">
        <v>43136.0</v>
      </c>
      <c r="F11" s="18" t="s">
        <v>81</v>
      </c>
      <c r="G11" s="18"/>
      <c r="H11" s="18" t="s">
        <v>101</v>
      </c>
      <c r="I11" s="18" t="s">
        <v>93</v>
      </c>
      <c r="J11" s="18"/>
      <c r="K11" s="20"/>
      <c r="L11" s="20"/>
      <c r="M11" s="20"/>
      <c r="N11" s="18"/>
    </row>
    <row r="12">
      <c r="A12" s="17" t="str">
        <f t="shared" si="1"/>
        <v>PD-1554</v>
      </c>
      <c r="B12" s="18" t="s">
        <v>102</v>
      </c>
      <c r="C12" s="18" t="s">
        <v>103</v>
      </c>
      <c r="D12" s="18">
        <v>0.833333333</v>
      </c>
      <c r="E12" s="19">
        <v>43136.0</v>
      </c>
      <c r="F12" s="18" t="s">
        <v>81</v>
      </c>
      <c r="G12" s="18"/>
      <c r="H12" s="18" t="s">
        <v>88</v>
      </c>
      <c r="I12" s="18" t="s">
        <v>93</v>
      </c>
      <c r="J12" s="18"/>
      <c r="K12" s="20"/>
      <c r="L12" s="20"/>
      <c r="M12" s="20"/>
      <c r="N12" s="18"/>
    </row>
    <row r="13">
      <c r="A13" s="17" t="str">
        <f t="shared" si="1"/>
        <v>PD-1595</v>
      </c>
      <c r="B13" s="18" t="s">
        <v>104</v>
      </c>
      <c r="C13" s="18" t="s">
        <v>105</v>
      </c>
      <c r="D13" s="18">
        <v>0.166666667</v>
      </c>
      <c r="E13" s="19">
        <v>43222.0</v>
      </c>
      <c r="F13" s="18" t="s">
        <v>81</v>
      </c>
      <c r="G13" s="18"/>
      <c r="H13" s="18" t="s">
        <v>106</v>
      </c>
      <c r="I13" s="18" t="s">
        <v>81</v>
      </c>
      <c r="J13" s="18"/>
      <c r="K13" s="20"/>
      <c r="L13" s="18"/>
      <c r="M13" s="20"/>
      <c r="N13" s="18"/>
    </row>
    <row r="14">
      <c r="A14" s="17" t="str">
        <f t="shared" si="1"/>
        <v>PD-1556</v>
      </c>
      <c r="B14" s="18" t="s">
        <v>107</v>
      </c>
      <c r="C14" s="18" t="s">
        <v>108</v>
      </c>
      <c r="D14" s="18">
        <v>0.55</v>
      </c>
      <c r="E14" s="19">
        <v>43136.0</v>
      </c>
      <c r="F14" s="18" t="s">
        <v>81</v>
      </c>
      <c r="G14" s="18"/>
      <c r="H14" s="18"/>
      <c r="I14" s="18" t="s">
        <v>81</v>
      </c>
      <c r="J14" s="18"/>
      <c r="K14" s="20"/>
      <c r="L14" s="18"/>
      <c r="M14" s="20"/>
      <c r="N14" s="18"/>
    </row>
    <row r="15">
      <c r="A15" s="17" t="str">
        <f t="shared" si="1"/>
        <v>PD-1640</v>
      </c>
      <c r="B15" s="18" t="s">
        <v>109</v>
      </c>
      <c r="C15" s="18" t="s">
        <v>110</v>
      </c>
      <c r="D15" s="18">
        <v>0.083333333</v>
      </c>
      <c r="E15" s="19">
        <v>43222.0</v>
      </c>
      <c r="F15" s="18" t="s">
        <v>81</v>
      </c>
      <c r="G15" s="18"/>
      <c r="H15" s="18" t="s">
        <v>106</v>
      </c>
      <c r="I15" s="18" t="s">
        <v>81</v>
      </c>
      <c r="J15" s="18"/>
      <c r="K15" s="20"/>
      <c r="L15" s="20"/>
      <c r="M15" s="18"/>
      <c r="N15" s="18"/>
    </row>
    <row r="16">
      <c r="A16" s="17" t="str">
        <f t="shared" si="1"/>
        <v>PD-1398</v>
      </c>
      <c r="B16" s="18" t="s">
        <v>79</v>
      </c>
      <c r="C16" s="18" t="s">
        <v>80</v>
      </c>
      <c r="D16" s="18">
        <v>0.033333333</v>
      </c>
      <c r="E16" s="19">
        <v>43137.0</v>
      </c>
      <c r="F16" s="18" t="s">
        <v>81</v>
      </c>
      <c r="G16" s="18"/>
      <c r="H16" s="18"/>
      <c r="I16" s="18" t="s">
        <v>81</v>
      </c>
      <c r="J16" s="18"/>
      <c r="K16" s="20"/>
      <c r="L16" s="20"/>
      <c r="M16" s="20"/>
      <c r="N16" s="18"/>
    </row>
    <row r="17">
      <c r="A17" s="17" t="str">
        <f t="shared" si="1"/>
        <v>PD-1399</v>
      </c>
      <c r="B17" s="18" t="s">
        <v>82</v>
      </c>
      <c r="C17" s="18" t="s">
        <v>83</v>
      </c>
      <c r="D17" s="18">
        <v>0.15</v>
      </c>
      <c r="E17" s="19">
        <v>43137.0</v>
      </c>
      <c r="F17" s="18" t="s">
        <v>81</v>
      </c>
      <c r="G17" s="18"/>
      <c r="H17" s="18"/>
      <c r="I17" s="18" t="s">
        <v>81</v>
      </c>
      <c r="J17" s="18"/>
      <c r="K17" s="20"/>
      <c r="L17" s="18"/>
      <c r="M17" s="20"/>
      <c r="N17" s="18"/>
    </row>
    <row r="18">
      <c r="A18" s="17" t="str">
        <f t="shared" si="1"/>
        <v>PD-1556</v>
      </c>
      <c r="B18" s="18" t="s">
        <v>107</v>
      </c>
      <c r="C18" s="18" t="s">
        <v>108</v>
      </c>
      <c r="D18" s="18">
        <v>0.2</v>
      </c>
      <c r="E18" s="19">
        <v>43137.0</v>
      </c>
      <c r="F18" s="18" t="s">
        <v>81</v>
      </c>
      <c r="G18" s="18"/>
      <c r="H18" s="18"/>
      <c r="I18" s="18" t="s">
        <v>81</v>
      </c>
      <c r="J18" s="18"/>
      <c r="K18" s="20"/>
      <c r="L18" s="18"/>
      <c r="M18" s="20"/>
      <c r="N18" s="18"/>
    </row>
    <row r="19">
      <c r="A19" s="17" t="str">
        <f t="shared" si="1"/>
        <v>PD-1400</v>
      </c>
      <c r="B19" s="18" t="s">
        <v>84</v>
      </c>
      <c r="C19" s="18" t="s">
        <v>85</v>
      </c>
      <c r="D19" s="18">
        <v>0.116666667</v>
      </c>
      <c r="E19" s="19">
        <v>43137.0</v>
      </c>
      <c r="F19" s="18" t="s">
        <v>81</v>
      </c>
      <c r="G19" s="18"/>
      <c r="H19" s="18"/>
      <c r="I19" s="18" t="s">
        <v>81</v>
      </c>
      <c r="J19" s="18"/>
      <c r="K19" s="20"/>
      <c r="L19" s="18"/>
      <c r="M19" s="20"/>
      <c r="N19" s="18"/>
    </row>
    <row r="20">
      <c r="A20" s="17" t="str">
        <f t="shared" si="1"/>
        <v>PD-1513</v>
      </c>
      <c r="B20" s="18" t="s">
        <v>94</v>
      </c>
      <c r="C20" s="18" t="s">
        <v>95</v>
      </c>
      <c r="D20" s="18">
        <v>0.433333333</v>
      </c>
      <c r="E20" s="19">
        <v>43137.0</v>
      </c>
      <c r="F20" s="18" t="s">
        <v>81</v>
      </c>
      <c r="G20" s="18"/>
      <c r="H20" s="18" t="s">
        <v>96</v>
      </c>
      <c r="I20" s="18" t="s">
        <v>81</v>
      </c>
      <c r="J20" s="18"/>
      <c r="K20" s="20"/>
      <c r="L20" s="18"/>
      <c r="M20" s="20"/>
      <c r="N20" s="18"/>
    </row>
    <row r="21">
      <c r="A21" s="17" t="str">
        <f t="shared" si="1"/>
        <v>PD-1464</v>
      </c>
      <c r="B21" s="18" t="s">
        <v>90</v>
      </c>
      <c r="C21" s="18" t="s">
        <v>91</v>
      </c>
      <c r="D21" s="18">
        <v>0.816666667</v>
      </c>
      <c r="E21" s="19">
        <v>43137.0</v>
      </c>
      <c r="F21" s="18" t="s">
        <v>81</v>
      </c>
      <c r="G21" s="18"/>
      <c r="H21" s="18" t="s">
        <v>92</v>
      </c>
      <c r="I21" s="18" t="s">
        <v>93</v>
      </c>
      <c r="J21" s="18"/>
      <c r="K21" s="20"/>
      <c r="L21" s="20"/>
      <c r="M21" s="20"/>
      <c r="N21" s="18"/>
    </row>
    <row r="22">
      <c r="A22" s="17" t="str">
        <f t="shared" si="1"/>
        <v>PD-1502</v>
      </c>
      <c r="B22" s="18" t="s">
        <v>99</v>
      </c>
      <c r="C22" s="18" t="s">
        <v>100</v>
      </c>
      <c r="D22" s="18">
        <v>2.416666667</v>
      </c>
      <c r="E22" s="19">
        <v>43137.0</v>
      </c>
      <c r="F22" s="18" t="s">
        <v>81</v>
      </c>
      <c r="G22" s="18"/>
      <c r="H22" s="18" t="s">
        <v>101</v>
      </c>
      <c r="I22" s="18" t="s">
        <v>93</v>
      </c>
      <c r="J22" s="18"/>
      <c r="K22" s="20"/>
      <c r="L22" s="20"/>
      <c r="M22" s="20"/>
      <c r="N22" s="18"/>
    </row>
    <row r="23">
      <c r="A23" s="17" t="str">
        <f t="shared" si="1"/>
        <v>PD-1554</v>
      </c>
      <c r="B23" s="18" t="s">
        <v>102</v>
      </c>
      <c r="C23" s="18" t="s">
        <v>103</v>
      </c>
      <c r="D23" s="18">
        <v>1.933333333</v>
      </c>
      <c r="E23" s="19">
        <v>43137.0</v>
      </c>
      <c r="F23" s="18" t="s">
        <v>81</v>
      </c>
      <c r="G23" s="18"/>
      <c r="H23" s="18" t="s">
        <v>88</v>
      </c>
      <c r="I23" s="18" t="s">
        <v>93</v>
      </c>
      <c r="J23" s="18"/>
      <c r="K23" s="20"/>
      <c r="L23" s="20"/>
      <c r="M23" s="18"/>
      <c r="N23" s="18"/>
    </row>
    <row r="24">
      <c r="A24" s="17" t="str">
        <f t="shared" si="1"/>
        <v>PD-1521</v>
      </c>
      <c r="B24" s="18" t="s">
        <v>111</v>
      </c>
      <c r="C24" s="18" t="s">
        <v>112</v>
      </c>
      <c r="D24" s="18">
        <v>0.083333333</v>
      </c>
      <c r="E24" s="19">
        <v>43143.0</v>
      </c>
      <c r="F24" s="18" t="s">
        <v>81</v>
      </c>
      <c r="G24" s="18"/>
      <c r="H24" s="18" t="s">
        <v>113</v>
      </c>
      <c r="I24" s="18" t="s">
        <v>93</v>
      </c>
      <c r="J24" s="18"/>
      <c r="K24" s="20"/>
      <c r="L24" s="20"/>
      <c r="M24" s="18"/>
      <c r="N24" s="18"/>
    </row>
    <row r="25">
      <c r="A25" s="17" t="str">
        <f t="shared" si="1"/>
        <v>PD-1399</v>
      </c>
      <c r="B25" s="18" t="s">
        <v>82</v>
      </c>
      <c r="C25" s="18" t="s">
        <v>83</v>
      </c>
      <c r="D25" s="18">
        <v>0.1</v>
      </c>
      <c r="E25" s="19">
        <v>43144.0</v>
      </c>
      <c r="F25" s="18" t="s">
        <v>81</v>
      </c>
      <c r="G25" s="18"/>
      <c r="H25" s="18"/>
      <c r="I25" s="18" t="s">
        <v>81</v>
      </c>
      <c r="J25" s="18"/>
      <c r="K25" s="20"/>
      <c r="L25" s="20"/>
      <c r="M25" s="18"/>
      <c r="N25" s="18"/>
    </row>
    <row r="26">
      <c r="A26" s="17" t="str">
        <f t="shared" si="1"/>
        <v>PD-1507</v>
      </c>
      <c r="B26" s="18" t="s">
        <v>114</v>
      </c>
      <c r="C26" s="18" t="s">
        <v>115</v>
      </c>
      <c r="D26" s="18">
        <v>0.9</v>
      </c>
      <c r="E26" s="19">
        <v>43151.0</v>
      </c>
      <c r="F26" s="18" t="s">
        <v>81</v>
      </c>
      <c r="G26" s="18"/>
      <c r="H26" s="18"/>
      <c r="I26" s="18" t="s">
        <v>116</v>
      </c>
      <c r="J26" s="18"/>
      <c r="K26" s="20"/>
      <c r="L26" s="20"/>
      <c r="M26" s="18"/>
      <c r="N26" s="18"/>
    </row>
    <row r="27">
      <c r="A27" s="17" t="str">
        <f t="shared" si="1"/>
        <v>IOP-866</v>
      </c>
      <c r="B27" s="18" t="s">
        <v>117</v>
      </c>
      <c r="C27" s="18" t="s">
        <v>118</v>
      </c>
      <c r="D27" s="18">
        <v>0.683333333</v>
      </c>
      <c r="E27" s="19">
        <v>43151.0</v>
      </c>
      <c r="F27" s="18" t="s">
        <v>81</v>
      </c>
      <c r="G27" s="18"/>
      <c r="H27" s="18" t="s">
        <v>119</v>
      </c>
      <c r="I27" s="18" t="s">
        <v>120</v>
      </c>
      <c r="J27" s="18"/>
      <c r="K27" s="20"/>
      <c r="L27" s="20"/>
      <c r="M27" s="18"/>
      <c r="N27" s="18"/>
    </row>
    <row r="28">
      <c r="A28" s="17" t="str">
        <f t="shared" si="1"/>
        <v>PD-1480</v>
      </c>
      <c r="B28" s="18" t="s">
        <v>121</v>
      </c>
      <c r="C28" s="18" t="s">
        <v>122</v>
      </c>
      <c r="D28" s="18">
        <v>0.6</v>
      </c>
      <c r="E28" s="19">
        <v>43151.0</v>
      </c>
      <c r="F28" s="18" t="s">
        <v>81</v>
      </c>
      <c r="G28" s="18"/>
      <c r="H28" s="18" t="s">
        <v>88</v>
      </c>
      <c r="I28" s="18" t="s">
        <v>78</v>
      </c>
      <c r="J28" s="18"/>
      <c r="K28" s="20"/>
      <c r="L28" s="20"/>
      <c r="M28" s="18"/>
      <c r="N28" s="18"/>
    </row>
    <row r="29">
      <c r="A29" s="17" t="str">
        <f t="shared" si="1"/>
        <v>IOP-875</v>
      </c>
      <c r="B29" s="18" t="s">
        <v>123</v>
      </c>
      <c r="C29" s="18" t="s">
        <v>124</v>
      </c>
      <c r="D29" s="18">
        <v>0.1</v>
      </c>
      <c r="E29" s="19">
        <v>43152.0</v>
      </c>
      <c r="F29" s="18" t="s">
        <v>81</v>
      </c>
      <c r="G29" s="18"/>
      <c r="H29" s="18" t="s">
        <v>125</v>
      </c>
      <c r="I29" s="18" t="s">
        <v>120</v>
      </c>
      <c r="J29" s="18"/>
      <c r="K29" s="20"/>
      <c r="L29" s="20"/>
      <c r="M29" s="18"/>
      <c r="N29" s="18"/>
    </row>
    <row r="30">
      <c r="A30" s="17" t="str">
        <f t="shared" si="1"/>
        <v>PD-1512</v>
      </c>
      <c r="B30" s="18" t="s">
        <v>126</v>
      </c>
      <c r="C30" s="18" t="s">
        <v>127</v>
      </c>
      <c r="D30" s="18">
        <v>0.033333333</v>
      </c>
      <c r="E30" s="19">
        <v>43143.0</v>
      </c>
      <c r="F30" s="18" t="s">
        <v>81</v>
      </c>
      <c r="G30" s="18"/>
      <c r="H30" s="18" t="s">
        <v>96</v>
      </c>
      <c r="I30" s="18" t="s">
        <v>81</v>
      </c>
      <c r="J30" s="18"/>
      <c r="K30" s="20"/>
      <c r="L30" s="20"/>
      <c r="M30" s="18"/>
      <c r="N30" s="18"/>
    </row>
    <row r="31">
      <c r="A31" s="17" t="str">
        <f t="shared" si="1"/>
        <v>PD-1400</v>
      </c>
      <c r="B31" s="18" t="s">
        <v>84</v>
      </c>
      <c r="C31" s="18" t="s">
        <v>85</v>
      </c>
      <c r="D31" s="18">
        <v>0.083333333</v>
      </c>
      <c r="E31" s="19">
        <v>43144.0</v>
      </c>
      <c r="F31" s="18" t="s">
        <v>81</v>
      </c>
      <c r="G31" s="18"/>
      <c r="H31" s="18"/>
      <c r="I31" s="18" t="s">
        <v>81</v>
      </c>
      <c r="J31" s="18"/>
      <c r="K31" s="20"/>
      <c r="L31" s="20"/>
      <c r="M31" s="18"/>
      <c r="N31" s="18"/>
    </row>
    <row r="32">
      <c r="A32" s="17" t="str">
        <f t="shared" si="1"/>
        <v>PD-1554</v>
      </c>
      <c r="B32" s="18" t="s">
        <v>102</v>
      </c>
      <c r="C32" s="18" t="s">
        <v>103</v>
      </c>
      <c r="D32" s="18">
        <v>0.216666667</v>
      </c>
      <c r="E32" s="19">
        <v>43151.0</v>
      </c>
      <c r="F32" s="18" t="s">
        <v>81</v>
      </c>
      <c r="G32" s="18"/>
      <c r="H32" s="18" t="s">
        <v>88</v>
      </c>
      <c r="I32" s="18" t="s">
        <v>93</v>
      </c>
      <c r="J32" s="18"/>
      <c r="K32" s="20"/>
      <c r="L32" s="20"/>
      <c r="M32" s="18"/>
      <c r="N32" s="18"/>
    </row>
    <row r="33">
      <c r="A33" s="17" t="str">
        <f t="shared" si="1"/>
        <v>PD-1641</v>
      </c>
      <c r="B33" s="18" t="s">
        <v>128</v>
      </c>
      <c r="C33" s="18" t="s">
        <v>129</v>
      </c>
      <c r="D33" s="18">
        <v>0.05</v>
      </c>
      <c r="E33" s="19">
        <v>43222.0</v>
      </c>
      <c r="F33" s="18" t="s">
        <v>81</v>
      </c>
      <c r="G33" s="18"/>
      <c r="H33" s="18" t="s">
        <v>106</v>
      </c>
      <c r="I33" s="18" t="s">
        <v>81</v>
      </c>
      <c r="J33" s="18"/>
      <c r="K33" s="20"/>
      <c r="L33" s="20"/>
      <c r="M33" s="18"/>
      <c r="N33" s="18"/>
    </row>
    <row r="34">
      <c r="A34" s="17" t="str">
        <f t="shared" si="1"/>
        <v>PD-1490</v>
      </c>
      <c r="B34" s="18" t="s">
        <v>130</v>
      </c>
      <c r="C34" s="18" t="s">
        <v>131</v>
      </c>
      <c r="D34" s="18">
        <v>0.316666667</v>
      </c>
      <c r="E34" s="19">
        <v>43144.0</v>
      </c>
      <c r="F34" s="18" t="s">
        <v>81</v>
      </c>
      <c r="G34" s="18"/>
      <c r="H34" s="18" t="s">
        <v>113</v>
      </c>
      <c r="I34" s="18" t="s">
        <v>132</v>
      </c>
      <c r="J34" s="18"/>
      <c r="K34" s="20"/>
      <c r="L34" s="20"/>
      <c r="M34" s="18"/>
      <c r="N34" s="18"/>
    </row>
    <row r="35">
      <c r="A35" s="17" t="str">
        <f t="shared" si="1"/>
        <v>IOP-537</v>
      </c>
      <c r="B35" s="18" t="s">
        <v>133</v>
      </c>
      <c r="C35" s="18" t="s">
        <v>134</v>
      </c>
      <c r="D35" s="18">
        <v>1.116666667</v>
      </c>
      <c r="E35" s="19">
        <v>43143.0</v>
      </c>
      <c r="F35" s="18" t="s">
        <v>81</v>
      </c>
      <c r="G35" s="18"/>
      <c r="H35" s="18"/>
      <c r="I35" s="18" t="s">
        <v>77</v>
      </c>
      <c r="J35" s="18"/>
      <c r="K35" s="20"/>
      <c r="L35" s="20"/>
      <c r="M35" s="18"/>
      <c r="N35" s="18"/>
    </row>
    <row r="36">
      <c r="A36" s="17" t="str">
        <f t="shared" si="1"/>
        <v>IOP-855</v>
      </c>
      <c r="B36" s="18" t="s">
        <v>135</v>
      </c>
      <c r="C36" s="18" t="s">
        <v>136</v>
      </c>
      <c r="D36" s="18">
        <v>0.25</v>
      </c>
      <c r="E36" s="19">
        <v>43144.0</v>
      </c>
      <c r="F36" s="18" t="s">
        <v>81</v>
      </c>
      <c r="G36" s="18"/>
      <c r="H36" s="18"/>
      <c r="I36" s="18" t="s">
        <v>137</v>
      </c>
      <c r="J36" s="18"/>
      <c r="K36" s="20"/>
      <c r="L36" s="18"/>
      <c r="M36" s="20"/>
      <c r="N36" s="18"/>
    </row>
    <row r="37">
      <c r="A37" s="17" t="str">
        <f t="shared" si="1"/>
        <v>PD-1395</v>
      </c>
      <c r="B37" s="18" t="s">
        <v>138</v>
      </c>
      <c r="C37" s="18" t="s">
        <v>139</v>
      </c>
      <c r="D37" s="18">
        <v>0.033333333</v>
      </c>
      <c r="E37" s="19">
        <v>43143.0</v>
      </c>
      <c r="F37" s="18" t="s">
        <v>81</v>
      </c>
      <c r="G37" s="18"/>
      <c r="H37" s="18" t="s">
        <v>101</v>
      </c>
      <c r="I37" s="18" t="s">
        <v>81</v>
      </c>
      <c r="J37" s="18"/>
      <c r="K37" s="20"/>
      <c r="L37" s="20"/>
      <c r="M37" s="20"/>
      <c r="N37" s="18"/>
    </row>
    <row r="38">
      <c r="A38" s="17" t="str">
        <f t="shared" si="1"/>
        <v>PD-1571</v>
      </c>
      <c r="B38" s="18" t="s">
        <v>140</v>
      </c>
      <c r="C38" s="18" t="s">
        <v>141</v>
      </c>
      <c r="D38" s="18">
        <v>2.733333333</v>
      </c>
      <c r="E38" s="19">
        <v>43144.0</v>
      </c>
      <c r="F38" s="18" t="s">
        <v>81</v>
      </c>
      <c r="G38" s="18"/>
      <c r="H38" s="18"/>
      <c r="I38" s="18" t="s">
        <v>142</v>
      </c>
      <c r="J38" s="18"/>
      <c r="K38" s="20"/>
      <c r="L38" s="18"/>
      <c r="M38" s="20"/>
      <c r="N38" s="18"/>
    </row>
    <row r="39">
      <c r="A39" s="17" t="str">
        <f t="shared" si="1"/>
        <v>IOP-867</v>
      </c>
      <c r="B39" s="18" t="s">
        <v>143</v>
      </c>
      <c r="C39" s="18" t="s">
        <v>144</v>
      </c>
      <c r="D39" s="18">
        <v>0.133333333</v>
      </c>
      <c r="E39" s="19">
        <v>43146.0</v>
      </c>
      <c r="F39" s="18" t="s">
        <v>81</v>
      </c>
      <c r="G39" s="18"/>
      <c r="H39" s="18" t="s">
        <v>119</v>
      </c>
      <c r="I39" s="18" t="s">
        <v>120</v>
      </c>
      <c r="J39" s="18"/>
      <c r="K39" s="20"/>
      <c r="L39" s="18"/>
      <c r="M39" s="20"/>
      <c r="N39" s="18"/>
    </row>
    <row r="40">
      <c r="A40" s="17" t="str">
        <f t="shared" si="1"/>
        <v>PD-1513</v>
      </c>
      <c r="B40" s="18" t="s">
        <v>94</v>
      </c>
      <c r="C40" s="18" t="s">
        <v>95</v>
      </c>
      <c r="D40" s="18">
        <v>0.05</v>
      </c>
      <c r="E40" s="19">
        <v>43143.0</v>
      </c>
      <c r="F40" s="18" t="s">
        <v>81</v>
      </c>
      <c r="G40" s="18"/>
      <c r="H40" s="18" t="s">
        <v>96</v>
      </c>
      <c r="I40" s="18" t="s">
        <v>81</v>
      </c>
      <c r="J40" s="18"/>
      <c r="K40" s="20"/>
      <c r="L40" s="18"/>
      <c r="M40" s="20"/>
      <c r="N40" s="18"/>
    </row>
    <row r="41">
      <c r="A41" s="17" t="str">
        <f t="shared" si="1"/>
        <v>IOP-866</v>
      </c>
      <c r="B41" s="18" t="s">
        <v>117</v>
      </c>
      <c r="C41" s="18" t="s">
        <v>118</v>
      </c>
      <c r="D41" s="18">
        <v>0.216666667</v>
      </c>
      <c r="E41" s="19">
        <v>43146.0</v>
      </c>
      <c r="F41" s="18" t="s">
        <v>81</v>
      </c>
      <c r="G41" s="18"/>
      <c r="H41" s="18" t="s">
        <v>119</v>
      </c>
      <c r="I41" s="18" t="s">
        <v>120</v>
      </c>
      <c r="J41" s="18"/>
      <c r="K41" s="20"/>
      <c r="L41" s="18"/>
      <c r="M41" s="20"/>
      <c r="N41" s="18"/>
    </row>
    <row r="42">
      <c r="A42" s="17" t="str">
        <f t="shared" si="1"/>
        <v>IOP-867</v>
      </c>
      <c r="B42" s="18" t="s">
        <v>143</v>
      </c>
      <c r="C42" s="18" t="s">
        <v>144</v>
      </c>
      <c r="D42" s="18">
        <v>0.033333333</v>
      </c>
      <c r="E42" s="19">
        <v>43147.0</v>
      </c>
      <c r="F42" s="18" t="s">
        <v>81</v>
      </c>
      <c r="G42" s="18"/>
      <c r="H42" s="18" t="s">
        <v>119</v>
      </c>
      <c r="I42" s="18" t="s">
        <v>120</v>
      </c>
      <c r="J42" s="18"/>
      <c r="K42" s="20"/>
      <c r="L42" s="18"/>
      <c r="M42" s="20"/>
      <c r="N42" s="18"/>
    </row>
    <row r="43">
      <c r="A43" s="17" t="str">
        <f t="shared" si="1"/>
        <v>PD-1581</v>
      </c>
      <c r="B43" s="18" t="s">
        <v>145</v>
      </c>
      <c r="C43" s="18" t="s">
        <v>146</v>
      </c>
      <c r="D43" s="18">
        <v>1.633333333</v>
      </c>
      <c r="E43" s="19">
        <v>43151.0</v>
      </c>
      <c r="F43" s="18" t="s">
        <v>81</v>
      </c>
      <c r="G43" s="18"/>
      <c r="H43" s="18"/>
      <c r="I43" s="18" t="s">
        <v>81</v>
      </c>
      <c r="J43" s="18"/>
      <c r="K43" s="20"/>
      <c r="L43" s="18"/>
      <c r="M43" s="20"/>
      <c r="N43" s="18"/>
    </row>
    <row r="44">
      <c r="A44" s="17" t="str">
        <f t="shared" si="1"/>
        <v>PD-1464</v>
      </c>
      <c r="B44" s="18" t="s">
        <v>90</v>
      </c>
      <c r="C44" s="18" t="s">
        <v>91</v>
      </c>
      <c r="D44" s="18">
        <v>0.05</v>
      </c>
      <c r="E44" s="19">
        <v>43143.0</v>
      </c>
      <c r="F44" s="18" t="s">
        <v>81</v>
      </c>
      <c r="G44" s="18"/>
      <c r="H44" s="18" t="s">
        <v>92</v>
      </c>
      <c r="I44" s="18" t="s">
        <v>93</v>
      </c>
      <c r="J44" s="18"/>
      <c r="K44" s="20"/>
      <c r="L44" s="18"/>
      <c r="M44" s="20"/>
      <c r="N44" s="18"/>
    </row>
    <row r="45">
      <c r="A45" s="17" t="str">
        <f t="shared" si="1"/>
        <v>PD-1572</v>
      </c>
      <c r="B45" s="18" t="s">
        <v>147</v>
      </c>
      <c r="C45" s="18" t="s">
        <v>148</v>
      </c>
      <c r="D45" s="18">
        <v>1.55</v>
      </c>
      <c r="E45" s="19">
        <v>43144.0</v>
      </c>
      <c r="F45" s="18" t="s">
        <v>81</v>
      </c>
      <c r="G45" s="18"/>
      <c r="H45" s="18"/>
      <c r="I45" s="18" t="s">
        <v>142</v>
      </c>
      <c r="J45" s="18"/>
      <c r="K45" s="20"/>
      <c r="L45" s="18"/>
      <c r="M45" s="20"/>
      <c r="N45" s="18"/>
    </row>
    <row r="46">
      <c r="A46" s="17" t="str">
        <f t="shared" si="1"/>
        <v>IOP-866</v>
      </c>
      <c r="B46" s="18" t="s">
        <v>117</v>
      </c>
      <c r="C46" s="18" t="s">
        <v>118</v>
      </c>
      <c r="D46" s="18">
        <v>0.166666667</v>
      </c>
      <c r="E46" s="19">
        <v>43145.0</v>
      </c>
      <c r="F46" s="18" t="s">
        <v>81</v>
      </c>
      <c r="G46" s="18"/>
      <c r="H46" s="18" t="s">
        <v>119</v>
      </c>
      <c r="I46" s="18" t="s">
        <v>120</v>
      </c>
      <c r="J46" s="18"/>
      <c r="K46" s="20"/>
      <c r="L46" s="18"/>
      <c r="M46" s="20"/>
      <c r="N46" s="18"/>
    </row>
    <row r="47">
      <c r="A47" s="17" t="str">
        <f t="shared" si="1"/>
        <v>PD-1490</v>
      </c>
      <c r="B47" s="18" t="s">
        <v>130</v>
      </c>
      <c r="C47" s="18" t="s">
        <v>131</v>
      </c>
      <c r="D47" s="18">
        <v>0.55</v>
      </c>
      <c r="E47" s="19">
        <v>43146.0</v>
      </c>
      <c r="F47" s="18" t="s">
        <v>81</v>
      </c>
      <c r="G47" s="18"/>
      <c r="H47" s="18" t="s">
        <v>113</v>
      </c>
      <c r="I47" s="18" t="s">
        <v>132</v>
      </c>
      <c r="J47" s="18"/>
      <c r="K47" s="20"/>
      <c r="L47" s="20"/>
      <c r="M47" s="18"/>
      <c r="N47" s="18"/>
    </row>
    <row r="48">
      <c r="A48" s="17" t="str">
        <f t="shared" si="1"/>
        <v>IOP-866</v>
      </c>
      <c r="B48" s="18" t="s">
        <v>117</v>
      </c>
      <c r="C48" s="18" t="s">
        <v>118</v>
      </c>
      <c r="D48" s="18">
        <v>0.166666667</v>
      </c>
      <c r="E48" s="19">
        <v>43147.0</v>
      </c>
      <c r="F48" s="18" t="s">
        <v>81</v>
      </c>
      <c r="G48" s="18"/>
      <c r="H48" s="18" t="s">
        <v>119</v>
      </c>
      <c r="I48" s="18" t="s">
        <v>120</v>
      </c>
      <c r="J48" s="18"/>
      <c r="K48" s="20"/>
      <c r="L48" s="20"/>
      <c r="M48" s="18"/>
      <c r="N48" s="18"/>
    </row>
    <row r="49">
      <c r="A49" s="17" t="str">
        <f t="shared" si="1"/>
        <v>PD-1642</v>
      </c>
      <c r="B49" s="18" t="s">
        <v>149</v>
      </c>
      <c r="C49" s="18" t="s">
        <v>150</v>
      </c>
      <c r="D49" s="18">
        <v>0.05</v>
      </c>
      <c r="E49" s="19">
        <v>43222.0</v>
      </c>
      <c r="F49" s="18" t="s">
        <v>81</v>
      </c>
      <c r="G49" s="18"/>
      <c r="H49" s="18" t="s">
        <v>106</v>
      </c>
      <c r="I49" s="18" t="s">
        <v>81</v>
      </c>
      <c r="J49" s="18"/>
      <c r="K49" s="20"/>
      <c r="L49" s="20"/>
      <c r="M49" s="18"/>
      <c r="N49" s="18"/>
    </row>
    <row r="50">
      <c r="A50" s="17" t="str">
        <f t="shared" si="1"/>
        <v>PD-1480</v>
      </c>
      <c r="B50" s="18" t="s">
        <v>121</v>
      </c>
      <c r="C50" s="18" t="s">
        <v>122</v>
      </c>
      <c r="D50" s="18">
        <v>0.15</v>
      </c>
      <c r="E50" s="19">
        <v>43144.0</v>
      </c>
      <c r="F50" s="18" t="s">
        <v>81</v>
      </c>
      <c r="G50" s="18"/>
      <c r="H50" s="18" t="s">
        <v>88</v>
      </c>
      <c r="I50" s="18" t="s">
        <v>78</v>
      </c>
      <c r="J50" s="18"/>
      <c r="K50" s="20"/>
      <c r="L50" s="20"/>
      <c r="M50" s="18"/>
      <c r="N50" s="18"/>
    </row>
    <row r="51">
      <c r="A51" s="17" t="str">
        <f t="shared" si="1"/>
        <v>PD-1490</v>
      </c>
      <c r="B51" s="18" t="s">
        <v>130</v>
      </c>
      <c r="C51" s="18" t="s">
        <v>131</v>
      </c>
      <c r="D51" s="18">
        <v>1.133333333</v>
      </c>
      <c r="E51" s="19">
        <v>43145.0</v>
      </c>
      <c r="F51" s="18" t="s">
        <v>81</v>
      </c>
      <c r="G51" s="18"/>
      <c r="H51" s="18" t="s">
        <v>113</v>
      </c>
      <c r="I51" s="18" t="s">
        <v>132</v>
      </c>
      <c r="J51" s="18"/>
      <c r="K51" s="20"/>
      <c r="L51" s="20"/>
      <c r="M51" s="18"/>
      <c r="N51" s="18"/>
    </row>
    <row r="52">
      <c r="A52" s="17" t="str">
        <f t="shared" si="1"/>
        <v>PD-1507</v>
      </c>
      <c r="B52" s="18" t="s">
        <v>114</v>
      </c>
      <c r="C52" s="18" t="s">
        <v>115</v>
      </c>
      <c r="D52" s="18">
        <v>0.933333333</v>
      </c>
      <c r="E52" s="19">
        <v>43146.0</v>
      </c>
      <c r="F52" s="18" t="s">
        <v>81</v>
      </c>
      <c r="G52" s="18"/>
      <c r="H52" s="18"/>
      <c r="I52" s="18" t="s">
        <v>116</v>
      </c>
      <c r="J52" s="18"/>
      <c r="K52" s="20"/>
      <c r="L52" s="18"/>
      <c r="M52" s="20"/>
      <c r="N52" s="18"/>
    </row>
    <row r="53">
      <c r="A53" s="17" t="str">
        <f t="shared" si="1"/>
        <v>PD-1576</v>
      </c>
      <c r="B53" s="18" t="s">
        <v>151</v>
      </c>
      <c r="C53" s="18" t="s">
        <v>152</v>
      </c>
      <c r="D53" s="18">
        <v>0.116666667</v>
      </c>
      <c r="E53" s="19">
        <v>43147.0</v>
      </c>
      <c r="F53" s="18" t="s">
        <v>81</v>
      </c>
      <c r="G53" s="18"/>
      <c r="H53" s="18"/>
      <c r="I53" s="18" t="s">
        <v>81</v>
      </c>
      <c r="J53" s="18"/>
      <c r="K53" s="20"/>
      <c r="L53" s="18"/>
      <c r="M53" s="20"/>
      <c r="N53" s="18"/>
    </row>
    <row r="54">
      <c r="A54" s="17" t="str">
        <f t="shared" si="1"/>
        <v>PD-1563</v>
      </c>
      <c r="B54" s="18" t="s">
        <v>153</v>
      </c>
      <c r="C54" s="18" t="s">
        <v>154</v>
      </c>
      <c r="D54" s="18">
        <v>0.566666667</v>
      </c>
      <c r="E54" s="19">
        <v>43152.0</v>
      </c>
      <c r="F54" s="18" t="s">
        <v>81</v>
      </c>
      <c r="G54" s="18"/>
      <c r="H54" s="18"/>
      <c r="I54" s="18" t="s">
        <v>81</v>
      </c>
      <c r="J54" s="18"/>
      <c r="K54" s="20"/>
      <c r="L54" s="18"/>
      <c r="M54" s="20"/>
      <c r="N54" s="18"/>
    </row>
    <row r="55">
      <c r="A55" s="17" t="str">
        <f t="shared" si="1"/>
        <v>IOP-879</v>
      </c>
      <c r="B55" s="18" t="s">
        <v>155</v>
      </c>
      <c r="C55" s="18" t="s">
        <v>156</v>
      </c>
      <c r="D55" s="18">
        <v>1.116666667</v>
      </c>
      <c r="E55" s="19">
        <v>43151.0</v>
      </c>
      <c r="F55" s="18" t="s">
        <v>81</v>
      </c>
      <c r="G55" s="18"/>
      <c r="H55" s="18" t="s">
        <v>157</v>
      </c>
      <c r="I55" s="18" t="s">
        <v>120</v>
      </c>
      <c r="J55" s="18"/>
      <c r="K55" s="20"/>
      <c r="L55" s="18"/>
      <c r="M55" s="20"/>
      <c r="N55" s="18"/>
    </row>
    <row r="56">
      <c r="A56" s="17" t="str">
        <f t="shared" si="1"/>
        <v>PD-1440</v>
      </c>
      <c r="B56" s="18" t="s">
        <v>158</v>
      </c>
      <c r="C56" s="18" t="s">
        <v>159</v>
      </c>
      <c r="D56" s="18">
        <v>0.966666667</v>
      </c>
      <c r="E56" s="19">
        <v>43151.0</v>
      </c>
      <c r="F56" s="18" t="s">
        <v>81</v>
      </c>
      <c r="G56" s="18"/>
      <c r="H56" s="18"/>
      <c r="I56" s="18" t="s">
        <v>81</v>
      </c>
      <c r="J56" s="18"/>
      <c r="K56" s="20"/>
      <c r="L56" s="18"/>
      <c r="M56" s="20"/>
      <c r="N56" s="18"/>
    </row>
    <row r="57">
      <c r="A57" s="17" t="str">
        <f t="shared" si="1"/>
        <v>IOP-853</v>
      </c>
      <c r="B57" s="18" t="s">
        <v>160</v>
      </c>
      <c r="C57" s="18" t="s">
        <v>161</v>
      </c>
      <c r="D57" s="18">
        <v>0.2</v>
      </c>
      <c r="E57" s="19">
        <v>43143.0</v>
      </c>
      <c r="F57" s="18" t="s">
        <v>81</v>
      </c>
      <c r="G57" s="18"/>
      <c r="H57" s="18"/>
      <c r="I57" s="18" t="s">
        <v>137</v>
      </c>
      <c r="J57" s="18"/>
      <c r="K57" s="20"/>
      <c r="L57" s="18"/>
      <c r="M57" s="20"/>
      <c r="N57" s="18"/>
    </row>
    <row r="58">
      <c r="A58" s="17" t="str">
        <f t="shared" si="1"/>
        <v>PD-1573</v>
      </c>
      <c r="B58" s="18" t="s">
        <v>162</v>
      </c>
      <c r="C58" s="18" t="s">
        <v>163</v>
      </c>
      <c r="D58" s="18">
        <v>0.3</v>
      </c>
      <c r="E58" s="19">
        <v>43144.0</v>
      </c>
      <c r="F58" s="18" t="s">
        <v>81</v>
      </c>
      <c r="G58" s="18"/>
      <c r="H58" s="18" t="s">
        <v>164</v>
      </c>
      <c r="I58" s="18" t="s">
        <v>77</v>
      </c>
      <c r="J58" s="18"/>
      <c r="K58" s="20"/>
      <c r="L58" s="18"/>
      <c r="M58" s="20"/>
      <c r="N58" s="18"/>
    </row>
    <row r="59">
      <c r="A59" s="17" t="str">
        <f t="shared" si="1"/>
        <v>PD-1480</v>
      </c>
      <c r="B59" s="18" t="s">
        <v>121</v>
      </c>
      <c r="C59" s="18" t="s">
        <v>122</v>
      </c>
      <c r="D59" s="18">
        <v>4.466666667</v>
      </c>
      <c r="E59" s="19">
        <v>43146.0</v>
      </c>
      <c r="F59" s="18" t="s">
        <v>81</v>
      </c>
      <c r="G59" s="18"/>
      <c r="H59" s="18" t="s">
        <v>88</v>
      </c>
      <c r="I59" s="18" t="s">
        <v>78</v>
      </c>
      <c r="J59" s="18"/>
      <c r="K59" s="20"/>
      <c r="L59" s="18"/>
      <c r="M59" s="20"/>
      <c r="N59" s="18"/>
    </row>
    <row r="60">
      <c r="A60" s="17" t="str">
        <f t="shared" si="1"/>
        <v>PD-1507</v>
      </c>
      <c r="B60" s="18" t="s">
        <v>114</v>
      </c>
      <c r="C60" s="18" t="s">
        <v>115</v>
      </c>
      <c r="D60" s="18">
        <v>0.25</v>
      </c>
      <c r="E60" s="19">
        <v>43147.0</v>
      </c>
      <c r="F60" s="18" t="s">
        <v>81</v>
      </c>
      <c r="G60" s="18"/>
      <c r="H60" s="18"/>
      <c r="I60" s="18" t="s">
        <v>116</v>
      </c>
      <c r="J60" s="18"/>
      <c r="K60" s="20"/>
      <c r="L60" s="18"/>
      <c r="M60" s="20"/>
      <c r="N60" s="18"/>
    </row>
    <row r="61">
      <c r="A61" s="17" t="str">
        <f t="shared" si="1"/>
        <v>PD-1398</v>
      </c>
      <c r="B61" s="18" t="s">
        <v>79</v>
      </c>
      <c r="C61" s="18" t="s">
        <v>80</v>
      </c>
      <c r="D61" s="18">
        <v>0.133333333</v>
      </c>
      <c r="E61" s="19">
        <v>43138.0</v>
      </c>
      <c r="F61" s="18" t="s">
        <v>81</v>
      </c>
      <c r="G61" s="18"/>
      <c r="H61" s="18"/>
      <c r="I61" s="18" t="s">
        <v>81</v>
      </c>
      <c r="J61" s="18"/>
      <c r="K61" s="20"/>
      <c r="L61" s="18"/>
      <c r="M61" s="20"/>
      <c r="N61" s="18"/>
    </row>
    <row r="62">
      <c r="A62" s="17" t="str">
        <f t="shared" si="1"/>
        <v>PD-1554</v>
      </c>
      <c r="B62" s="18" t="s">
        <v>102</v>
      </c>
      <c r="C62" s="18" t="s">
        <v>103</v>
      </c>
      <c r="D62" s="18">
        <v>0.583333333</v>
      </c>
      <c r="E62" s="19">
        <v>43145.0</v>
      </c>
      <c r="F62" s="18" t="s">
        <v>81</v>
      </c>
      <c r="G62" s="18"/>
      <c r="H62" s="18" t="s">
        <v>88</v>
      </c>
      <c r="I62" s="18" t="s">
        <v>93</v>
      </c>
      <c r="J62" s="18"/>
      <c r="K62" s="20"/>
      <c r="L62" s="18"/>
      <c r="M62" s="20"/>
      <c r="N62" s="18"/>
    </row>
    <row r="63">
      <c r="A63" s="17" t="str">
        <f t="shared" si="1"/>
        <v>PD-1576</v>
      </c>
      <c r="B63" s="18" t="s">
        <v>151</v>
      </c>
      <c r="C63" s="18" t="s">
        <v>152</v>
      </c>
      <c r="D63" s="18">
        <v>2.1</v>
      </c>
      <c r="E63" s="19">
        <v>43146.0</v>
      </c>
      <c r="F63" s="18" t="s">
        <v>81</v>
      </c>
      <c r="G63" s="18"/>
      <c r="H63" s="18"/>
      <c r="I63" s="18" t="s">
        <v>81</v>
      </c>
      <c r="J63" s="18"/>
      <c r="K63" s="20"/>
      <c r="L63" s="18"/>
      <c r="M63" s="20"/>
      <c r="N63" s="18"/>
    </row>
    <row r="64">
      <c r="A64" s="17" t="str">
        <f t="shared" si="1"/>
        <v>PD-1502</v>
      </c>
      <c r="B64" s="18" t="s">
        <v>99</v>
      </c>
      <c r="C64" s="18" t="s">
        <v>100</v>
      </c>
      <c r="D64" s="18">
        <v>1.333333333</v>
      </c>
      <c r="E64" s="19">
        <v>43147.0</v>
      </c>
      <c r="F64" s="18" t="s">
        <v>81</v>
      </c>
      <c r="G64" s="18"/>
      <c r="H64" s="18" t="s">
        <v>101</v>
      </c>
      <c r="I64" s="18" t="s">
        <v>93</v>
      </c>
      <c r="J64" s="18"/>
      <c r="K64" s="20"/>
      <c r="L64" s="18"/>
      <c r="M64" s="20"/>
      <c r="N64" s="18"/>
    </row>
    <row r="65">
      <c r="A65" s="17" t="str">
        <f t="shared" si="1"/>
        <v>PD-1440</v>
      </c>
      <c r="B65" s="18" t="s">
        <v>158</v>
      </c>
      <c r="C65" s="18" t="s">
        <v>159</v>
      </c>
      <c r="D65" s="18">
        <v>0.183333333</v>
      </c>
      <c r="E65" s="19">
        <v>43152.0</v>
      </c>
      <c r="F65" s="18" t="s">
        <v>81</v>
      </c>
      <c r="G65" s="18"/>
      <c r="H65" s="18"/>
      <c r="I65" s="18" t="s">
        <v>81</v>
      </c>
      <c r="J65" s="18"/>
      <c r="K65" s="20"/>
      <c r="L65" s="18"/>
      <c r="M65" s="20"/>
      <c r="N65" s="18"/>
    </row>
    <row r="66">
      <c r="A66" s="17" t="str">
        <f t="shared" si="1"/>
        <v>IOP-866</v>
      </c>
      <c r="B66" s="18" t="s">
        <v>117</v>
      </c>
      <c r="C66" s="18" t="s">
        <v>118</v>
      </c>
      <c r="D66" s="18">
        <v>0.083333333</v>
      </c>
      <c r="E66" s="19">
        <v>43152.0</v>
      </c>
      <c r="F66" s="18" t="s">
        <v>81</v>
      </c>
      <c r="G66" s="18"/>
      <c r="H66" s="18" t="s">
        <v>119</v>
      </c>
      <c r="I66" s="18" t="s">
        <v>120</v>
      </c>
      <c r="J66" s="18"/>
      <c r="K66" s="20"/>
      <c r="L66" s="18"/>
      <c r="M66" s="20"/>
      <c r="N66" s="18"/>
    </row>
    <row r="67">
      <c r="A67" s="17" t="str">
        <f t="shared" si="1"/>
        <v>PD-1571</v>
      </c>
      <c r="B67" s="18" t="s">
        <v>140</v>
      </c>
      <c r="C67" s="18" t="s">
        <v>141</v>
      </c>
      <c r="D67" s="18">
        <v>0.616666667</v>
      </c>
      <c r="E67" s="19">
        <v>43151.0</v>
      </c>
      <c r="F67" s="18" t="s">
        <v>81</v>
      </c>
      <c r="G67" s="18"/>
      <c r="H67" s="18"/>
      <c r="I67" s="18" t="s">
        <v>142</v>
      </c>
      <c r="J67" s="18"/>
      <c r="K67" s="20"/>
      <c r="L67" s="18"/>
      <c r="M67" s="20"/>
      <c r="N67" s="18"/>
    </row>
    <row r="68">
      <c r="A68" s="17" t="str">
        <f t="shared" si="1"/>
        <v>PD-1540</v>
      </c>
      <c r="B68" s="18" t="s">
        <v>165</v>
      </c>
      <c r="C68" s="18" t="s">
        <v>166</v>
      </c>
      <c r="D68" s="18">
        <v>0.116666667</v>
      </c>
      <c r="E68" s="19">
        <v>43151.0</v>
      </c>
      <c r="F68" s="18" t="s">
        <v>81</v>
      </c>
      <c r="G68" s="18"/>
      <c r="H68" s="18" t="s">
        <v>167</v>
      </c>
      <c r="I68" s="18" t="s">
        <v>78</v>
      </c>
      <c r="J68" s="18"/>
      <c r="K68" s="20"/>
      <c r="L68" s="18"/>
      <c r="M68" s="20"/>
      <c r="N68" s="18"/>
    </row>
    <row r="69">
      <c r="A69" s="17" t="str">
        <f t="shared" si="1"/>
        <v>PD-1399</v>
      </c>
      <c r="B69" s="18" t="s">
        <v>82</v>
      </c>
      <c r="C69" s="18" t="s">
        <v>83</v>
      </c>
      <c r="D69" s="18">
        <v>0.2</v>
      </c>
      <c r="E69" s="19">
        <v>43138.0</v>
      </c>
      <c r="F69" s="18" t="s">
        <v>81</v>
      </c>
      <c r="G69" s="18"/>
      <c r="H69" s="18"/>
      <c r="I69" s="18" t="s">
        <v>81</v>
      </c>
      <c r="J69" s="18"/>
      <c r="K69" s="20"/>
      <c r="L69" s="18"/>
      <c r="M69" s="20"/>
      <c r="N69" s="18"/>
    </row>
    <row r="70">
      <c r="A70" s="17" t="str">
        <f t="shared" si="1"/>
        <v>PD-1399</v>
      </c>
      <c r="B70" s="18" t="s">
        <v>82</v>
      </c>
      <c r="C70" s="18" t="s">
        <v>83</v>
      </c>
      <c r="D70" s="18">
        <v>0.216666667</v>
      </c>
      <c r="E70" s="19">
        <v>43140.0</v>
      </c>
      <c r="F70" s="18" t="s">
        <v>81</v>
      </c>
      <c r="G70" s="18"/>
      <c r="H70" s="18"/>
      <c r="I70" s="18" t="s">
        <v>81</v>
      </c>
      <c r="J70" s="18"/>
      <c r="K70" s="20"/>
      <c r="L70" s="18"/>
      <c r="M70" s="20"/>
      <c r="N70" s="18"/>
    </row>
    <row r="71">
      <c r="A71" s="17" t="str">
        <f t="shared" si="1"/>
        <v>PD-1400</v>
      </c>
      <c r="B71" s="18" t="s">
        <v>84</v>
      </c>
      <c r="C71" s="18" t="s">
        <v>85</v>
      </c>
      <c r="D71" s="18">
        <v>0.166666667</v>
      </c>
      <c r="E71" s="19">
        <v>43143.0</v>
      </c>
      <c r="F71" s="18" t="s">
        <v>81</v>
      </c>
      <c r="G71" s="18"/>
      <c r="H71" s="18"/>
      <c r="I71" s="18" t="s">
        <v>81</v>
      </c>
      <c r="J71" s="18"/>
      <c r="K71" s="20"/>
      <c r="L71" s="18"/>
      <c r="M71" s="20"/>
      <c r="N71" s="18"/>
    </row>
    <row r="72">
      <c r="A72" s="17" t="str">
        <f t="shared" si="1"/>
        <v>PD-1571</v>
      </c>
      <c r="B72" s="18" t="s">
        <v>140</v>
      </c>
      <c r="C72" s="18" t="s">
        <v>141</v>
      </c>
      <c r="D72" s="18">
        <v>0.233333333</v>
      </c>
      <c r="E72" s="19">
        <v>43143.0</v>
      </c>
      <c r="F72" s="18" t="s">
        <v>81</v>
      </c>
      <c r="G72" s="18"/>
      <c r="H72" s="18"/>
      <c r="I72" s="18" t="s">
        <v>142</v>
      </c>
      <c r="J72" s="18"/>
      <c r="K72" s="20"/>
      <c r="L72" s="18"/>
      <c r="M72" s="20"/>
      <c r="N72" s="18"/>
    </row>
    <row r="73">
      <c r="A73" s="17" t="str">
        <f t="shared" si="1"/>
        <v>IOP-875</v>
      </c>
      <c r="B73" s="18" t="s">
        <v>123</v>
      </c>
      <c r="C73" s="18" t="s">
        <v>124</v>
      </c>
      <c r="D73" s="18">
        <v>0.766666667</v>
      </c>
      <c r="E73" s="19">
        <v>43145.0</v>
      </c>
      <c r="F73" s="18" t="s">
        <v>81</v>
      </c>
      <c r="G73" s="18"/>
      <c r="H73" s="18" t="s">
        <v>125</v>
      </c>
      <c r="I73" s="18" t="s">
        <v>120</v>
      </c>
      <c r="J73" s="18"/>
      <c r="K73" s="20"/>
      <c r="L73" s="18"/>
      <c r="M73" s="20"/>
      <c r="N73" s="18"/>
    </row>
    <row r="74">
      <c r="A74" s="17" t="str">
        <f t="shared" si="1"/>
        <v>PD-1400</v>
      </c>
      <c r="B74" s="18" t="s">
        <v>84</v>
      </c>
      <c r="C74" s="18" t="s">
        <v>85</v>
      </c>
      <c r="D74" s="18">
        <v>0.15</v>
      </c>
      <c r="E74" s="19">
        <v>43138.0</v>
      </c>
      <c r="F74" s="18" t="s">
        <v>81</v>
      </c>
      <c r="G74" s="18"/>
      <c r="H74" s="18"/>
      <c r="I74" s="18" t="s">
        <v>81</v>
      </c>
      <c r="J74" s="18"/>
      <c r="K74" s="20"/>
      <c r="L74" s="18"/>
      <c r="M74" s="20"/>
      <c r="N74" s="18"/>
    </row>
    <row r="75">
      <c r="A75" s="17" t="str">
        <f t="shared" si="1"/>
        <v>PD-1400</v>
      </c>
      <c r="B75" s="18" t="s">
        <v>84</v>
      </c>
      <c r="C75" s="18" t="s">
        <v>85</v>
      </c>
      <c r="D75" s="18">
        <v>0.166666667</v>
      </c>
      <c r="E75" s="19">
        <v>43140.0</v>
      </c>
      <c r="F75" s="18" t="s">
        <v>81</v>
      </c>
      <c r="G75" s="18"/>
      <c r="H75" s="18"/>
      <c r="I75" s="18" t="s">
        <v>81</v>
      </c>
      <c r="J75" s="18"/>
      <c r="K75" s="20"/>
      <c r="L75" s="18"/>
      <c r="M75" s="20"/>
      <c r="N75" s="18"/>
    </row>
    <row r="76">
      <c r="A76" s="17" t="str">
        <f t="shared" si="1"/>
        <v>PD-1490</v>
      </c>
      <c r="B76" s="18" t="s">
        <v>130</v>
      </c>
      <c r="C76" s="18" t="s">
        <v>131</v>
      </c>
      <c r="D76" s="18">
        <v>0.266666667</v>
      </c>
      <c r="E76" s="19">
        <v>43143.0</v>
      </c>
      <c r="F76" s="18" t="s">
        <v>81</v>
      </c>
      <c r="G76" s="18"/>
      <c r="H76" s="18" t="s">
        <v>113</v>
      </c>
      <c r="I76" s="18" t="s">
        <v>132</v>
      </c>
      <c r="J76" s="18"/>
      <c r="K76" s="20"/>
      <c r="L76" s="18"/>
      <c r="M76" s="20"/>
      <c r="N76" s="18"/>
    </row>
    <row r="77">
      <c r="A77" s="17" t="str">
        <f t="shared" si="1"/>
        <v>PD-1572</v>
      </c>
      <c r="B77" s="18" t="s">
        <v>147</v>
      </c>
      <c r="C77" s="18" t="s">
        <v>148</v>
      </c>
      <c r="D77" s="18">
        <v>0.183333333</v>
      </c>
      <c r="E77" s="19">
        <v>43143.0</v>
      </c>
      <c r="F77" s="18" t="s">
        <v>81</v>
      </c>
      <c r="G77" s="18"/>
      <c r="H77" s="18"/>
      <c r="I77" s="18" t="s">
        <v>142</v>
      </c>
      <c r="J77" s="18"/>
      <c r="K77" s="20"/>
      <c r="L77" s="18"/>
      <c r="M77" s="20"/>
      <c r="N77" s="18"/>
    </row>
    <row r="78">
      <c r="A78" s="17" t="str">
        <f t="shared" si="1"/>
        <v>PD-1502</v>
      </c>
      <c r="B78" s="18" t="s">
        <v>99</v>
      </c>
      <c r="C78" s="18" t="s">
        <v>100</v>
      </c>
      <c r="D78" s="18">
        <v>1.783333333</v>
      </c>
      <c r="E78" s="19">
        <v>43145.0</v>
      </c>
      <c r="F78" s="18" t="s">
        <v>81</v>
      </c>
      <c r="G78" s="18"/>
      <c r="H78" s="18" t="s">
        <v>101</v>
      </c>
      <c r="I78" s="18" t="s">
        <v>93</v>
      </c>
      <c r="J78" s="18"/>
      <c r="K78" s="20"/>
      <c r="L78" s="18"/>
      <c r="M78" s="20"/>
      <c r="N78" s="18"/>
    </row>
    <row r="79">
      <c r="A79" s="17" t="str">
        <f t="shared" si="1"/>
        <v>PD-1549</v>
      </c>
      <c r="B79" s="18" t="s">
        <v>168</v>
      </c>
      <c r="C79" s="18" t="s">
        <v>169</v>
      </c>
      <c r="D79" s="18">
        <v>0.45</v>
      </c>
      <c r="E79" s="19">
        <v>43147.0</v>
      </c>
      <c r="F79" s="18" t="s">
        <v>81</v>
      </c>
      <c r="G79" s="18"/>
      <c r="H79" s="18" t="s">
        <v>96</v>
      </c>
      <c r="I79" s="18" t="s">
        <v>81</v>
      </c>
      <c r="J79" s="18"/>
      <c r="K79" s="20"/>
      <c r="L79" s="18"/>
      <c r="M79" s="20"/>
      <c r="N79" s="18"/>
    </row>
    <row r="80">
      <c r="A80" s="17" t="str">
        <f t="shared" si="1"/>
        <v>PD-1582</v>
      </c>
      <c r="B80" s="18" t="s">
        <v>170</v>
      </c>
      <c r="C80" s="18" t="s">
        <v>171</v>
      </c>
      <c r="D80" s="18">
        <v>0.316666667</v>
      </c>
      <c r="E80" s="19">
        <v>43151.0</v>
      </c>
      <c r="F80" s="18" t="s">
        <v>81</v>
      </c>
      <c r="G80" s="18"/>
      <c r="H80" s="18"/>
      <c r="I80" s="18" t="s">
        <v>142</v>
      </c>
      <c r="J80" s="18"/>
      <c r="K80" s="20"/>
      <c r="L80" s="18"/>
      <c r="M80" s="20"/>
      <c r="N80" s="18"/>
    </row>
    <row r="81">
      <c r="A81" s="17" t="str">
        <f t="shared" si="1"/>
        <v>PD-1364</v>
      </c>
      <c r="B81" s="18" t="s">
        <v>172</v>
      </c>
      <c r="C81" s="18" t="s">
        <v>173</v>
      </c>
      <c r="D81" s="18">
        <v>0.1</v>
      </c>
      <c r="E81" s="19">
        <v>43151.0</v>
      </c>
      <c r="F81" s="18" t="s">
        <v>81</v>
      </c>
      <c r="G81" s="18"/>
      <c r="H81" s="18" t="s">
        <v>167</v>
      </c>
      <c r="I81" s="18" t="s">
        <v>78</v>
      </c>
      <c r="J81" s="18"/>
      <c r="K81" s="20"/>
      <c r="L81" s="18"/>
      <c r="M81" s="20"/>
      <c r="N81" s="18"/>
    </row>
    <row r="82">
      <c r="A82" s="17" t="str">
        <f t="shared" si="1"/>
        <v>PD-1398</v>
      </c>
      <c r="B82" s="18" t="s">
        <v>79</v>
      </c>
      <c r="C82" s="18" t="s">
        <v>80</v>
      </c>
      <c r="D82" s="18">
        <v>0.05</v>
      </c>
      <c r="E82" s="19">
        <v>43139.0</v>
      </c>
      <c r="F82" s="18" t="s">
        <v>81</v>
      </c>
      <c r="G82" s="18"/>
      <c r="H82" s="18"/>
      <c r="I82" s="18" t="s">
        <v>81</v>
      </c>
      <c r="J82" s="18"/>
      <c r="K82" s="20"/>
      <c r="L82" s="18"/>
      <c r="M82" s="20"/>
      <c r="N82" s="18"/>
    </row>
    <row r="83">
      <c r="A83" s="17" t="str">
        <f t="shared" si="1"/>
        <v>PD-1480</v>
      </c>
      <c r="B83" s="18" t="s">
        <v>121</v>
      </c>
      <c r="C83" s="18" t="s">
        <v>122</v>
      </c>
      <c r="D83" s="18">
        <v>0.9</v>
      </c>
      <c r="E83" s="19">
        <v>43143.0</v>
      </c>
      <c r="F83" s="18" t="s">
        <v>81</v>
      </c>
      <c r="G83" s="18"/>
      <c r="H83" s="18" t="s">
        <v>88</v>
      </c>
      <c r="I83" s="18" t="s">
        <v>78</v>
      </c>
      <c r="J83" s="18"/>
      <c r="K83" s="20"/>
      <c r="L83" s="18"/>
      <c r="M83" s="20"/>
      <c r="N83" s="18"/>
    </row>
    <row r="84">
      <c r="A84" s="17" t="str">
        <f t="shared" si="1"/>
        <v>PD-1480</v>
      </c>
      <c r="B84" s="18" t="s">
        <v>121</v>
      </c>
      <c r="C84" s="18" t="s">
        <v>122</v>
      </c>
      <c r="D84" s="18">
        <v>0.533333333</v>
      </c>
      <c r="E84" s="19">
        <v>43145.0</v>
      </c>
      <c r="F84" s="18" t="s">
        <v>81</v>
      </c>
      <c r="G84" s="18"/>
      <c r="H84" s="18" t="s">
        <v>88</v>
      </c>
      <c r="I84" s="18" t="s">
        <v>78</v>
      </c>
      <c r="J84" s="18"/>
      <c r="K84" s="20"/>
      <c r="L84" s="18"/>
      <c r="M84" s="20"/>
      <c r="N84" s="18"/>
    </row>
    <row r="85">
      <c r="A85" s="17" t="str">
        <f t="shared" si="1"/>
        <v>PD-1570</v>
      </c>
      <c r="B85" s="18" t="s">
        <v>174</v>
      </c>
      <c r="C85" s="18" t="s">
        <v>175</v>
      </c>
      <c r="D85" s="18">
        <v>1.083333333</v>
      </c>
      <c r="E85" s="19">
        <v>43147.0</v>
      </c>
      <c r="F85" s="18" t="s">
        <v>81</v>
      </c>
      <c r="G85" s="18"/>
      <c r="H85" s="18"/>
      <c r="I85" s="18" t="s">
        <v>176</v>
      </c>
      <c r="J85" s="18"/>
      <c r="K85" s="20"/>
      <c r="L85" s="18"/>
      <c r="M85" s="20"/>
      <c r="N85" s="18"/>
    </row>
    <row r="86">
      <c r="A86" s="17" t="str">
        <f t="shared" si="1"/>
        <v>PD-1480</v>
      </c>
      <c r="B86" s="18" t="s">
        <v>121</v>
      </c>
      <c r="C86" s="18" t="s">
        <v>122</v>
      </c>
      <c r="D86" s="18">
        <v>3.2</v>
      </c>
      <c r="E86" s="19">
        <v>43152.0</v>
      </c>
      <c r="F86" s="18" t="s">
        <v>81</v>
      </c>
      <c r="G86" s="18"/>
      <c r="H86" s="18" t="s">
        <v>88</v>
      </c>
      <c r="I86" s="18" t="s">
        <v>78</v>
      </c>
      <c r="J86" s="18"/>
      <c r="K86" s="20"/>
      <c r="L86" s="18"/>
      <c r="M86" s="20"/>
      <c r="N86" s="18"/>
    </row>
    <row r="87">
      <c r="A87" s="17" t="str">
        <f t="shared" si="1"/>
        <v>PD-1543</v>
      </c>
      <c r="B87" s="18" t="s">
        <v>177</v>
      </c>
      <c r="C87" s="18" t="s">
        <v>178</v>
      </c>
      <c r="D87" s="18">
        <v>2.033333333</v>
      </c>
      <c r="E87" s="19">
        <v>43152.0</v>
      </c>
      <c r="F87" s="18" t="s">
        <v>81</v>
      </c>
      <c r="G87" s="18"/>
      <c r="H87" s="18" t="s">
        <v>88</v>
      </c>
      <c r="I87" s="18" t="s">
        <v>81</v>
      </c>
      <c r="J87" s="18"/>
      <c r="K87" s="20"/>
      <c r="L87" s="18"/>
      <c r="M87" s="20"/>
      <c r="N87" s="18"/>
    </row>
    <row r="88">
      <c r="A88" s="17" t="str">
        <f t="shared" si="1"/>
        <v>PD-1554</v>
      </c>
      <c r="B88" s="18" t="s">
        <v>102</v>
      </c>
      <c r="C88" s="18" t="s">
        <v>103</v>
      </c>
      <c r="D88" s="18">
        <v>2.016666667</v>
      </c>
      <c r="E88" s="19">
        <v>43152.0</v>
      </c>
      <c r="F88" s="18" t="s">
        <v>81</v>
      </c>
      <c r="G88" s="18"/>
      <c r="H88" s="18" t="s">
        <v>88</v>
      </c>
      <c r="I88" s="18" t="s">
        <v>93</v>
      </c>
      <c r="J88" s="18"/>
      <c r="K88" s="20"/>
      <c r="L88" s="18"/>
      <c r="M88" s="20"/>
      <c r="N88" s="18"/>
    </row>
    <row r="89">
      <c r="A89" s="17" t="str">
        <f t="shared" si="1"/>
        <v>PD-1583</v>
      </c>
      <c r="B89" s="18" t="s">
        <v>179</v>
      </c>
      <c r="C89" s="18" t="s">
        <v>180</v>
      </c>
      <c r="D89" s="18">
        <v>0.283333333</v>
      </c>
      <c r="E89" s="19">
        <v>43151.0</v>
      </c>
      <c r="F89" s="18" t="s">
        <v>81</v>
      </c>
      <c r="G89" s="18"/>
      <c r="H89" s="18" t="s">
        <v>96</v>
      </c>
      <c r="I89" s="18" t="s">
        <v>81</v>
      </c>
      <c r="J89" s="18"/>
      <c r="K89" s="20"/>
      <c r="L89" s="18"/>
      <c r="M89" s="20"/>
      <c r="N89" s="18"/>
    </row>
    <row r="90">
      <c r="A90" s="17" t="str">
        <f t="shared" si="1"/>
        <v>PD-1502</v>
      </c>
      <c r="B90" s="18" t="s">
        <v>99</v>
      </c>
      <c r="C90" s="18" t="s">
        <v>100</v>
      </c>
      <c r="D90" s="18">
        <v>2.866666667</v>
      </c>
      <c r="E90" s="19">
        <v>43138.0</v>
      </c>
      <c r="F90" s="18" t="s">
        <v>81</v>
      </c>
      <c r="G90" s="18"/>
      <c r="H90" s="18" t="s">
        <v>101</v>
      </c>
      <c r="I90" s="18" t="s">
        <v>93</v>
      </c>
      <c r="J90" s="18"/>
      <c r="K90" s="20"/>
      <c r="L90" s="18"/>
      <c r="M90" s="20"/>
      <c r="N90" s="18"/>
    </row>
    <row r="91">
      <c r="A91" s="17" t="str">
        <f t="shared" si="1"/>
        <v>PD-1399</v>
      </c>
      <c r="B91" s="18" t="s">
        <v>82</v>
      </c>
      <c r="C91" s="18" t="s">
        <v>83</v>
      </c>
      <c r="D91" s="18">
        <v>0.15</v>
      </c>
      <c r="E91" s="19">
        <v>43139.0</v>
      </c>
      <c r="F91" s="18" t="s">
        <v>81</v>
      </c>
      <c r="G91" s="18"/>
      <c r="H91" s="18"/>
      <c r="I91" s="18" t="s">
        <v>81</v>
      </c>
      <c r="J91" s="18"/>
      <c r="K91" s="20"/>
      <c r="L91" s="18"/>
      <c r="M91" s="20"/>
      <c r="N91" s="18"/>
    </row>
    <row r="92">
      <c r="A92" s="17" t="str">
        <f t="shared" si="1"/>
        <v>PD-1440</v>
      </c>
      <c r="B92" s="18" t="s">
        <v>158</v>
      </c>
      <c r="C92" s="18" t="s">
        <v>159</v>
      </c>
      <c r="D92" s="18">
        <v>1.65</v>
      </c>
      <c r="E92" s="19">
        <v>43140.0</v>
      </c>
      <c r="F92" s="18" t="s">
        <v>81</v>
      </c>
      <c r="G92" s="18"/>
      <c r="H92" s="18"/>
      <c r="I92" s="18" t="s">
        <v>81</v>
      </c>
      <c r="J92" s="18"/>
      <c r="K92" s="20"/>
      <c r="L92" s="18"/>
      <c r="M92" s="20"/>
      <c r="N92" s="18"/>
    </row>
    <row r="93">
      <c r="A93" s="17" t="str">
        <f t="shared" si="1"/>
        <v>PD-1440</v>
      </c>
      <c r="B93" s="18" t="s">
        <v>158</v>
      </c>
      <c r="C93" s="18" t="s">
        <v>159</v>
      </c>
      <c r="D93" s="18">
        <v>1.15</v>
      </c>
      <c r="E93" s="19">
        <v>43143.0</v>
      </c>
      <c r="F93" s="18" t="s">
        <v>81</v>
      </c>
      <c r="G93" s="18"/>
      <c r="H93" s="18"/>
      <c r="I93" s="18" t="s">
        <v>81</v>
      </c>
      <c r="J93" s="18"/>
      <c r="K93" s="20"/>
      <c r="L93" s="18"/>
      <c r="M93" s="20"/>
      <c r="N93" s="18"/>
    </row>
    <row r="94">
      <c r="A94" s="17" t="str">
        <f t="shared" si="1"/>
        <v>PD-1581</v>
      </c>
      <c r="B94" s="18" t="s">
        <v>145</v>
      </c>
      <c r="C94" s="18" t="s">
        <v>146</v>
      </c>
      <c r="D94" s="18">
        <v>0.816666667</v>
      </c>
      <c r="E94" s="19">
        <v>43147.0</v>
      </c>
      <c r="F94" s="18" t="s">
        <v>81</v>
      </c>
      <c r="G94" s="18"/>
      <c r="H94" s="18"/>
      <c r="I94" s="18" t="s">
        <v>81</v>
      </c>
      <c r="J94" s="18"/>
      <c r="K94" s="20"/>
      <c r="L94" s="20"/>
      <c r="M94" s="20"/>
      <c r="N94" s="18"/>
    </row>
    <row r="95">
      <c r="A95" s="17" t="str">
        <f t="shared" si="1"/>
        <v>IOP-875</v>
      </c>
      <c r="B95" s="18" t="s">
        <v>123</v>
      </c>
      <c r="C95" s="18" t="s">
        <v>124</v>
      </c>
      <c r="D95" s="18">
        <v>0.116666667</v>
      </c>
      <c r="E95" s="19">
        <v>43151.0</v>
      </c>
      <c r="F95" s="18" t="s">
        <v>81</v>
      </c>
      <c r="G95" s="18"/>
      <c r="H95" s="18" t="s">
        <v>125</v>
      </c>
      <c r="I95" s="18" t="s">
        <v>120</v>
      </c>
      <c r="J95" s="18"/>
      <c r="K95" s="20"/>
      <c r="L95" s="20"/>
      <c r="M95" s="20"/>
      <c r="N95" s="18"/>
    </row>
    <row r="96">
      <c r="A96" s="17" t="str">
        <f t="shared" si="1"/>
        <v>PD-1503</v>
      </c>
      <c r="B96" s="18" t="s">
        <v>181</v>
      </c>
      <c r="C96" s="18" t="s">
        <v>182</v>
      </c>
      <c r="D96" s="18">
        <v>0.733333333</v>
      </c>
      <c r="E96" s="19">
        <v>43138.0</v>
      </c>
      <c r="F96" s="18" t="s">
        <v>81</v>
      </c>
      <c r="G96" s="18"/>
      <c r="H96" s="18"/>
      <c r="I96" s="18" t="s">
        <v>93</v>
      </c>
      <c r="J96" s="18"/>
      <c r="K96" s="20"/>
      <c r="L96" s="20"/>
      <c r="M96" s="20"/>
      <c r="N96" s="18"/>
    </row>
    <row r="97">
      <c r="A97" s="17" t="str">
        <f t="shared" si="1"/>
        <v>PD-1400</v>
      </c>
      <c r="B97" s="18" t="s">
        <v>84</v>
      </c>
      <c r="C97" s="18" t="s">
        <v>85</v>
      </c>
      <c r="D97" s="18">
        <v>0.166666667</v>
      </c>
      <c r="E97" s="19">
        <v>43139.0</v>
      </c>
      <c r="F97" s="18" t="s">
        <v>81</v>
      </c>
      <c r="G97" s="18"/>
      <c r="H97" s="18"/>
      <c r="I97" s="18" t="s">
        <v>81</v>
      </c>
      <c r="J97" s="18"/>
      <c r="K97" s="20"/>
      <c r="L97" s="20"/>
      <c r="M97" s="20"/>
      <c r="N97" s="18"/>
    </row>
    <row r="98">
      <c r="A98" s="17" t="str">
        <f t="shared" si="1"/>
        <v>PD-1643</v>
      </c>
      <c r="B98" s="18" t="s">
        <v>183</v>
      </c>
      <c r="C98" s="18" t="s">
        <v>184</v>
      </c>
      <c r="D98" s="18">
        <v>0.116666667</v>
      </c>
      <c r="E98" s="19">
        <v>43222.0</v>
      </c>
      <c r="F98" s="18" t="s">
        <v>81</v>
      </c>
      <c r="G98" s="18"/>
      <c r="H98" s="18" t="s">
        <v>106</v>
      </c>
      <c r="I98" s="18" t="s">
        <v>81</v>
      </c>
      <c r="J98" s="18"/>
      <c r="K98" s="20"/>
      <c r="L98" s="20"/>
      <c r="M98" s="20"/>
      <c r="N98" s="18"/>
    </row>
    <row r="99">
      <c r="A99" s="17" t="str">
        <f t="shared" si="1"/>
        <v>PD-1650</v>
      </c>
      <c r="B99" s="18" t="s">
        <v>185</v>
      </c>
      <c r="C99" s="18" t="s">
        <v>186</v>
      </c>
      <c r="D99" s="18">
        <v>0.866666667</v>
      </c>
      <c r="E99" s="19">
        <v>43223.0</v>
      </c>
      <c r="F99" s="18" t="s">
        <v>81</v>
      </c>
      <c r="G99" s="18" t="s">
        <v>187</v>
      </c>
      <c r="H99" s="18"/>
      <c r="I99" s="18" t="s">
        <v>77</v>
      </c>
      <c r="J99" s="18"/>
      <c r="K99" s="20"/>
      <c r="L99" s="20"/>
      <c r="M99" s="20"/>
      <c r="N99" s="18"/>
    </row>
    <row r="100">
      <c r="A100" s="17" t="str">
        <f t="shared" si="1"/>
        <v>PD-1464</v>
      </c>
      <c r="B100" s="18" t="s">
        <v>90</v>
      </c>
      <c r="C100" s="18" t="s">
        <v>91</v>
      </c>
      <c r="D100" s="18">
        <v>0.616666667</v>
      </c>
      <c r="E100" s="19">
        <v>43140.0</v>
      </c>
      <c r="F100" s="18" t="s">
        <v>81</v>
      </c>
      <c r="G100" s="18"/>
      <c r="H100" s="18" t="s">
        <v>92</v>
      </c>
      <c r="I100" s="18" t="s">
        <v>93</v>
      </c>
      <c r="J100" s="18"/>
      <c r="K100" s="20"/>
      <c r="L100" s="20"/>
      <c r="M100" s="20"/>
      <c r="N100" s="18"/>
    </row>
    <row r="101">
      <c r="A101" s="17" t="str">
        <f t="shared" si="1"/>
        <v>PD-1554</v>
      </c>
      <c r="B101" s="18" t="s">
        <v>102</v>
      </c>
      <c r="C101" s="18" t="s">
        <v>103</v>
      </c>
      <c r="D101" s="18">
        <v>0.3</v>
      </c>
      <c r="E101" s="19">
        <v>43143.0</v>
      </c>
      <c r="F101" s="18" t="s">
        <v>81</v>
      </c>
      <c r="G101" s="18"/>
      <c r="H101" s="18" t="s">
        <v>88</v>
      </c>
      <c r="I101" s="18" t="s">
        <v>93</v>
      </c>
      <c r="J101" s="18"/>
      <c r="K101" s="20"/>
      <c r="L101" s="20"/>
      <c r="M101" s="20"/>
      <c r="N101" s="18"/>
    </row>
    <row r="102">
      <c r="A102" s="17" t="str">
        <f t="shared" si="1"/>
        <v>IOP-867</v>
      </c>
      <c r="B102" s="18" t="s">
        <v>143</v>
      </c>
      <c r="C102" s="18" t="s">
        <v>144</v>
      </c>
      <c r="D102" s="18">
        <v>1.0</v>
      </c>
      <c r="E102" s="19">
        <v>43144.0</v>
      </c>
      <c r="F102" s="18" t="s">
        <v>77</v>
      </c>
      <c r="G102" s="18"/>
      <c r="H102" s="18" t="s">
        <v>119</v>
      </c>
      <c r="I102" s="18" t="s">
        <v>120</v>
      </c>
      <c r="J102" s="18"/>
      <c r="K102" s="20"/>
      <c r="L102" s="20"/>
      <c r="M102" s="20"/>
      <c r="N102" s="18"/>
    </row>
    <row r="103">
      <c r="A103" s="17" t="str">
        <f t="shared" si="1"/>
        <v>PD-1480</v>
      </c>
      <c r="B103" s="18" t="s">
        <v>121</v>
      </c>
      <c r="C103" s="18" t="s">
        <v>122</v>
      </c>
      <c r="D103" s="18">
        <v>3.383333333</v>
      </c>
      <c r="E103" s="19">
        <v>43147.0</v>
      </c>
      <c r="F103" s="18" t="s">
        <v>81</v>
      </c>
      <c r="G103" s="18"/>
      <c r="H103" s="18" t="s">
        <v>88</v>
      </c>
      <c r="I103" s="18" t="s">
        <v>78</v>
      </c>
      <c r="J103" s="18"/>
      <c r="K103" s="20"/>
      <c r="L103" s="20"/>
      <c r="M103" s="20"/>
      <c r="N103" s="18"/>
    </row>
    <row r="104">
      <c r="A104" s="17" t="str">
        <f t="shared" si="1"/>
        <v>IOP-867</v>
      </c>
      <c r="B104" s="18" t="s">
        <v>143</v>
      </c>
      <c r="C104" s="18" t="s">
        <v>144</v>
      </c>
      <c r="D104" s="18">
        <v>1.0</v>
      </c>
      <c r="E104" s="19">
        <v>43151.0</v>
      </c>
      <c r="F104" s="18" t="s">
        <v>77</v>
      </c>
      <c r="G104" s="18"/>
      <c r="H104" s="18" t="s">
        <v>119</v>
      </c>
      <c r="I104" s="18" t="s">
        <v>120</v>
      </c>
      <c r="J104" s="18"/>
      <c r="K104" s="20"/>
      <c r="L104" s="20"/>
      <c r="M104" s="20"/>
      <c r="N104" s="18"/>
    </row>
    <row r="105">
      <c r="A105" s="17" t="str">
        <f t="shared" si="1"/>
        <v>IOP-867</v>
      </c>
      <c r="B105" s="18" t="s">
        <v>143</v>
      </c>
      <c r="C105" s="18" t="s">
        <v>144</v>
      </c>
      <c r="D105" s="18">
        <v>0.116666667</v>
      </c>
      <c r="E105" s="19">
        <v>43151.0</v>
      </c>
      <c r="F105" s="18" t="s">
        <v>81</v>
      </c>
      <c r="G105" s="18"/>
      <c r="H105" s="18" t="s">
        <v>119</v>
      </c>
      <c r="I105" s="18" t="s">
        <v>120</v>
      </c>
      <c r="J105" s="18"/>
      <c r="K105" s="20"/>
      <c r="L105" s="20"/>
      <c r="M105" s="20"/>
      <c r="N105" s="18"/>
    </row>
    <row r="106">
      <c r="A106" s="17" t="str">
        <f t="shared" si="1"/>
        <v>PD-1549</v>
      </c>
      <c r="B106" s="18" t="s">
        <v>168</v>
      </c>
      <c r="C106" s="18" t="s">
        <v>169</v>
      </c>
      <c r="D106" s="18">
        <v>1.416666667</v>
      </c>
      <c r="E106" s="19">
        <v>43138.0</v>
      </c>
      <c r="F106" s="18" t="s">
        <v>81</v>
      </c>
      <c r="G106" s="18"/>
      <c r="H106" s="18" t="s">
        <v>96</v>
      </c>
      <c r="I106" s="18" t="s">
        <v>81</v>
      </c>
      <c r="J106" s="18"/>
      <c r="K106" s="20"/>
      <c r="L106" s="20"/>
      <c r="M106" s="20"/>
      <c r="N106" s="18"/>
    </row>
    <row r="107">
      <c r="A107" s="17" t="str">
        <f t="shared" si="1"/>
        <v>PD-1507</v>
      </c>
      <c r="B107" s="18" t="s">
        <v>114</v>
      </c>
      <c r="C107" s="18" t="s">
        <v>115</v>
      </c>
      <c r="D107" s="18">
        <v>2.533333333</v>
      </c>
      <c r="E107" s="19">
        <v>43138.0</v>
      </c>
      <c r="F107" s="18" t="s">
        <v>81</v>
      </c>
      <c r="G107" s="18"/>
      <c r="H107" s="18"/>
      <c r="I107" s="18" t="s">
        <v>116</v>
      </c>
      <c r="J107" s="18"/>
      <c r="K107" s="20"/>
      <c r="L107" s="20"/>
      <c r="M107" s="20"/>
      <c r="N107" s="18"/>
    </row>
    <row r="108">
      <c r="A108" s="17" t="str">
        <f t="shared" si="1"/>
        <v>PD-1464</v>
      </c>
      <c r="B108" s="18" t="s">
        <v>90</v>
      </c>
      <c r="C108" s="18" t="s">
        <v>91</v>
      </c>
      <c r="D108" s="18">
        <v>1.316666667</v>
      </c>
      <c r="E108" s="19">
        <v>43139.0</v>
      </c>
      <c r="F108" s="18" t="s">
        <v>81</v>
      </c>
      <c r="G108" s="18"/>
      <c r="H108" s="18" t="s">
        <v>92</v>
      </c>
      <c r="I108" s="18" t="s">
        <v>93</v>
      </c>
      <c r="J108" s="18"/>
      <c r="K108" s="20"/>
      <c r="L108" s="20"/>
      <c r="M108" s="20"/>
      <c r="N108" s="18"/>
    </row>
    <row r="109">
      <c r="A109" s="17" t="str">
        <f t="shared" si="1"/>
        <v>PD-1554</v>
      </c>
      <c r="B109" s="18" t="s">
        <v>102</v>
      </c>
      <c r="C109" s="18" t="s">
        <v>103</v>
      </c>
      <c r="D109" s="18">
        <v>3.283333333</v>
      </c>
      <c r="E109" s="19">
        <v>43139.0</v>
      </c>
      <c r="F109" s="18" t="s">
        <v>81</v>
      </c>
      <c r="G109" s="18"/>
      <c r="H109" s="18" t="s">
        <v>88</v>
      </c>
      <c r="I109" s="18" t="s">
        <v>93</v>
      </c>
      <c r="J109" s="18"/>
      <c r="K109" s="20"/>
      <c r="L109" s="20"/>
      <c r="M109" s="20"/>
      <c r="N109" s="18"/>
    </row>
    <row r="110">
      <c r="A110" s="17" t="str">
        <f t="shared" si="1"/>
        <v>PD-1507</v>
      </c>
      <c r="B110" s="18" t="s">
        <v>114</v>
      </c>
      <c r="C110" s="18" t="s">
        <v>115</v>
      </c>
      <c r="D110" s="18">
        <v>0.9</v>
      </c>
      <c r="E110" s="19">
        <v>43140.0</v>
      </c>
      <c r="F110" s="18" t="s">
        <v>81</v>
      </c>
      <c r="G110" s="18"/>
      <c r="H110" s="18"/>
      <c r="I110" s="18" t="s">
        <v>116</v>
      </c>
      <c r="J110" s="18"/>
      <c r="K110" s="20"/>
      <c r="L110" s="20"/>
      <c r="M110" s="20"/>
      <c r="N110" s="18"/>
    </row>
    <row r="111">
      <c r="A111" s="17" t="str">
        <f t="shared" si="1"/>
        <v>IOP-42</v>
      </c>
      <c r="B111" s="18" t="s">
        <v>188</v>
      </c>
      <c r="C111" s="18" t="s">
        <v>189</v>
      </c>
      <c r="D111" s="18">
        <v>1.0</v>
      </c>
      <c r="E111" s="19">
        <v>43102.525</v>
      </c>
      <c r="F111" s="18" t="s">
        <v>77</v>
      </c>
      <c r="G111" s="18"/>
      <c r="H111" s="18"/>
      <c r="I111" s="18" t="s">
        <v>190</v>
      </c>
      <c r="J111" s="18"/>
      <c r="K111" s="20"/>
      <c r="L111" s="20"/>
      <c r="M111" s="20"/>
      <c r="N111" s="18"/>
    </row>
    <row r="112">
      <c r="A112" s="17" t="str">
        <f t="shared" si="1"/>
        <v>IOP-214</v>
      </c>
      <c r="B112" s="18" t="s">
        <v>191</v>
      </c>
      <c r="C112" s="18" t="s">
        <v>192</v>
      </c>
      <c r="D112" s="18">
        <v>1.0</v>
      </c>
      <c r="E112" s="19">
        <v>43102.52569444444</v>
      </c>
      <c r="F112" s="18" t="s">
        <v>77</v>
      </c>
      <c r="G112" s="18"/>
      <c r="H112" s="18"/>
      <c r="I112" s="18" t="s">
        <v>176</v>
      </c>
      <c r="J112" s="18"/>
      <c r="K112" s="20"/>
      <c r="L112" s="18"/>
      <c r="M112" s="20"/>
      <c r="N112" s="18"/>
    </row>
    <row r="113">
      <c r="A113" s="17" t="str">
        <f t="shared" si="1"/>
        <v>IOP-41</v>
      </c>
      <c r="B113" s="18" t="s">
        <v>193</v>
      </c>
      <c r="C113" s="18" t="s">
        <v>194</v>
      </c>
      <c r="D113" s="18">
        <v>0.166666667</v>
      </c>
      <c r="E113" s="19">
        <v>43102.52777777778</v>
      </c>
      <c r="F113" s="18" t="s">
        <v>77</v>
      </c>
      <c r="G113" s="18"/>
      <c r="H113" s="18"/>
      <c r="I113" s="18" t="s">
        <v>190</v>
      </c>
      <c r="J113" s="18"/>
      <c r="K113" s="20"/>
      <c r="L113" s="18"/>
      <c r="M113" s="20"/>
      <c r="N113" s="18"/>
    </row>
    <row r="114">
      <c r="A114" s="17" t="str">
        <f t="shared" si="1"/>
        <v>PD-1524</v>
      </c>
      <c r="B114" s="18" t="s">
        <v>195</v>
      </c>
      <c r="C114" s="18" t="s">
        <v>196</v>
      </c>
      <c r="D114" s="18">
        <v>1.766666667</v>
      </c>
      <c r="E114" s="19">
        <v>43102.634722222225</v>
      </c>
      <c r="F114" s="18" t="s">
        <v>81</v>
      </c>
      <c r="G114" s="18"/>
      <c r="H114" s="18"/>
      <c r="I114" s="18" t="s">
        <v>81</v>
      </c>
      <c r="J114" s="18"/>
      <c r="K114" s="20"/>
      <c r="L114" s="18"/>
      <c r="M114" s="20"/>
      <c r="N114" s="18"/>
    </row>
    <row r="115">
      <c r="A115" s="17" t="str">
        <f t="shared" si="1"/>
        <v>PD-1398</v>
      </c>
      <c r="B115" s="18" t="s">
        <v>79</v>
      </c>
      <c r="C115" s="18" t="s">
        <v>80</v>
      </c>
      <c r="D115" s="18">
        <v>0.2</v>
      </c>
      <c r="E115" s="19">
        <v>43102.33888888889</v>
      </c>
      <c r="F115" s="18" t="s">
        <v>81</v>
      </c>
      <c r="G115" s="18"/>
      <c r="H115" s="18"/>
      <c r="I115" s="18" t="s">
        <v>81</v>
      </c>
      <c r="J115" s="18"/>
      <c r="K115" s="20"/>
      <c r="L115" s="18"/>
      <c r="M115" s="20"/>
      <c r="N115" s="18"/>
    </row>
    <row r="116">
      <c r="A116" s="17" t="str">
        <f t="shared" si="1"/>
        <v>PD-1400</v>
      </c>
      <c r="B116" s="18" t="s">
        <v>84</v>
      </c>
      <c r="C116" s="18" t="s">
        <v>85</v>
      </c>
      <c r="D116" s="18">
        <v>0.4</v>
      </c>
      <c r="E116" s="19">
        <v>43102.36875</v>
      </c>
      <c r="F116" s="18" t="s">
        <v>81</v>
      </c>
      <c r="G116" s="18"/>
      <c r="H116" s="18"/>
      <c r="I116" s="18" t="s">
        <v>81</v>
      </c>
      <c r="J116" s="18"/>
      <c r="K116" s="20"/>
      <c r="L116" s="18"/>
      <c r="M116" s="20"/>
      <c r="N116" s="18"/>
    </row>
    <row r="117">
      <c r="A117" s="17" t="str">
        <f t="shared" si="1"/>
        <v>PD-1399</v>
      </c>
      <c r="B117" s="18" t="s">
        <v>82</v>
      </c>
      <c r="C117" s="18" t="s">
        <v>83</v>
      </c>
      <c r="D117" s="18">
        <v>0.116666667</v>
      </c>
      <c r="E117" s="19">
        <v>43102.36388888889</v>
      </c>
      <c r="F117" s="18" t="s">
        <v>81</v>
      </c>
      <c r="G117" s="18"/>
      <c r="H117" s="18"/>
      <c r="I117" s="18" t="s">
        <v>81</v>
      </c>
      <c r="J117" s="18"/>
      <c r="K117" s="20"/>
      <c r="L117" s="18"/>
      <c r="M117" s="20"/>
      <c r="N117" s="18"/>
    </row>
    <row r="118">
      <c r="A118" s="17" t="str">
        <f t="shared" si="1"/>
        <v>PD-1399</v>
      </c>
      <c r="B118" s="18" t="s">
        <v>82</v>
      </c>
      <c r="C118" s="18" t="s">
        <v>83</v>
      </c>
      <c r="D118" s="18">
        <v>0.183333333</v>
      </c>
      <c r="E118" s="19">
        <v>43103.347916666666</v>
      </c>
      <c r="F118" s="18" t="s">
        <v>81</v>
      </c>
      <c r="G118" s="18"/>
      <c r="H118" s="18"/>
      <c r="I118" s="18" t="s">
        <v>81</v>
      </c>
      <c r="J118" s="18"/>
      <c r="K118" s="20"/>
      <c r="L118" s="20"/>
      <c r="M118" s="18"/>
      <c r="N118" s="18"/>
    </row>
    <row r="119">
      <c r="A119" s="17" t="str">
        <f t="shared" si="1"/>
        <v>PD-1440</v>
      </c>
      <c r="B119" s="18" t="s">
        <v>158</v>
      </c>
      <c r="C119" s="18" t="s">
        <v>159</v>
      </c>
      <c r="D119" s="18">
        <v>0.233333333</v>
      </c>
      <c r="E119" s="19">
        <v>43103.35972222222</v>
      </c>
      <c r="F119" s="18" t="s">
        <v>81</v>
      </c>
      <c r="G119" s="18"/>
      <c r="H119" s="18"/>
      <c r="I119" s="18" t="s">
        <v>81</v>
      </c>
      <c r="J119" s="18"/>
      <c r="K119" s="20"/>
      <c r="L119" s="18"/>
      <c r="M119" s="20"/>
      <c r="N119" s="18"/>
    </row>
    <row r="120">
      <c r="A120" s="17" t="str">
        <f t="shared" si="1"/>
        <v>PD-1570</v>
      </c>
      <c r="B120" s="18" t="s">
        <v>174</v>
      </c>
      <c r="C120" s="18" t="s">
        <v>175</v>
      </c>
      <c r="D120" s="18">
        <v>0.783333333</v>
      </c>
      <c r="E120" s="19">
        <v>43139.0</v>
      </c>
      <c r="F120" s="18" t="s">
        <v>81</v>
      </c>
      <c r="G120" s="18"/>
      <c r="H120" s="18"/>
      <c r="I120" s="18" t="s">
        <v>176</v>
      </c>
      <c r="J120" s="18"/>
      <c r="K120" s="20"/>
      <c r="L120" s="18"/>
      <c r="M120" s="20"/>
      <c r="N120" s="18"/>
    </row>
    <row r="121">
      <c r="A121" s="17" t="str">
        <f t="shared" si="1"/>
        <v>PD-1502</v>
      </c>
      <c r="B121" s="18" t="s">
        <v>99</v>
      </c>
      <c r="C121" s="18" t="s">
        <v>100</v>
      </c>
      <c r="D121" s="18">
        <v>3.883333333</v>
      </c>
      <c r="E121" s="19">
        <v>43140.0</v>
      </c>
      <c r="F121" s="18" t="s">
        <v>81</v>
      </c>
      <c r="G121" s="18"/>
      <c r="H121" s="18" t="s">
        <v>101</v>
      </c>
      <c r="I121" s="18" t="s">
        <v>93</v>
      </c>
      <c r="J121" s="18"/>
      <c r="K121" s="20"/>
      <c r="L121" s="18"/>
      <c r="M121" s="20"/>
      <c r="N121" s="18"/>
    </row>
    <row r="122">
      <c r="A122" s="17" t="str">
        <f t="shared" si="1"/>
        <v>PD-1525</v>
      </c>
      <c r="B122" s="18" t="s">
        <v>197</v>
      </c>
      <c r="C122" s="18" t="s">
        <v>198</v>
      </c>
      <c r="D122" s="18">
        <v>0.6</v>
      </c>
      <c r="E122" s="19">
        <v>43103.40416666667</v>
      </c>
      <c r="F122" s="18" t="s">
        <v>81</v>
      </c>
      <c r="G122" s="18"/>
      <c r="H122" s="18"/>
      <c r="I122" s="18" t="s">
        <v>81</v>
      </c>
      <c r="J122" s="18"/>
      <c r="K122" s="20"/>
      <c r="L122" s="18"/>
      <c r="M122" s="20"/>
      <c r="N122" s="18"/>
    </row>
    <row r="123">
      <c r="A123" s="17" t="str">
        <f t="shared" si="1"/>
        <v>IOP-41</v>
      </c>
      <c r="B123" s="18" t="s">
        <v>193</v>
      </c>
      <c r="C123" s="18" t="s">
        <v>194</v>
      </c>
      <c r="D123" s="18">
        <v>0.166666667</v>
      </c>
      <c r="E123" s="19">
        <v>43105.36944444444</v>
      </c>
      <c r="F123" s="18" t="s">
        <v>77</v>
      </c>
      <c r="G123" s="18"/>
      <c r="H123" s="18"/>
      <c r="I123" s="18" t="s">
        <v>190</v>
      </c>
      <c r="J123" s="18"/>
      <c r="K123" s="20"/>
      <c r="L123" s="18"/>
      <c r="M123" s="20"/>
      <c r="N123" s="18"/>
    </row>
    <row r="124">
      <c r="A124" s="17" t="str">
        <f t="shared" si="1"/>
        <v>IOP-42</v>
      </c>
      <c r="B124" s="18" t="s">
        <v>188</v>
      </c>
      <c r="C124" s="18" t="s">
        <v>189</v>
      </c>
      <c r="D124" s="18">
        <v>0.75</v>
      </c>
      <c r="E124" s="19">
        <v>43105.41111111111</v>
      </c>
      <c r="F124" s="18" t="s">
        <v>77</v>
      </c>
      <c r="G124" s="18"/>
      <c r="H124" s="18"/>
      <c r="I124" s="18" t="s">
        <v>190</v>
      </c>
      <c r="J124" s="18"/>
      <c r="K124" s="20"/>
      <c r="L124" s="18"/>
      <c r="M124" s="20"/>
      <c r="N124" s="18"/>
    </row>
    <row r="125">
      <c r="A125" s="17" t="str">
        <f t="shared" si="1"/>
        <v>PD-1398</v>
      </c>
      <c r="B125" s="18" t="s">
        <v>79</v>
      </c>
      <c r="C125" s="18" t="s">
        <v>80</v>
      </c>
      <c r="D125" s="18">
        <v>0.083333333</v>
      </c>
      <c r="E125" s="19">
        <v>43104.33541666667</v>
      </c>
      <c r="F125" s="18" t="s">
        <v>81</v>
      </c>
      <c r="G125" s="18"/>
      <c r="H125" s="18"/>
      <c r="I125" s="18" t="s">
        <v>81</v>
      </c>
      <c r="J125" s="18"/>
      <c r="K125" s="20"/>
      <c r="L125" s="18"/>
      <c r="M125" s="20"/>
      <c r="N125" s="18"/>
    </row>
    <row r="126">
      <c r="A126" s="17" t="str">
        <f t="shared" si="1"/>
        <v>PD-1400</v>
      </c>
      <c r="B126" s="18" t="s">
        <v>84</v>
      </c>
      <c r="C126" s="18" t="s">
        <v>85</v>
      </c>
      <c r="D126" s="18">
        <v>0.183333333</v>
      </c>
      <c r="E126" s="19">
        <v>43104.34930555556</v>
      </c>
      <c r="F126" s="18" t="s">
        <v>81</v>
      </c>
      <c r="G126" s="18"/>
      <c r="H126" s="18"/>
      <c r="I126" s="18" t="s">
        <v>81</v>
      </c>
      <c r="J126" s="18"/>
      <c r="K126" s="20"/>
      <c r="L126" s="18"/>
      <c r="M126" s="20"/>
      <c r="N126" s="18"/>
    </row>
    <row r="127">
      <c r="A127" s="17" t="str">
        <f t="shared" si="1"/>
        <v>PD-1525</v>
      </c>
      <c r="B127" s="18" t="s">
        <v>197</v>
      </c>
      <c r="C127" s="18" t="s">
        <v>198</v>
      </c>
      <c r="D127" s="18">
        <v>0.233333333</v>
      </c>
      <c r="E127" s="19">
        <v>43104.375</v>
      </c>
      <c r="F127" s="18" t="s">
        <v>81</v>
      </c>
      <c r="G127" s="18"/>
      <c r="H127" s="18"/>
      <c r="I127" s="18" t="s">
        <v>81</v>
      </c>
      <c r="J127" s="18"/>
      <c r="K127" s="20"/>
      <c r="L127" s="18"/>
      <c r="M127" s="20"/>
      <c r="N127" s="18"/>
    </row>
    <row r="128">
      <c r="A128" s="17" t="str">
        <f t="shared" si="1"/>
        <v>PD-1512</v>
      </c>
      <c r="B128" s="18" t="s">
        <v>126</v>
      </c>
      <c r="C128" s="18" t="s">
        <v>127</v>
      </c>
      <c r="D128" s="18">
        <v>3.333333333</v>
      </c>
      <c r="E128" s="19">
        <v>43104.384722222225</v>
      </c>
      <c r="F128" s="18" t="s">
        <v>81</v>
      </c>
      <c r="G128" s="18"/>
      <c r="H128" s="18" t="s">
        <v>96</v>
      </c>
      <c r="I128" s="18" t="s">
        <v>81</v>
      </c>
      <c r="J128" s="18"/>
      <c r="K128" s="20"/>
      <c r="L128" s="18"/>
      <c r="M128" s="20"/>
      <c r="N128" s="18"/>
    </row>
    <row r="129">
      <c r="A129" s="17" t="str">
        <f t="shared" si="1"/>
        <v>PD-1512</v>
      </c>
      <c r="B129" s="18" t="s">
        <v>126</v>
      </c>
      <c r="C129" s="18" t="s">
        <v>127</v>
      </c>
      <c r="D129" s="18">
        <v>0.066666667</v>
      </c>
      <c r="E129" s="19">
        <v>43104.55138888889</v>
      </c>
      <c r="F129" s="18" t="s">
        <v>81</v>
      </c>
      <c r="G129" s="18"/>
      <c r="H129" s="18" t="s">
        <v>96</v>
      </c>
      <c r="I129" s="18" t="s">
        <v>81</v>
      </c>
      <c r="J129" s="18"/>
      <c r="K129" s="20"/>
      <c r="L129" s="18"/>
      <c r="M129" s="20"/>
      <c r="N129" s="18"/>
    </row>
    <row r="130">
      <c r="A130" s="17" t="str">
        <f t="shared" si="1"/>
        <v>PD-1461</v>
      </c>
      <c r="B130" s="18" t="s">
        <v>199</v>
      </c>
      <c r="C130" s="18" t="s">
        <v>200</v>
      </c>
      <c r="D130" s="18">
        <v>1.0</v>
      </c>
      <c r="E130" s="19">
        <v>43104.55416666667</v>
      </c>
      <c r="F130" s="18" t="s">
        <v>81</v>
      </c>
      <c r="G130" s="18"/>
      <c r="H130" s="18"/>
      <c r="I130" s="18" t="s">
        <v>81</v>
      </c>
      <c r="J130" s="18"/>
      <c r="K130" s="20"/>
      <c r="L130" s="18"/>
      <c r="M130" s="20"/>
      <c r="N130" s="18"/>
    </row>
    <row r="131">
      <c r="A131" s="17" t="str">
        <f t="shared" si="1"/>
        <v>PD-1521</v>
      </c>
      <c r="B131" s="18" t="s">
        <v>111</v>
      </c>
      <c r="C131" s="18" t="s">
        <v>112</v>
      </c>
      <c r="D131" s="18">
        <v>2.55</v>
      </c>
      <c r="E131" s="19">
        <v>43104.59583333333</v>
      </c>
      <c r="F131" s="18" t="s">
        <v>81</v>
      </c>
      <c r="G131" s="18"/>
      <c r="H131" s="18" t="s">
        <v>113</v>
      </c>
      <c r="I131" s="18" t="s">
        <v>93</v>
      </c>
      <c r="J131" s="18"/>
      <c r="K131" s="20"/>
      <c r="L131" s="18"/>
      <c r="M131" s="20"/>
      <c r="N131" s="18"/>
    </row>
    <row r="132">
      <c r="A132" s="17" t="str">
        <f t="shared" si="1"/>
        <v>IOP-42</v>
      </c>
      <c r="B132" s="18" t="s">
        <v>188</v>
      </c>
      <c r="C132" s="18" t="s">
        <v>189</v>
      </c>
      <c r="D132" s="18">
        <v>0.5</v>
      </c>
      <c r="E132" s="19">
        <v>43108.36875</v>
      </c>
      <c r="F132" s="18" t="s">
        <v>77</v>
      </c>
      <c r="G132" s="18"/>
      <c r="H132" s="18"/>
      <c r="I132" s="18" t="s">
        <v>190</v>
      </c>
      <c r="J132" s="18"/>
      <c r="K132" s="20"/>
      <c r="L132" s="18"/>
      <c r="M132" s="20"/>
      <c r="N132" s="18"/>
    </row>
    <row r="133">
      <c r="A133" s="17" t="str">
        <f t="shared" si="1"/>
        <v>PD-1399</v>
      </c>
      <c r="B133" s="18" t="s">
        <v>82</v>
      </c>
      <c r="C133" s="18" t="s">
        <v>83</v>
      </c>
      <c r="D133" s="18">
        <v>0.25</v>
      </c>
      <c r="E133" s="19">
        <v>43104.33888888889</v>
      </c>
      <c r="F133" s="18" t="s">
        <v>81</v>
      </c>
      <c r="G133" s="18"/>
      <c r="H133" s="18"/>
      <c r="I133" s="18" t="s">
        <v>81</v>
      </c>
      <c r="J133" s="18"/>
      <c r="K133" s="20"/>
      <c r="L133" s="18"/>
      <c r="M133" s="20"/>
      <c r="N133" s="18"/>
    </row>
    <row r="134">
      <c r="A134" s="17" t="str">
        <f t="shared" si="1"/>
        <v>PD-1524</v>
      </c>
      <c r="B134" s="18" t="s">
        <v>195</v>
      </c>
      <c r="C134" s="18" t="s">
        <v>196</v>
      </c>
      <c r="D134" s="18">
        <v>0.433333333</v>
      </c>
      <c r="E134" s="19">
        <v>43104.356944444444</v>
      </c>
      <c r="F134" s="18" t="s">
        <v>81</v>
      </c>
      <c r="G134" s="18"/>
      <c r="H134" s="18"/>
      <c r="I134" s="18" t="s">
        <v>81</v>
      </c>
      <c r="J134" s="18"/>
      <c r="K134" s="20"/>
      <c r="L134" s="18"/>
      <c r="M134" s="20"/>
      <c r="N134" s="18"/>
    </row>
    <row r="135">
      <c r="A135" s="17" t="str">
        <f t="shared" si="1"/>
        <v>PD-1400</v>
      </c>
      <c r="B135" s="18" t="s">
        <v>84</v>
      </c>
      <c r="C135" s="18" t="s">
        <v>85</v>
      </c>
      <c r="D135" s="18">
        <v>0.1</v>
      </c>
      <c r="E135" s="19">
        <v>43103.35555555556</v>
      </c>
      <c r="F135" s="18" t="s">
        <v>81</v>
      </c>
      <c r="G135" s="18"/>
      <c r="H135" s="18"/>
      <c r="I135" s="18" t="s">
        <v>81</v>
      </c>
      <c r="J135" s="18"/>
      <c r="K135" s="20"/>
      <c r="L135" s="18"/>
      <c r="M135" s="20"/>
      <c r="N135" s="18"/>
    </row>
    <row r="136">
      <c r="A136" s="17" t="str">
        <f t="shared" si="1"/>
        <v>PD-1524</v>
      </c>
      <c r="B136" s="18" t="s">
        <v>195</v>
      </c>
      <c r="C136" s="18" t="s">
        <v>196</v>
      </c>
      <c r="D136" s="18">
        <v>0.833333333</v>
      </c>
      <c r="E136" s="19">
        <v>43103.36944444444</v>
      </c>
      <c r="F136" s="18" t="s">
        <v>81</v>
      </c>
      <c r="G136" s="18"/>
      <c r="H136" s="18"/>
      <c r="I136" s="18" t="s">
        <v>81</v>
      </c>
      <c r="J136" s="18"/>
      <c r="K136" s="20"/>
      <c r="L136" s="18"/>
      <c r="M136" s="20"/>
      <c r="N136" s="18"/>
    </row>
    <row r="137">
      <c r="A137" s="17" t="str">
        <f t="shared" si="1"/>
        <v>PD-1525</v>
      </c>
      <c r="B137" s="18" t="s">
        <v>197</v>
      </c>
      <c r="C137" s="18" t="s">
        <v>198</v>
      </c>
      <c r="D137" s="18">
        <v>0.216666667</v>
      </c>
      <c r="E137" s="19">
        <v>43103.43819444445</v>
      </c>
      <c r="F137" s="18" t="s">
        <v>81</v>
      </c>
      <c r="G137" s="18"/>
      <c r="H137" s="18"/>
      <c r="I137" s="18" t="s">
        <v>81</v>
      </c>
      <c r="J137" s="18"/>
      <c r="K137" s="20"/>
      <c r="L137" s="18"/>
      <c r="M137" s="20"/>
      <c r="N137" s="18"/>
    </row>
    <row r="138">
      <c r="A138" s="17" t="str">
        <f t="shared" si="1"/>
        <v>PD-1528</v>
      </c>
      <c r="B138" s="18" t="s">
        <v>201</v>
      </c>
      <c r="C138" s="18" t="s">
        <v>202</v>
      </c>
      <c r="D138" s="18">
        <v>0.216666667</v>
      </c>
      <c r="E138" s="19">
        <v>43103.42916666667</v>
      </c>
      <c r="F138" s="18" t="s">
        <v>81</v>
      </c>
      <c r="G138" s="18"/>
      <c r="H138" s="18" t="s">
        <v>88</v>
      </c>
      <c r="I138" s="18" t="s">
        <v>93</v>
      </c>
      <c r="J138" s="18"/>
      <c r="K138" s="20"/>
      <c r="L138" s="18"/>
      <c r="M138" s="20"/>
      <c r="N138" s="18"/>
    </row>
    <row r="139">
      <c r="A139" s="17" t="str">
        <f t="shared" si="1"/>
        <v>PD-1537</v>
      </c>
      <c r="B139" s="18" t="s">
        <v>203</v>
      </c>
      <c r="C139" s="18" t="s">
        <v>204</v>
      </c>
      <c r="D139" s="18">
        <v>0.45</v>
      </c>
      <c r="E139" s="19">
        <v>43103.458333333336</v>
      </c>
      <c r="F139" s="18" t="s">
        <v>81</v>
      </c>
      <c r="G139" s="18"/>
      <c r="H139" s="18" t="s">
        <v>96</v>
      </c>
      <c r="I139" s="18" t="s">
        <v>81</v>
      </c>
      <c r="J139" s="18"/>
      <c r="K139" s="20"/>
      <c r="L139" s="18"/>
      <c r="M139" s="20"/>
      <c r="N139" s="18"/>
    </row>
    <row r="140">
      <c r="A140" s="17" t="str">
        <f t="shared" si="1"/>
        <v>PD-1327</v>
      </c>
      <c r="B140" s="18" t="s">
        <v>205</v>
      </c>
      <c r="C140" s="18" t="s">
        <v>206</v>
      </c>
      <c r="D140" s="18">
        <v>0.2</v>
      </c>
      <c r="E140" s="19">
        <v>43103.47708333333</v>
      </c>
      <c r="F140" s="18" t="s">
        <v>81</v>
      </c>
      <c r="G140" s="18"/>
      <c r="H140" s="18"/>
      <c r="I140" s="18" t="s">
        <v>77</v>
      </c>
      <c r="J140" s="18"/>
      <c r="K140" s="20"/>
      <c r="L140" s="18"/>
      <c r="M140" s="20"/>
      <c r="N140" s="18"/>
    </row>
    <row r="141">
      <c r="A141" s="17" t="str">
        <f t="shared" si="1"/>
        <v>PD-1395</v>
      </c>
      <c r="B141" s="18" t="s">
        <v>138</v>
      </c>
      <c r="C141" s="18" t="s">
        <v>139</v>
      </c>
      <c r="D141" s="18">
        <v>0.333333333</v>
      </c>
      <c r="E141" s="19">
        <v>43103.48541666667</v>
      </c>
      <c r="F141" s="18" t="s">
        <v>81</v>
      </c>
      <c r="G141" s="18"/>
      <c r="H141" s="18" t="s">
        <v>101</v>
      </c>
      <c r="I141" s="18" t="s">
        <v>81</v>
      </c>
      <c r="J141" s="18"/>
      <c r="K141" s="20"/>
      <c r="L141" s="18"/>
      <c r="M141" s="20"/>
      <c r="N141" s="18"/>
    </row>
    <row r="142">
      <c r="A142" s="17" t="str">
        <f t="shared" si="1"/>
        <v>IOP-537</v>
      </c>
      <c r="B142" s="18" t="s">
        <v>133</v>
      </c>
      <c r="C142" s="18" t="s">
        <v>134</v>
      </c>
      <c r="D142" s="18">
        <v>1.083333333</v>
      </c>
      <c r="E142" s="19">
        <v>43103.52013888889</v>
      </c>
      <c r="F142" s="18" t="s">
        <v>81</v>
      </c>
      <c r="G142" s="18"/>
      <c r="H142" s="18"/>
      <c r="I142" s="18" t="s">
        <v>77</v>
      </c>
      <c r="J142" s="18"/>
      <c r="K142" s="20"/>
      <c r="L142" s="20"/>
      <c r="M142" s="18"/>
      <c r="N142" s="18"/>
    </row>
    <row r="143">
      <c r="A143" s="17" t="str">
        <f t="shared" si="1"/>
        <v>PD-1525</v>
      </c>
      <c r="B143" s="18" t="s">
        <v>197</v>
      </c>
      <c r="C143" s="18" t="s">
        <v>198</v>
      </c>
      <c r="D143" s="18">
        <v>2.033333333</v>
      </c>
      <c r="E143" s="19">
        <v>43103.56527777778</v>
      </c>
      <c r="F143" s="18" t="s">
        <v>81</v>
      </c>
      <c r="G143" s="18"/>
      <c r="H143" s="18"/>
      <c r="I143" s="18" t="s">
        <v>81</v>
      </c>
      <c r="J143" s="18"/>
      <c r="K143" s="20"/>
      <c r="L143" s="20"/>
      <c r="M143" s="18"/>
      <c r="N143" s="18"/>
    </row>
    <row r="144">
      <c r="A144" s="17" t="str">
        <f t="shared" si="1"/>
        <v>PD-1524</v>
      </c>
      <c r="B144" s="18" t="s">
        <v>195</v>
      </c>
      <c r="C144" s="18" t="s">
        <v>196</v>
      </c>
      <c r="D144" s="18">
        <v>0.266666667</v>
      </c>
      <c r="E144" s="19">
        <v>43103.447222222225</v>
      </c>
      <c r="F144" s="18" t="s">
        <v>81</v>
      </c>
      <c r="G144" s="18"/>
      <c r="H144" s="18"/>
      <c r="I144" s="18" t="s">
        <v>81</v>
      </c>
      <c r="J144" s="18"/>
      <c r="K144" s="20"/>
      <c r="L144" s="20"/>
      <c r="M144" s="18"/>
      <c r="N144" s="18"/>
    </row>
    <row r="145">
      <c r="A145" s="17" t="str">
        <f t="shared" si="1"/>
        <v>PD-1524</v>
      </c>
      <c r="B145" s="18" t="s">
        <v>195</v>
      </c>
      <c r="C145" s="18" t="s">
        <v>196</v>
      </c>
      <c r="D145" s="18">
        <v>0.3</v>
      </c>
      <c r="E145" s="19">
        <v>43103.65</v>
      </c>
      <c r="F145" s="18" t="s">
        <v>81</v>
      </c>
      <c r="G145" s="18"/>
      <c r="H145" s="18"/>
      <c r="I145" s="18" t="s">
        <v>81</v>
      </c>
      <c r="J145" s="18"/>
      <c r="K145" s="20"/>
      <c r="L145" s="20"/>
      <c r="M145" s="18"/>
      <c r="N145" s="18"/>
    </row>
    <row r="146">
      <c r="A146" s="17" t="str">
        <f t="shared" si="1"/>
        <v>PD-1395</v>
      </c>
      <c r="B146" s="18" t="s">
        <v>138</v>
      </c>
      <c r="C146" s="18" t="s">
        <v>139</v>
      </c>
      <c r="D146" s="18">
        <v>1.133333333</v>
      </c>
      <c r="E146" s="19">
        <v>43103.6625</v>
      </c>
      <c r="F146" s="18" t="s">
        <v>81</v>
      </c>
      <c r="G146" s="18"/>
      <c r="H146" s="18" t="s">
        <v>101</v>
      </c>
      <c r="I146" s="18" t="s">
        <v>81</v>
      </c>
      <c r="J146" s="18"/>
      <c r="K146" s="20"/>
      <c r="L146" s="20"/>
      <c r="M146" s="18"/>
      <c r="N146" s="18"/>
    </row>
    <row r="147">
      <c r="A147" s="17" t="str">
        <f t="shared" si="1"/>
        <v>PD-1399</v>
      </c>
      <c r="B147" s="18" t="s">
        <v>82</v>
      </c>
      <c r="C147" s="18" t="s">
        <v>83</v>
      </c>
      <c r="D147" s="18">
        <v>0.2</v>
      </c>
      <c r="E147" s="19">
        <v>43102.34722222222</v>
      </c>
      <c r="F147" s="18" t="s">
        <v>81</v>
      </c>
      <c r="G147" s="18"/>
      <c r="H147" s="18"/>
      <c r="I147" s="18" t="s">
        <v>81</v>
      </c>
      <c r="J147" s="18"/>
      <c r="K147" s="20"/>
      <c r="L147" s="20"/>
      <c r="M147" s="18"/>
      <c r="N147" s="18"/>
    </row>
    <row r="148">
      <c r="A148" s="17" t="str">
        <f t="shared" si="1"/>
        <v>PD-1536</v>
      </c>
      <c r="B148" s="18" t="s">
        <v>207</v>
      </c>
      <c r="C148" s="18" t="s">
        <v>208</v>
      </c>
      <c r="D148" s="18">
        <v>0.2</v>
      </c>
      <c r="E148" s="19">
        <v>43102.35555555556</v>
      </c>
      <c r="F148" s="18" t="s">
        <v>81</v>
      </c>
      <c r="G148" s="18"/>
      <c r="H148" s="18" t="s">
        <v>92</v>
      </c>
      <c r="I148" s="18" t="s">
        <v>81</v>
      </c>
      <c r="J148" s="18"/>
      <c r="K148" s="20"/>
      <c r="L148" s="20"/>
      <c r="M148" s="18"/>
      <c r="N148" s="18"/>
    </row>
    <row r="149">
      <c r="A149" s="17" t="str">
        <f t="shared" si="1"/>
        <v>PD-1525</v>
      </c>
      <c r="B149" s="18" t="s">
        <v>197</v>
      </c>
      <c r="C149" s="18" t="s">
        <v>198</v>
      </c>
      <c r="D149" s="18">
        <v>3.316666667</v>
      </c>
      <c r="E149" s="19">
        <v>43102.385416666664</v>
      </c>
      <c r="F149" s="18" t="s">
        <v>81</v>
      </c>
      <c r="G149" s="18"/>
      <c r="H149" s="18"/>
      <c r="I149" s="18" t="s">
        <v>81</v>
      </c>
      <c r="J149" s="18"/>
      <c r="K149" s="20"/>
      <c r="L149" s="20"/>
      <c r="M149" s="18"/>
      <c r="N149" s="18"/>
    </row>
    <row r="150">
      <c r="A150" s="17" t="str">
        <f t="shared" si="1"/>
        <v>IOP-781</v>
      </c>
      <c r="B150" s="18" t="s">
        <v>209</v>
      </c>
      <c r="C150" s="18" t="s">
        <v>210</v>
      </c>
      <c r="D150" s="18">
        <v>0.083333333</v>
      </c>
      <c r="E150" s="19">
        <v>43102.54583333333</v>
      </c>
      <c r="F150" s="18" t="s">
        <v>81</v>
      </c>
      <c r="G150" s="18"/>
      <c r="H150" s="18"/>
      <c r="I150" s="18" t="s">
        <v>142</v>
      </c>
      <c r="J150" s="18"/>
      <c r="K150" s="20"/>
      <c r="L150" s="20"/>
      <c r="M150" s="18"/>
      <c r="N150" s="18"/>
    </row>
    <row r="151">
      <c r="A151" s="17" t="str">
        <f t="shared" si="1"/>
        <v>PD-1440</v>
      </c>
      <c r="B151" s="18" t="s">
        <v>158</v>
      </c>
      <c r="C151" s="18" t="s">
        <v>159</v>
      </c>
      <c r="D151" s="18">
        <v>2.05</v>
      </c>
      <c r="E151" s="19">
        <v>43102.549305555556</v>
      </c>
      <c r="F151" s="18" t="s">
        <v>81</v>
      </c>
      <c r="G151" s="18"/>
      <c r="H151" s="18"/>
      <c r="I151" s="18" t="s">
        <v>81</v>
      </c>
      <c r="J151" s="18"/>
      <c r="K151" s="20"/>
      <c r="L151" s="20"/>
      <c r="M151" s="18"/>
      <c r="N151" s="18"/>
    </row>
    <row r="152">
      <c r="A152" s="17" t="str">
        <f t="shared" si="1"/>
        <v>PD-1398</v>
      </c>
      <c r="B152" s="18" t="s">
        <v>79</v>
      </c>
      <c r="C152" s="18" t="s">
        <v>80</v>
      </c>
      <c r="D152" s="18">
        <v>0.1</v>
      </c>
      <c r="E152" s="19">
        <v>43105.345138888886</v>
      </c>
      <c r="F152" s="18" t="s">
        <v>81</v>
      </c>
      <c r="G152" s="18"/>
      <c r="H152" s="18"/>
      <c r="I152" s="18" t="s">
        <v>81</v>
      </c>
      <c r="J152" s="18"/>
      <c r="K152" s="20"/>
      <c r="L152" s="20"/>
      <c r="M152" s="18"/>
      <c r="N152" s="18"/>
    </row>
    <row r="153">
      <c r="A153" s="17" t="str">
        <f t="shared" si="1"/>
        <v>PD-1399</v>
      </c>
      <c r="B153" s="18" t="s">
        <v>82</v>
      </c>
      <c r="C153" s="18" t="s">
        <v>83</v>
      </c>
      <c r="D153" s="18">
        <v>0.2</v>
      </c>
      <c r="E153" s="19">
        <v>43105.34930555556</v>
      </c>
      <c r="F153" s="18" t="s">
        <v>81</v>
      </c>
      <c r="G153" s="18"/>
      <c r="H153" s="18"/>
      <c r="I153" s="18" t="s">
        <v>81</v>
      </c>
      <c r="J153" s="18"/>
      <c r="K153" s="20"/>
      <c r="L153" s="20"/>
      <c r="M153" s="18"/>
      <c r="N153" s="18"/>
    </row>
    <row r="154">
      <c r="A154" s="17" t="str">
        <f t="shared" si="1"/>
        <v>PD-1400</v>
      </c>
      <c r="B154" s="18" t="s">
        <v>84</v>
      </c>
      <c r="C154" s="18" t="s">
        <v>85</v>
      </c>
      <c r="D154" s="18">
        <v>0.216666667</v>
      </c>
      <c r="E154" s="19">
        <v>43105.35763888889</v>
      </c>
      <c r="F154" s="18" t="s">
        <v>81</v>
      </c>
      <c r="G154" s="18"/>
      <c r="H154" s="18"/>
      <c r="I154" s="18" t="s">
        <v>81</v>
      </c>
      <c r="J154" s="18"/>
      <c r="K154" s="20"/>
      <c r="L154" s="20"/>
      <c r="M154" s="18"/>
      <c r="N154" s="18"/>
    </row>
    <row r="155">
      <c r="A155" s="17" t="str">
        <f t="shared" si="1"/>
        <v>PD-1538</v>
      </c>
      <c r="B155" s="18" t="s">
        <v>211</v>
      </c>
      <c r="C155" s="18" t="s">
        <v>212</v>
      </c>
      <c r="D155" s="18">
        <v>0.25</v>
      </c>
      <c r="E155" s="19">
        <v>43105.36666666667</v>
      </c>
      <c r="F155" s="18" t="s">
        <v>81</v>
      </c>
      <c r="G155" s="18"/>
      <c r="H155" s="18" t="s">
        <v>213</v>
      </c>
      <c r="I155" s="18" t="s">
        <v>81</v>
      </c>
      <c r="J155" s="18"/>
      <c r="K155" s="20"/>
      <c r="L155" s="20"/>
      <c r="M155" s="18"/>
      <c r="N155" s="18"/>
    </row>
    <row r="156">
      <c r="A156" s="17" t="str">
        <f t="shared" si="1"/>
        <v>PD-1512</v>
      </c>
      <c r="B156" s="18" t="s">
        <v>126</v>
      </c>
      <c r="C156" s="18" t="s">
        <v>127</v>
      </c>
      <c r="D156" s="18">
        <v>1.233333333</v>
      </c>
      <c r="E156" s="19">
        <v>43105.37708333333</v>
      </c>
      <c r="F156" s="18" t="s">
        <v>81</v>
      </c>
      <c r="G156" s="18"/>
      <c r="H156" s="18" t="s">
        <v>96</v>
      </c>
      <c r="I156" s="18" t="s">
        <v>81</v>
      </c>
      <c r="J156" s="18"/>
      <c r="K156" s="20"/>
      <c r="L156" s="20"/>
      <c r="M156" s="18"/>
      <c r="N156" s="18"/>
    </row>
    <row r="157">
      <c r="A157" s="17" t="str">
        <f t="shared" si="1"/>
        <v>PD-1461</v>
      </c>
      <c r="B157" s="18" t="s">
        <v>199</v>
      </c>
      <c r="C157" s="18" t="s">
        <v>200</v>
      </c>
      <c r="D157" s="18">
        <v>0.383333333</v>
      </c>
      <c r="E157" s="19">
        <v>43105.42847222222</v>
      </c>
      <c r="F157" s="18" t="s">
        <v>81</v>
      </c>
      <c r="G157" s="18"/>
      <c r="H157" s="18"/>
      <c r="I157" s="18" t="s">
        <v>81</v>
      </c>
      <c r="J157" s="18"/>
      <c r="K157" s="20"/>
      <c r="L157" s="20"/>
      <c r="M157" s="18"/>
      <c r="N157" s="18"/>
    </row>
    <row r="158">
      <c r="A158" s="17" t="str">
        <f t="shared" si="1"/>
        <v>PD-1534</v>
      </c>
      <c r="B158" s="18" t="s">
        <v>214</v>
      </c>
      <c r="C158" s="18" t="s">
        <v>215</v>
      </c>
      <c r="D158" s="18">
        <v>0.2</v>
      </c>
      <c r="E158" s="19">
        <v>43105.444444444445</v>
      </c>
      <c r="F158" s="18" t="s">
        <v>81</v>
      </c>
      <c r="G158" s="18"/>
      <c r="H158" s="18"/>
      <c r="I158" s="18" t="s">
        <v>81</v>
      </c>
      <c r="J158" s="18"/>
      <c r="K158" s="20"/>
      <c r="L158" s="20"/>
      <c r="M158" s="18"/>
      <c r="N158" s="18"/>
    </row>
    <row r="159">
      <c r="A159" s="17" t="str">
        <f t="shared" si="1"/>
        <v>PD-1461</v>
      </c>
      <c r="B159" s="18" t="s">
        <v>199</v>
      </c>
      <c r="C159" s="18" t="s">
        <v>200</v>
      </c>
      <c r="D159" s="18">
        <v>0.916666667</v>
      </c>
      <c r="E159" s="19">
        <v>43105.45277777778</v>
      </c>
      <c r="F159" s="18" t="s">
        <v>81</v>
      </c>
      <c r="G159" s="18"/>
      <c r="H159" s="18"/>
      <c r="I159" s="18" t="s">
        <v>81</v>
      </c>
      <c r="J159" s="18"/>
      <c r="K159" s="20"/>
      <c r="L159" s="20"/>
      <c r="M159" s="18"/>
      <c r="N159" s="18"/>
    </row>
    <row r="160">
      <c r="A160" s="17" t="str">
        <f t="shared" si="1"/>
        <v>PD-1538</v>
      </c>
      <c r="B160" s="18" t="s">
        <v>211</v>
      </c>
      <c r="C160" s="18" t="s">
        <v>212</v>
      </c>
      <c r="D160" s="18">
        <v>0.116666667</v>
      </c>
      <c r="E160" s="19">
        <v>43105.49097222222</v>
      </c>
      <c r="F160" s="18" t="s">
        <v>81</v>
      </c>
      <c r="G160" s="18"/>
      <c r="H160" s="18" t="s">
        <v>213</v>
      </c>
      <c r="I160" s="18" t="s">
        <v>81</v>
      </c>
      <c r="J160" s="18"/>
      <c r="K160" s="20"/>
      <c r="L160" s="20"/>
      <c r="M160" s="18"/>
      <c r="N160" s="18"/>
    </row>
    <row r="161">
      <c r="A161" s="17" t="str">
        <f t="shared" si="1"/>
        <v>PD-1537</v>
      </c>
      <c r="B161" s="18" t="s">
        <v>203</v>
      </c>
      <c r="C161" s="18" t="s">
        <v>204</v>
      </c>
      <c r="D161" s="18">
        <v>0.133333333</v>
      </c>
      <c r="E161" s="19">
        <v>43105.54791666667</v>
      </c>
      <c r="F161" s="18" t="s">
        <v>81</v>
      </c>
      <c r="G161" s="18"/>
      <c r="H161" s="18" t="s">
        <v>96</v>
      </c>
      <c r="I161" s="18" t="s">
        <v>81</v>
      </c>
      <c r="J161" s="18"/>
      <c r="K161" s="20"/>
      <c r="L161" s="20"/>
      <c r="M161" s="18"/>
      <c r="N161" s="18"/>
    </row>
    <row r="162">
      <c r="A162" s="17" t="str">
        <f t="shared" si="1"/>
        <v>PD-1512</v>
      </c>
      <c r="B162" s="18" t="s">
        <v>126</v>
      </c>
      <c r="C162" s="18" t="s">
        <v>127</v>
      </c>
      <c r="D162" s="18">
        <v>1.316666667</v>
      </c>
      <c r="E162" s="19">
        <v>43105.55347222222</v>
      </c>
      <c r="F162" s="18" t="s">
        <v>81</v>
      </c>
      <c r="G162" s="18"/>
      <c r="H162" s="18" t="s">
        <v>96</v>
      </c>
      <c r="I162" s="18" t="s">
        <v>81</v>
      </c>
      <c r="J162" s="18"/>
      <c r="K162" s="20"/>
      <c r="L162" s="20"/>
      <c r="M162" s="18"/>
      <c r="N162" s="18"/>
    </row>
    <row r="163">
      <c r="A163" s="17" t="str">
        <f t="shared" si="1"/>
        <v>PD-1537</v>
      </c>
      <c r="B163" s="18" t="s">
        <v>203</v>
      </c>
      <c r="C163" s="18" t="s">
        <v>204</v>
      </c>
      <c r="D163" s="18">
        <v>1.1</v>
      </c>
      <c r="E163" s="19">
        <v>43105.60833333333</v>
      </c>
      <c r="F163" s="18" t="s">
        <v>81</v>
      </c>
      <c r="G163" s="18"/>
      <c r="H163" s="18" t="s">
        <v>96</v>
      </c>
      <c r="I163" s="18" t="s">
        <v>81</v>
      </c>
      <c r="J163" s="18"/>
      <c r="K163" s="20"/>
      <c r="L163" s="20"/>
      <c r="M163" s="18"/>
      <c r="N163" s="18"/>
    </row>
    <row r="164">
      <c r="A164" s="17" t="str">
        <f t="shared" si="1"/>
        <v>PD-1521</v>
      </c>
      <c r="B164" s="18" t="s">
        <v>111</v>
      </c>
      <c r="C164" s="18" t="s">
        <v>112</v>
      </c>
      <c r="D164" s="18">
        <v>1.083333333</v>
      </c>
      <c r="E164" s="19">
        <v>43105.65416666667</v>
      </c>
      <c r="F164" s="18" t="s">
        <v>81</v>
      </c>
      <c r="G164" s="18"/>
      <c r="H164" s="18" t="s">
        <v>113</v>
      </c>
      <c r="I164" s="18" t="s">
        <v>93</v>
      </c>
      <c r="J164" s="18"/>
      <c r="K164" s="20"/>
      <c r="L164" s="20"/>
      <c r="M164" s="18"/>
      <c r="N164" s="18"/>
    </row>
    <row r="165">
      <c r="A165" s="17" t="str">
        <f t="shared" si="1"/>
        <v>IOP-22</v>
      </c>
      <c r="B165" s="18" t="s">
        <v>216</v>
      </c>
      <c r="C165" s="18" t="s">
        <v>217</v>
      </c>
      <c r="D165" s="18">
        <v>1.0</v>
      </c>
      <c r="E165" s="19">
        <v>43108.49930555555</v>
      </c>
      <c r="F165" s="18" t="s">
        <v>77</v>
      </c>
      <c r="G165" s="18"/>
      <c r="H165" s="18"/>
      <c r="I165" s="18" t="s">
        <v>190</v>
      </c>
      <c r="J165" s="18"/>
      <c r="K165" s="20"/>
      <c r="L165" s="20"/>
      <c r="M165" s="18"/>
      <c r="N165" s="18"/>
    </row>
    <row r="166">
      <c r="A166" s="17" t="str">
        <f t="shared" si="1"/>
        <v>PD-1398</v>
      </c>
      <c r="B166" s="18" t="s">
        <v>79</v>
      </c>
      <c r="C166" s="18" t="s">
        <v>80</v>
      </c>
      <c r="D166" s="18">
        <v>0.066666667</v>
      </c>
      <c r="E166" s="19">
        <v>43108.342361111114</v>
      </c>
      <c r="F166" s="18" t="s">
        <v>81</v>
      </c>
      <c r="G166" s="18"/>
      <c r="H166" s="18"/>
      <c r="I166" s="18" t="s">
        <v>81</v>
      </c>
      <c r="J166" s="18"/>
      <c r="K166" s="20"/>
      <c r="L166" s="20"/>
      <c r="M166" s="18"/>
      <c r="N166" s="18"/>
    </row>
    <row r="167">
      <c r="A167" s="17" t="str">
        <f t="shared" si="1"/>
        <v>PD-1399</v>
      </c>
      <c r="B167" s="18" t="s">
        <v>82</v>
      </c>
      <c r="C167" s="18" t="s">
        <v>83</v>
      </c>
      <c r="D167" s="18">
        <v>0.183333333</v>
      </c>
      <c r="E167" s="19">
        <v>43108.345138888886</v>
      </c>
      <c r="F167" s="18" t="s">
        <v>81</v>
      </c>
      <c r="G167" s="18"/>
      <c r="H167" s="18"/>
      <c r="I167" s="18" t="s">
        <v>81</v>
      </c>
      <c r="J167" s="18"/>
      <c r="K167" s="20"/>
      <c r="L167" s="20"/>
      <c r="M167" s="18"/>
      <c r="N167" s="18"/>
    </row>
    <row r="168">
      <c r="A168" s="17" t="str">
        <f t="shared" si="1"/>
        <v>PD-1400</v>
      </c>
      <c r="B168" s="18" t="s">
        <v>84</v>
      </c>
      <c r="C168" s="18" t="s">
        <v>85</v>
      </c>
      <c r="D168" s="18">
        <v>0.266666667</v>
      </c>
      <c r="E168" s="19">
        <v>43108.35277777778</v>
      </c>
      <c r="F168" s="18" t="s">
        <v>81</v>
      </c>
      <c r="G168" s="18"/>
      <c r="H168" s="18"/>
      <c r="I168" s="18" t="s">
        <v>81</v>
      </c>
      <c r="J168" s="18"/>
      <c r="K168" s="20"/>
      <c r="L168" s="20"/>
      <c r="M168" s="18"/>
      <c r="N168" s="18"/>
    </row>
    <row r="169">
      <c r="A169" s="17" t="str">
        <f t="shared" si="1"/>
        <v>PD-1523</v>
      </c>
      <c r="B169" s="18" t="s">
        <v>218</v>
      </c>
      <c r="C169" s="18" t="s">
        <v>219</v>
      </c>
      <c r="D169" s="18">
        <v>0.116666667</v>
      </c>
      <c r="E169" s="19">
        <v>43108.36388888889</v>
      </c>
      <c r="F169" s="18" t="s">
        <v>81</v>
      </c>
      <c r="G169" s="18"/>
      <c r="H169" s="18"/>
      <c r="I169" s="18" t="s">
        <v>81</v>
      </c>
      <c r="J169" s="18"/>
      <c r="K169" s="20"/>
      <c r="L169" s="20"/>
      <c r="M169" s="18"/>
      <c r="N169" s="18"/>
    </row>
    <row r="170">
      <c r="A170" s="17" t="str">
        <f t="shared" si="1"/>
        <v>PD-1461</v>
      </c>
      <c r="B170" s="18" t="s">
        <v>199</v>
      </c>
      <c r="C170" s="18" t="s">
        <v>200</v>
      </c>
      <c r="D170" s="18">
        <v>2.6</v>
      </c>
      <c r="E170" s="19">
        <v>43108.36875</v>
      </c>
      <c r="F170" s="18" t="s">
        <v>81</v>
      </c>
      <c r="G170" s="18"/>
      <c r="H170" s="18"/>
      <c r="I170" s="18" t="s">
        <v>81</v>
      </c>
      <c r="J170" s="18"/>
      <c r="K170" s="20"/>
      <c r="L170" s="20"/>
      <c r="M170" s="18"/>
      <c r="N170" s="18"/>
    </row>
    <row r="171">
      <c r="A171" s="17" t="str">
        <f t="shared" si="1"/>
        <v>PD-1511</v>
      </c>
      <c r="B171" s="18" t="s">
        <v>220</v>
      </c>
      <c r="C171" s="18" t="s">
        <v>221</v>
      </c>
      <c r="D171" s="18">
        <v>0.266666667</v>
      </c>
      <c r="E171" s="19">
        <v>43108.47708333333</v>
      </c>
      <c r="F171" s="18" t="s">
        <v>81</v>
      </c>
      <c r="G171" s="18"/>
      <c r="H171" s="18" t="s">
        <v>96</v>
      </c>
      <c r="I171" s="18" t="s">
        <v>81</v>
      </c>
      <c r="J171" s="18"/>
      <c r="K171" s="20"/>
      <c r="L171" s="20"/>
      <c r="M171" s="18"/>
      <c r="N171" s="18"/>
    </row>
    <row r="172">
      <c r="A172" s="17" t="str">
        <f t="shared" si="1"/>
        <v>PD-1539</v>
      </c>
      <c r="B172" s="18" t="s">
        <v>222</v>
      </c>
      <c r="C172" s="18" t="s">
        <v>223</v>
      </c>
      <c r="D172" s="18">
        <v>0.15</v>
      </c>
      <c r="E172" s="19">
        <v>43108.48819444444</v>
      </c>
      <c r="F172" s="18" t="s">
        <v>81</v>
      </c>
      <c r="G172" s="18"/>
      <c r="H172" s="18" t="s">
        <v>167</v>
      </c>
      <c r="I172" s="18" t="s">
        <v>81</v>
      </c>
      <c r="J172" s="18"/>
      <c r="K172" s="20"/>
      <c r="L172" s="20"/>
      <c r="M172" s="18"/>
      <c r="N172" s="18"/>
    </row>
    <row r="173">
      <c r="A173" s="17" t="str">
        <f t="shared" si="1"/>
        <v>PD-1539</v>
      </c>
      <c r="B173" s="18" t="s">
        <v>222</v>
      </c>
      <c r="C173" s="18" t="s">
        <v>223</v>
      </c>
      <c r="D173" s="18">
        <v>0.05</v>
      </c>
      <c r="E173" s="19">
        <v>43108.52013888889</v>
      </c>
      <c r="F173" s="18" t="s">
        <v>81</v>
      </c>
      <c r="G173" s="18"/>
      <c r="H173" s="18" t="s">
        <v>167</v>
      </c>
      <c r="I173" s="18" t="s">
        <v>81</v>
      </c>
      <c r="J173" s="18"/>
      <c r="K173" s="20"/>
      <c r="L173" s="20"/>
      <c r="M173" s="18"/>
      <c r="N173" s="18"/>
    </row>
    <row r="174">
      <c r="A174" s="17" t="str">
        <f t="shared" si="1"/>
        <v>PD-1540</v>
      </c>
      <c r="B174" s="18" t="s">
        <v>165</v>
      </c>
      <c r="C174" s="18" t="s">
        <v>166</v>
      </c>
      <c r="D174" s="18">
        <v>0.183333333</v>
      </c>
      <c r="E174" s="19">
        <v>43108.52222222222</v>
      </c>
      <c r="F174" s="18" t="s">
        <v>81</v>
      </c>
      <c r="G174" s="18"/>
      <c r="H174" s="18" t="s">
        <v>167</v>
      </c>
      <c r="I174" s="18" t="s">
        <v>78</v>
      </c>
      <c r="J174" s="18"/>
      <c r="K174" s="20"/>
      <c r="L174" s="20"/>
      <c r="M174" s="18"/>
      <c r="N174" s="18"/>
    </row>
    <row r="175">
      <c r="A175" s="17" t="str">
        <f t="shared" si="1"/>
        <v>PD-1537</v>
      </c>
      <c r="B175" s="18" t="s">
        <v>203</v>
      </c>
      <c r="C175" s="18" t="s">
        <v>204</v>
      </c>
      <c r="D175" s="18">
        <v>1.016666667</v>
      </c>
      <c r="E175" s="19">
        <v>43108.529861111114</v>
      </c>
      <c r="F175" s="18" t="s">
        <v>81</v>
      </c>
      <c r="G175" s="18"/>
      <c r="H175" s="18" t="s">
        <v>96</v>
      </c>
      <c r="I175" s="18" t="s">
        <v>81</v>
      </c>
      <c r="J175" s="18"/>
      <c r="K175" s="20"/>
      <c r="L175" s="20"/>
      <c r="M175" s="18"/>
      <c r="N175" s="18"/>
    </row>
    <row r="176">
      <c r="A176" s="17" t="str">
        <f t="shared" si="1"/>
        <v>PD-1521</v>
      </c>
      <c r="B176" s="18" t="s">
        <v>111</v>
      </c>
      <c r="C176" s="18" t="s">
        <v>112</v>
      </c>
      <c r="D176" s="18">
        <v>3.2</v>
      </c>
      <c r="E176" s="19">
        <v>43108.572222222225</v>
      </c>
      <c r="F176" s="18" t="s">
        <v>81</v>
      </c>
      <c r="G176" s="18"/>
      <c r="H176" s="18" t="s">
        <v>113</v>
      </c>
      <c r="I176" s="18" t="s">
        <v>93</v>
      </c>
      <c r="J176" s="18"/>
      <c r="K176" s="20"/>
      <c r="L176" s="20"/>
      <c r="M176" s="18"/>
      <c r="N176" s="18"/>
    </row>
    <row r="177">
      <c r="A177" s="17" t="str">
        <f t="shared" si="1"/>
        <v>IOP-42</v>
      </c>
      <c r="B177" s="18" t="s">
        <v>188</v>
      </c>
      <c r="C177" s="18" t="s">
        <v>189</v>
      </c>
      <c r="D177" s="18">
        <v>0.75</v>
      </c>
      <c r="E177" s="19">
        <v>43109.77013888889</v>
      </c>
      <c r="F177" s="18" t="s">
        <v>77</v>
      </c>
      <c r="G177" s="18"/>
      <c r="H177" s="18"/>
      <c r="I177" s="18" t="s">
        <v>190</v>
      </c>
      <c r="J177" s="18"/>
      <c r="K177" s="20"/>
      <c r="L177" s="20"/>
      <c r="M177" s="18"/>
      <c r="N177" s="18"/>
    </row>
    <row r="178">
      <c r="A178" s="17" t="str">
        <f t="shared" si="1"/>
        <v>IOP-490</v>
      </c>
      <c r="B178" s="18" t="s">
        <v>224</v>
      </c>
      <c r="C178" s="18" t="s">
        <v>225</v>
      </c>
      <c r="D178" s="18">
        <v>0.25</v>
      </c>
      <c r="E178" s="19">
        <v>43109.77013888889</v>
      </c>
      <c r="F178" s="18" t="s">
        <v>77</v>
      </c>
      <c r="G178" s="18"/>
      <c r="H178" s="18"/>
      <c r="I178" s="18" t="s">
        <v>77</v>
      </c>
      <c r="J178" s="18"/>
      <c r="K178" s="20"/>
      <c r="L178" s="20"/>
      <c r="M178" s="18"/>
      <c r="N178" s="18"/>
    </row>
    <row r="179">
      <c r="A179" s="17" t="str">
        <f t="shared" si="1"/>
        <v>IOP-41</v>
      </c>
      <c r="B179" s="18" t="s">
        <v>193</v>
      </c>
      <c r="C179" s="18" t="s">
        <v>194</v>
      </c>
      <c r="D179" s="18">
        <v>0.083333333</v>
      </c>
      <c r="E179" s="19">
        <v>43109.770833333336</v>
      </c>
      <c r="F179" s="18" t="s">
        <v>77</v>
      </c>
      <c r="G179" s="18"/>
      <c r="H179" s="18"/>
      <c r="I179" s="18" t="s">
        <v>190</v>
      </c>
      <c r="J179" s="18"/>
      <c r="K179" s="20"/>
      <c r="L179" s="20"/>
      <c r="M179" s="18"/>
      <c r="N179" s="18"/>
    </row>
    <row r="180">
      <c r="A180" s="17" t="str">
        <f t="shared" si="1"/>
        <v>PD-1399</v>
      </c>
      <c r="B180" s="18" t="s">
        <v>82</v>
      </c>
      <c r="C180" s="18" t="s">
        <v>83</v>
      </c>
      <c r="D180" s="18">
        <v>0.15</v>
      </c>
      <c r="E180" s="19">
        <v>43109.35555555556</v>
      </c>
      <c r="F180" s="18" t="s">
        <v>81</v>
      </c>
      <c r="G180" s="18"/>
      <c r="H180" s="18"/>
      <c r="I180" s="18" t="s">
        <v>81</v>
      </c>
      <c r="J180" s="18"/>
      <c r="K180" s="20"/>
      <c r="L180" s="20"/>
      <c r="M180" s="18"/>
      <c r="N180" s="18"/>
    </row>
    <row r="181">
      <c r="A181" s="17" t="str">
        <f t="shared" si="1"/>
        <v>PD-1400</v>
      </c>
      <c r="B181" s="18" t="s">
        <v>84</v>
      </c>
      <c r="C181" s="18" t="s">
        <v>85</v>
      </c>
      <c r="D181" s="18">
        <v>0.183333333</v>
      </c>
      <c r="E181" s="19">
        <v>43109.361805555556</v>
      </c>
      <c r="F181" s="18" t="s">
        <v>81</v>
      </c>
      <c r="G181" s="18"/>
      <c r="H181" s="18"/>
      <c r="I181" s="18" t="s">
        <v>81</v>
      </c>
      <c r="J181" s="18"/>
      <c r="K181" s="20"/>
      <c r="L181" s="20"/>
      <c r="M181" s="18"/>
      <c r="N181" s="18"/>
    </row>
    <row r="182">
      <c r="A182" s="17" t="str">
        <f t="shared" si="1"/>
        <v>PD-1511</v>
      </c>
      <c r="B182" s="18" t="s">
        <v>220</v>
      </c>
      <c r="C182" s="18" t="s">
        <v>221</v>
      </c>
      <c r="D182" s="18">
        <v>0.233333333</v>
      </c>
      <c r="E182" s="19">
        <v>43109.36944444444</v>
      </c>
      <c r="F182" s="18" t="s">
        <v>81</v>
      </c>
      <c r="G182" s="18"/>
      <c r="H182" s="18" t="s">
        <v>96</v>
      </c>
      <c r="I182" s="18" t="s">
        <v>81</v>
      </c>
      <c r="J182" s="18"/>
      <c r="K182" s="20"/>
      <c r="L182" s="20"/>
      <c r="M182" s="18"/>
      <c r="N182" s="18"/>
    </row>
    <row r="183">
      <c r="A183" s="17" t="str">
        <f t="shared" si="1"/>
        <v>PD-1521</v>
      </c>
      <c r="B183" s="18" t="s">
        <v>111</v>
      </c>
      <c r="C183" s="18" t="s">
        <v>112</v>
      </c>
      <c r="D183" s="18">
        <v>0.2</v>
      </c>
      <c r="E183" s="19">
        <v>43109.379166666666</v>
      </c>
      <c r="F183" s="18" t="s">
        <v>81</v>
      </c>
      <c r="G183" s="18"/>
      <c r="H183" s="18" t="s">
        <v>113</v>
      </c>
      <c r="I183" s="18" t="s">
        <v>93</v>
      </c>
      <c r="J183" s="18"/>
      <c r="K183" s="20"/>
      <c r="L183" s="20"/>
      <c r="M183" s="18"/>
      <c r="N183" s="18"/>
    </row>
    <row r="184">
      <c r="A184" s="17" t="str">
        <f t="shared" si="1"/>
        <v>PD-1511</v>
      </c>
      <c r="B184" s="18" t="s">
        <v>220</v>
      </c>
      <c r="C184" s="18" t="s">
        <v>221</v>
      </c>
      <c r="D184" s="18">
        <v>0.5</v>
      </c>
      <c r="E184" s="19">
        <v>43109.3875</v>
      </c>
      <c r="F184" s="18" t="s">
        <v>81</v>
      </c>
      <c r="G184" s="18"/>
      <c r="H184" s="18" t="s">
        <v>96</v>
      </c>
      <c r="I184" s="18" t="s">
        <v>81</v>
      </c>
      <c r="J184" s="18"/>
      <c r="K184" s="20"/>
      <c r="L184" s="20"/>
      <c r="M184" s="18"/>
      <c r="N184" s="18"/>
    </row>
    <row r="185">
      <c r="A185" s="17" t="str">
        <f t="shared" si="1"/>
        <v>PD-1521</v>
      </c>
      <c r="B185" s="18" t="s">
        <v>111</v>
      </c>
      <c r="C185" s="18" t="s">
        <v>112</v>
      </c>
      <c r="D185" s="18">
        <v>0.4</v>
      </c>
      <c r="E185" s="19">
        <v>43109.40833333333</v>
      </c>
      <c r="F185" s="18" t="s">
        <v>81</v>
      </c>
      <c r="G185" s="18"/>
      <c r="H185" s="18" t="s">
        <v>113</v>
      </c>
      <c r="I185" s="18" t="s">
        <v>93</v>
      </c>
      <c r="J185" s="18"/>
      <c r="K185" s="20"/>
      <c r="L185" s="20"/>
      <c r="M185" s="18"/>
      <c r="N185" s="18"/>
    </row>
    <row r="186">
      <c r="A186" s="17" t="str">
        <f t="shared" si="1"/>
        <v>PD-1537</v>
      </c>
      <c r="B186" s="18" t="s">
        <v>203</v>
      </c>
      <c r="C186" s="18" t="s">
        <v>204</v>
      </c>
      <c r="D186" s="18">
        <v>1.283333333</v>
      </c>
      <c r="E186" s="19">
        <v>43109.425</v>
      </c>
      <c r="F186" s="18" t="s">
        <v>81</v>
      </c>
      <c r="G186" s="18"/>
      <c r="H186" s="18" t="s">
        <v>96</v>
      </c>
      <c r="I186" s="18" t="s">
        <v>81</v>
      </c>
      <c r="J186" s="18"/>
      <c r="K186" s="20"/>
      <c r="L186" s="20"/>
      <c r="M186" s="18"/>
      <c r="N186" s="18"/>
    </row>
    <row r="187">
      <c r="A187" s="17" t="str">
        <f t="shared" si="1"/>
        <v>PD-1054</v>
      </c>
      <c r="B187" s="18" t="s">
        <v>226</v>
      </c>
      <c r="C187" s="18" t="s">
        <v>227</v>
      </c>
      <c r="D187" s="18">
        <v>0.333333333</v>
      </c>
      <c r="E187" s="19">
        <v>43109.478472222225</v>
      </c>
      <c r="F187" s="18" t="s">
        <v>81</v>
      </c>
      <c r="G187" s="18"/>
      <c r="H187" s="18"/>
      <c r="I187" s="18" t="s">
        <v>77</v>
      </c>
      <c r="J187" s="18"/>
      <c r="K187" s="20"/>
      <c r="L187" s="20"/>
      <c r="M187" s="18"/>
      <c r="N187" s="18"/>
    </row>
    <row r="188">
      <c r="A188" s="17" t="str">
        <f t="shared" si="1"/>
        <v>PD-1460</v>
      </c>
      <c r="B188" s="18" t="s">
        <v>228</v>
      </c>
      <c r="C188" s="18" t="s">
        <v>229</v>
      </c>
      <c r="D188" s="18">
        <v>0.2</v>
      </c>
      <c r="E188" s="19">
        <v>43109.49236111111</v>
      </c>
      <c r="F188" s="18" t="s">
        <v>81</v>
      </c>
      <c r="G188" s="18"/>
      <c r="H188" s="18"/>
      <c r="I188" s="18" t="s">
        <v>81</v>
      </c>
      <c r="J188" s="18"/>
      <c r="K188" s="20"/>
      <c r="L188" s="20"/>
      <c r="M188" s="18"/>
      <c r="N188" s="18"/>
    </row>
    <row r="189">
      <c r="A189" s="17" t="str">
        <f t="shared" si="1"/>
        <v>PD-1460</v>
      </c>
      <c r="B189" s="18" t="s">
        <v>228</v>
      </c>
      <c r="C189" s="18" t="s">
        <v>229</v>
      </c>
      <c r="D189" s="18">
        <v>0.116666667</v>
      </c>
      <c r="E189" s="19">
        <v>43109.53125</v>
      </c>
      <c r="F189" s="18" t="s">
        <v>81</v>
      </c>
      <c r="G189" s="18"/>
      <c r="H189" s="18"/>
      <c r="I189" s="18" t="s">
        <v>81</v>
      </c>
      <c r="J189" s="18"/>
      <c r="K189" s="20"/>
      <c r="L189" s="20"/>
      <c r="M189" s="18"/>
      <c r="N189" s="18"/>
    </row>
    <row r="190">
      <c r="A190" s="17" t="str">
        <f t="shared" si="1"/>
        <v>PD-1537</v>
      </c>
      <c r="B190" s="18" t="s">
        <v>203</v>
      </c>
      <c r="C190" s="18" t="s">
        <v>204</v>
      </c>
      <c r="D190" s="18">
        <v>0.116666667</v>
      </c>
      <c r="E190" s="19">
        <v>43109.53611111111</v>
      </c>
      <c r="F190" s="18" t="s">
        <v>81</v>
      </c>
      <c r="G190" s="18"/>
      <c r="H190" s="18" t="s">
        <v>96</v>
      </c>
      <c r="I190" s="18" t="s">
        <v>81</v>
      </c>
      <c r="J190" s="18"/>
      <c r="K190" s="20"/>
      <c r="L190" s="20"/>
      <c r="M190" s="18"/>
      <c r="N190" s="18"/>
    </row>
    <row r="191">
      <c r="A191" s="17" t="str">
        <f t="shared" si="1"/>
        <v>PD-1397</v>
      </c>
      <c r="B191" s="18" t="s">
        <v>230</v>
      </c>
      <c r="C191" s="18" t="s">
        <v>231</v>
      </c>
      <c r="D191" s="18">
        <v>0.133333333</v>
      </c>
      <c r="E191" s="19">
        <v>43109.540972222225</v>
      </c>
      <c r="F191" s="18" t="s">
        <v>81</v>
      </c>
      <c r="G191" s="18"/>
      <c r="H191" s="18"/>
      <c r="I191" s="18" t="s">
        <v>81</v>
      </c>
      <c r="J191" s="18"/>
      <c r="K191" s="20"/>
      <c r="L191" s="20"/>
      <c r="M191" s="18"/>
      <c r="N191" s="18"/>
    </row>
    <row r="192">
      <c r="A192" s="17" t="str">
        <f t="shared" si="1"/>
        <v>PD-1537</v>
      </c>
      <c r="B192" s="18" t="s">
        <v>203</v>
      </c>
      <c r="C192" s="18" t="s">
        <v>204</v>
      </c>
      <c r="D192" s="18">
        <v>0.75</v>
      </c>
      <c r="E192" s="19">
        <v>43109.54652777778</v>
      </c>
      <c r="F192" s="18" t="s">
        <v>81</v>
      </c>
      <c r="G192" s="18"/>
      <c r="H192" s="18" t="s">
        <v>96</v>
      </c>
      <c r="I192" s="18" t="s">
        <v>81</v>
      </c>
      <c r="J192" s="18"/>
      <c r="K192" s="20"/>
      <c r="L192" s="20"/>
      <c r="M192" s="18"/>
      <c r="N192" s="18"/>
    </row>
    <row r="193">
      <c r="A193" s="17" t="str">
        <f t="shared" si="1"/>
        <v>PD-1521</v>
      </c>
      <c r="B193" s="18" t="s">
        <v>111</v>
      </c>
      <c r="C193" s="18" t="s">
        <v>112</v>
      </c>
      <c r="D193" s="18">
        <v>0.516666667</v>
      </c>
      <c r="E193" s="19">
        <v>43109.57777777778</v>
      </c>
      <c r="F193" s="18" t="s">
        <v>81</v>
      </c>
      <c r="G193" s="18"/>
      <c r="H193" s="18" t="s">
        <v>113</v>
      </c>
      <c r="I193" s="18" t="s">
        <v>93</v>
      </c>
      <c r="J193" s="18"/>
      <c r="K193" s="20"/>
      <c r="L193" s="20"/>
      <c r="M193" s="18"/>
      <c r="N193" s="18"/>
    </row>
    <row r="194">
      <c r="A194" s="17" t="str">
        <f t="shared" si="1"/>
        <v>PD-1525</v>
      </c>
      <c r="B194" s="18" t="s">
        <v>197</v>
      </c>
      <c r="C194" s="18" t="s">
        <v>198</v>
      </c>
      <c r="D194" s="18">
        <v>2.7</v>
      </c>
      <c r="E194" s="19">
        <v>43109.59930555556</v>
      </c>
      <c r="F194" s="18" t="s">
        <v>81</v>
      </c>
      <c r="G194" s="18"/>
      <c r="H194" s="18"/>
      <c r="I194" s="18" t="s">
        <v>81</v>
      </c>
      <c r="J194" s="18"/>
      <c r="K194" s="20"/>
      <c r="L194" s="20"/>
      <c r="M194" s="18"/>
      <c r="N194" s="18"/>
    </row>
    <row r="195">
      <c r="A195" s="17" t="str">
        <f t="shared" si="1"/>
        <v>IOP-42</v>
      </c>
      <c r="B195" s="18" t="s">
        <v>188</v>
      </c>
      <c r="C195" s="18" t="s">
        <v>189</v>
      </c>
      <c r="D195" s="18">
        <v>0.5</v>
      </c>
      <c r="E195" s="19">
        <v>43110.691666666666</v>
      </c>
      <c r="F195" s="18" t="s">
        <v>77</v>
      </c>
      <c r="G195" s="18"/>
      <c r="H195" s="18"/>
      <c r="I195" s="18" t="s">
        <v>190</v>
      </c>
      <c r="J195" s="18"/>
      <c r="K195" s="20"/>
      <c r="L195" s="20"/>
      <c r="M195" s="18"/>
      <c r="N195" s="18"/>
    </row>
    <row r="196">
      <c r="A196" s="17" t="str">
        <f t="shared" si="1"/>
        <v>PD-1399</v>
      </c>
      <c r="B196" s="18" t="s">
        <v>82</v>
      </c>
      <c r="C196" s="18" t="s">
        <v>83</v>
      </c>
      <c r="D196" s="18">
        <v>0.15</v>
      </c>
      <c r="E196" s="19">
        <v>43110.35555555556</v>
      </c>
      <c r="F196" s="18" t="s">
        <v>81</v>
      </c>
      <c r="G196" s="18"/>
      <c r="H196" s="18"/>
      <c r="I196" s="18" t="s">
        <v>81</v>
      </c>
      <c r="J196" s="18"/>
      <c r="K196" s="20"/>
      <c r="L196" s="20"/>
      <c r="M196" s="18"/>
      <c r="N196" s="18"/>
    </row>
    <row r="197">
      <c r="A197" s="17" t="str">
        <f t="shared" si="1"/>
        <v>PD-1400</v>
      </c>
      <c r="B197" s="18" t="s">
        <v>84</v>
      </c>
      <c r="C197" s="18" t="s">
        <v>85</v>
      </c>
      <c r="D197" s="18">
        <v>0.233333333</v>
      </c>
      <c r="E197" s="19">
        <v>43110.361805555556</v>
      </c>
      <c r="F197" s="18" t="s">
        <v>81</v>
      </c>
      <c r="G197" s="18"/>
      <c r="H197" s="18"/>
      <c r="I197" s="18" t="s">
        <v>81</v>
      </c>
      <c r="J197" s="18"/>
      <c r="K197" s="20"/>
      <c r="L197" s="20"/>
      <c r="M197" s="18"/>
      <c r="N197" s="18"/>
    </row>
    <row r="198">
      <c r="A198" s="17" t="str">
        <f t="shared" si="1"/>
        <v>PD-1461</v>
      </c>
      <c r="B198" s="18" t="s">
        <v>199</v>
      </c>
      <c r="C198" s="18" t="s">
        <v>200</v>
      </c>
      <c r="D198" s="18">
        <v>0.383333333</v>
      </c>
      <c r="E198" s="19">
        <v>43110.37152777778</v>
      </c>
      <c r="F198" s="18" t="s">
        <v>81</v>
      </c>
      <c r="G198" s="18"/>
      <c r="H198" s="18"/>
      <c r="I198" s="18" t="s">
        <v>81</v>
      </c>
      <c r="J198" s="18"/>
      <c r="K198" s="20"/>
      <c r="L198" s="20"/>
      <c r="M198" s="18"/>
      <c r="N198" s="18"/>
    </row>
    <row r="199">
      <c r="A199" s="17" t="str">
        <f t="shared" si="1"/>
        <v>PD-1534</v>
      </c>
      <c r="B199" s="18" t="s">
        <v>214</v>
      </c>
      <c r="C199" s="18" t="s">
        <v>215</v>
      </c>
      <c r="D199" s="18">
        <v>0.85</v>
      </c>
      <c r="E199" s="19">
        <v>43110.3875</v>
      </c>
      <c r="F199" s="18" t="s">
        <v>81</v>
      </c>
      <c r="G199" s="18"/>
      <c r="H199" s="18"/>
      <c r="I199" s="18" t="s">
        <v>81</v>
      </c>
      <c r="J199" s="18"/>
      <c r="K199" s="20"/>
      <c r="L199" s="20"/>
      <c r="M199" s="18"/>
      <c r="N199" s="18"/>
    </row>
    <row r="200">
      <c r="A200" s="17" t="str">
        <f t="shared" si="1"/>
        <v>PD-1395</v>
      </c>
      <c r="B200" s="18" t="s">
        <v>138</v>
      </c>
      <c r="C200" s="18" t="s">
        <v>139</v>
      </c>
      <c r="D200" s="18">
        <v>0.8</v>
      </c>
      <c r="E200" s="19">
        <v>43110.42291666667</v>
      </c>
      <c r="F200" s="18" t="s">
        <v>81</v>
      </c>
      <c r="G200" s="18"/>
      <c r="H200" s="18" t="s">
        <v>101</v>
      </c>
      <c r="I200" s="18" t="s">
        <v>81</v>
      </c>
      <c r="J200" s="18"/>
      <c r="K200" s="20"/>
      <c r="L200" s="20"/>
      <c r="M200" s="18"/>
      <c r="N200" s="18"/>
    </row>
    <row r="201">
      <c r="A201" s="17" t="str">
        <f t="shared" si="1"/>
        <v>IOP-706</v>
      </c>
      <c r="B201" s="18" t="s">
        <v>232</v>
      </c>
      <c r="C201" s="18" t="s">
        <v>233</v>
      </c>
      <c r="D201" s="18">
        <v>0.416666667</v>
      </c>
      <c r="E201" s="19">
        <v>43110.45625</v>
      </c>
      <c r="F201" s="18" t="s">
        <v>81</v>
      </c>
      <c r="G201" s="18"/>
      <c r="H201" s="18" t="s">
        <v>234</v>
      </c>
      <c r="I201" s="18" t="s">
        <v>81</v>
      </c>
      <c r="J201" s="18"/>
      <c r="K201" s="20"/>
      <c r="L201" s="20"/>
      <c r="M201" s="18"/>
      <c r="N201" s="18"/>
    </row>
    <row r="202">
      <c r="A202" s="17" t="str">
        <f t="shared" si="1"/>
        <v>PD-1395</v>
      </c>
      <c r="B202" s="18" t="s">
        <v>138</v>
      </c>
      <c r="C202" s="18" t="s">
        <v>139</v>
      </c>
      <c r="D202" s="18">
        <v>0.6</v>
      </c>
      <c r="E202" s="19">
        <v>43110.47361111111</v>
      </c>
      <c r="F202" s="18" t="s">
        <v>81</v>
      </c>
      <c r="G202" s="18"/>
      <c r="H202" s="18" t="s">
        <v>101</v>
      </c>
      <c r="I202" s="18" t="s">
        <v>81</v>
      </c>
      <c r="J202" s="18"/>
      <c r="K202" s="20"/>
      <c r="L202" s="20"/>
      <c r="M202" s="18"/>
      <c r="N202" s="18"/>
    </row>
    <row r="203">
      <c r="A203" s="17" t="str">
        <f t="shared" si="1"/>
        <v>IOP-537</v>
      </c>
      <c r="B203" s="18" t="s">
        <v>133</v>
      </c>
      <c r="C203" s="18" t="s">
        <v>134</v>
      </c>
      <c r="D203" s="18">
        <v>0.816666667</v>
      </c>
      <c r="E203" s="19">
        <v>43110.498611111114</v>
      </c>
      <c r="F203" s="18" t="s">
        <v>81</v>
      </c>
      <c r="G203" s="18"/>
      <c r="H203" s="18"/>
      <c r="I203" s="18" t="s">
        <v>77</v>
      </c>
      <c r="J203" s="18"/>
      <c r="K203" s="20"/>
      <c r="L203" s="20"/>
      <c r="M203" s="18"/>
      <c r="N203" s="18"/>
    </row>
    <row r="204">
      <c r="A204" s="17" t="str">
        <f t="shared" si="1"/>
        <v>PD-1461</v>
      </c>
      <c r="B204" s="18" t="s">
        <v>199</v>
      </c>
      <c r="C204" s="18" t="s">
        <v>200</v>
      </c>
      <c r="D204" s="18">
        <v>0.25</v>
      </c>
      <c r="E204" s="19">
        <v>43110.55138888889</v>
      </c>
      <c r="F204" s="18" t="s">
        <v>81</v>
      </c>
      <c r="G204" s="18"/>
      <c r="H204" s="18"/>
      <c r="I204" s="18" t="s">
        <v>81</v>
      </c>
      <c r="J204" s="18"/>
      <c r="K204" s="20"/>
      <c r="L204" s="20"/>
      <c r="M204" s="18"/>
      <c r="N204" s="18"/>
    </row>
    <row r="205">
      <c r="A205" s="17" t="str">
        <f t="shared" si="1"/>
        <v>PD-1395</v>
      </c>
      <c r="B205" s="18" t="s">
        <v>138</v>
      </c>
      <c r="C205" s="18" t="s">
        <v>139</v>
      </c>
      <c r="D205" s="18">
        <v>0.266666667</v>
      </c>
      <c r="E205" s="19">
        <v>43110.56180555555</v>
      </c>
      <c r="F205" s="18" t="s">
        <v>81</v>
      </c>
      <c r="G205" s="18"/>
      <c r="H205" s="18" t="s">
        <v>101</v>
      </c>
      <c r="I205" s="18" t="s">
        <v>81</v>
      </c>
      <c r="J205" s="18"/>
      <c r="K205" s="20"/>
      <c r="L205" s="20"/>
      <c r="M205" s="18"/>
      <c r="N205" s="18"/>
    </row>
    <row r="206">
      <c r="A206" s="17" t="str">
        <f t="shared" si="1"/>
        <v>PD-1461</v>
      </c>
      <c r="B206" s="18" t="s">
        <v>199</v>
      </c>
      <c r="C206" s="18" t="s">
        <v>200</v>
      </c>
      <c r="D206" s="18">
        <v>2.216666667</v>
      </c>
      <c r="E206" s="19">
        <v>43110.572916666664</v>
      </c>
      <c r="F206" s="18" t="s">
        <v>81</v>
      </c>
      <c r="G206" s="18"/>
      <c r="H206" s="18"/>
      <c r="I206" s="18" t="s">
        <v>81</v>
      </c>
      <c r="J206" s="18"/>
      <c r="K206" s="20"/>
      <c r="L206" s="20"/>
      <c r="M206" s="18"/>
      <c r="N206" s="18"/>
    </row>
    <row r="207">
      <c r="A207" s="17" t="str">
        <f t="shared" si="1"/>
        <v>PD-1395</v>
      </c>
      <c r="B207" s="18" t="s">
        <v>138</v>
      </c>
      <c r="C207" s="18" t="s">
        <v>139</v>
      </c>
      <c r="D207" s="18">
        <v>0.5</v>
      </c>
      <c r="E207" s="19">
        <v>43110.68819444445</v>
      </c>
      <c r="F207" s="18" t="s">
        <v>81</v>
      </c>
      <c r="G207" s="18"/>
      <c r="H207" s="18" t="s">
        <v>101</v>
      </c>
      <c r="I207" s="18" t="s">
        <v>81</v>
      </c>
      <c r="J207" s="18"/>
      <c r="K207" s="20"/>
      <c r="L207" s="20"/>
      <c r="M207" s="18"/>
      <c r="N207" s="18"/>
    </row>
    <row r="208">
      <c r="A208" s="17" t="str">
        <f t="shared" si="1"/>
        <v>PD-1440</v>
      </c>
      <c r="B208" s="18" t="s">
        <v>158</v>
      </c>
      <c r="C208" s="18" t="s">
        <v>159</v>
      </c>
      <c r="D208" s="18">
        <v>0.3</v>
      </c>
      <c r="E208" s="19">
        <v>43139.0</v>
      </c>
      <c r="F208" s="18" t="s">
        <v>81</v>
      </c>
      <c r="G208" s="18"/>
      <c r="H208" s="18"/>
      <c r="I208" s="18" t="s">
        <v>81</v>
      </c>
      <c r="J208" s="18"/>
      <c r="K208" s="20"/>
      <c r="L208" s="20"/>
      <c r="M208" s="18"/>
      <c r="N208" s="18"/>
    </row>
    <row r="209">
      <c r="A209" s="17" t="str">
        <f t="shared" si="1"/>
        <v>PD-1399</v>
      </c>
      <c r="B209" s="18" t="s">
        <v>82</v>
      </c>
      <c r="C209" s="18" t="s">
        <v>83</v>
      </c>
      <c r="D209" s="18">
        <v>0.166666667</v>
      </c>
      <c r="E209" s="19">
        <v>43111.34097222222</v>
      </c>
      <c r="F209" s="18" t="s">
        <v>81</v>
      </c>
      <c r="G209" s="18"/>
      <c r="H209" s="18"/>
      <c r="I209" s="18" t="s">
        <v>81</v>
      </c>
      <c r="J209" s="18"/>
      <c r="K209" s="20"/>
      <c r="L209" s="20"/>
      <c r="M209" s="18"/>
      <c r="N209" s="18"/>
    </row>
    <row r="210">
      <c r="A210" s="17" t="str">
        <f t="shared" si="1"/>
        <v>PD-1400</v>
      </c>
      <c r="B210" s="18" t="s">
        <v>84</v>
      </c>
      <c r="C210" s="18" t="s">
        <v>85</v>
      </c>
      <c r="D210" s="18">
        <v>0.233333333</v>
      </c>
      <c r="E210" s="19">
        <v>43111.347916666666</v>
      </c>
      <c r="F210" s="18" t="s">
        <v>81</v>
      </c>
      <c r="G210" s="18"/>
      <c r="H210" s="18"/>
      <c r="I210" s="18" t="s">
        <v>81</v>
      </c>
      <c r="J210" s="18"/>
      <c r="K210" s="20"/>
      <c r="L210" s="20"/>
      <c r="M210" s="18"/>
      <c r="N210" s="18"/>
    </row>
    <row r="211">
      <c r="A211" s="17" t="str">
        <f t="shared" si="1"/>
        <v>PD-1054</v>
      </c>
      <c r="B211" s="18" t="s">
        <v>226</v>
      </c>
      <c r="C211" s="18" t="s">
        <v>227</v>
      </c>
      <c r="D211" s="18">
        <v>0.15</v>
      </c>
      <c r="E211" s="19">
        <v>43111.35763888889</v>
      </c>
      <c r="F211" s="18" t="s">
        <v>81</v>
      </c>
      <c r="G211" s="18"/>
      <c r="H211" s="18"/>
      <c r="I211" s="18" t="s">
        <v>77</v>
      </c>
      <c r="J211" s="18"/>
      <c r="K211" s="20"/>
      <c r="L211" s="20"/>
      <c r="M211" s="18"/>
      <c r="N211" s="18"/>
    </row>
    <row r="212">
      <c r="A212" s="17" t="str">
        <f t="shared" si="1"/>
        <v>PD-1461</v>
      </c>
      <c r="B212" s="18" t="s">
        <v>199</v>
      </c>
      <c r="C212" s="18" t="s">
        <v>200</v>
      </c>
      <c r="D212" s="18">
        <v>0.133333333</v>
      </c>
      <c r="E212" s="19">
        <v>43111.36388888889</v>
      </c>
      <c r="F212" s="18" t="s">
        <v>81</v>
      </c>
      <c r="G212" s="18"/>
      <c r="H212" s="18"/>
      <c r="I212" s="18" t="s">
        <v>81</v>
      </c>
      <c r="J212" s="18"/>
      <c r="K212" s="20"/>
      <c r="L212" s="20"/>
      <c r="M212" s="18"/>
      <c r="N212" s="18"/>
    </row>
    <row r="213">
      <c r="A213" s="17" t="str">
        <f t="shared" si="1"/>
        <v>PD-1054</v>
      </c>
      <c r="B213" s="18" t="s">
        <v>226</v>
      </c>
      <c r="C213" s="18" t="s">
        <v>227</v>
      </c>
      <c r="D213" s="18">
        <v>0.583333333</v>
      </c>
      <c r="E213" s="19">
        <v>43111.36944444444</v>
      </c>
      <c r="F213" s="18" t="s">
        <v>81</v>
      </c>
      <c r="G213" s="18"/>
      <c r="H213" s="18"/>
      <c r="I213" s="18" t="s">
        <v>77</v>
      </c>
      <c r="J213" s="18"/>
      <c r="K213" s="20"/>
      <c r="L213" s="20"/>
      <c r="M213" s="18"/>
      <c r="N213" s="18"/>
    </row>
    <row r="214">
      <c r="A214" s="17" t="str">
        <f t="shared" si="1"/>
        <v>PD-1395</v>
      </c>
      <c r="B214" s="18" t="s">
        <v>138</v>
      </c>
      <c r="C214" s="18" t="s">
        <v>139</v>
      </c>
      <c r="D214" s="18">
        <v>0.266666667</v>
      </c>
      <c r="E214" s="19">
        <v>43111.39375</v>
      </c>
      <c r="F214" s="18" t="s">
        <v>81</v>
      </c>
      <c r="G214" s="18"/>
      <c r="H214" s="18" t="s">
        <v>101</v>
      </c>
      <c r="I214" s="18" t="s">
        <v>81</v>
      </c>
      <c r="J214" s="18"/>
      <c r="K214" s="20"/>
      <c r="L214" s="20"/>
      <c r="M214" s="18"/>
      <c r="N214" s="18"/>
    </row>
    <row r="215">
      <c r="A215" s="17" t="str">
        <f t="shared" si="1"/>
        <v>PD-1054</v>
      </c>
      <c r="B215" s="18" t="s">
        <v>226</v>
      </c>
      <c r="C215" s="18" t="s">
        <v>227</v>
      </c>
      <c r="D215" s="18">
        <v>0.133333333</v>
      </c>
      <c r="E215" s="19">
        <v>43111.404861111114</v>
      </c>
      <c r="F215" s="18" t="s">
        <v>81</v>
      </c>
      <c r="G215" s="18"/>
      <c r="H215" s="18"/>
      <c r="I215" s="18" t="s">
        <v>77</v>
      </c>
      <c r="J215" s="18"/>
      <c r="K215" s="20"/>
      <c r="L215" s="20"/>
      <c r="M215" s="18"/>
      <c r="N215" s="18"/>
    </row>
    <row r="216">
      <c r="A216" s="17" t="str">
        <f t="shared" si="1"/>
        <v>PD-1395</v>
      </c>
      <c r="B216" s="18" t="s">
        <v>138</v>
      </c>
      <c r="C216" s="18" t="s">
        <v>139</v>
      </c>
      <c r="D216" s="18">
        <v>2.1</v>
      </c>
      <c r="E216" s="19">
        <v>43111.410416666666</v>
      </c>
      <c r="F216" s="18" t="s">
        <v>81</v>
      </c>
      <c r="G216" s="18"/>
      <c r="H216" s="18" t="s">
        <v>101</v>
      </c>
      <c r="I216" s="18" t="s">
        <v>81</v>
      </c>
      <c r="J216" s="18"/>
      <c r="K216" s="20"/>
      <c r="L216" s="20"/>
      <c r="M216" s="18"/>
      <c r="N216" s="18"/>
    </row>
    <row r="217">
      <c r="A217" s="17" t="str">
        <f t="shared" si="1"/>
        <v>PD-1395</v>
      </c>
      <c r="B217" s="18" t="s">
        <v>138</v>
      </c>
      <c r="C217" s="18" t="s">
        <v>139</v>
      </c>
      <c r="D217" s="18">
        <v>0.766666667</v>
      </c>
      <c r="E217" s="19">
        <v>43111.56458333333</v>
      </c>
      <c r="F217" s="18" t="s">
        <v>81</v>
      </c>
      <c r="G217" s="18"/>
      <c r="H217" s="18" t="s">
        <v>101</v>
      </c>
      <c r="I217" s="18" t="s">
        <v>81</v>
      </c>
      <c r="J217" s="18"/>
      <c r="K217" s="20"/>
      <c r="L217" s="20"/>
      <c r="M217" s="18"/>
      <c r="N217" s="18"/>
    </row>
    <row r="218">
      <c r="A218" s="17" t="str">
        <f t="shared" si="1"/>
        <v>PD-1461</v>
      </c>
      <c r="B218" s="18" t="s">
        <v>199</v>
      </c>
      <c r="C218" s="18" t="s">
        <v>200</v>
      </c>
      <c r="D218" s="18">
        <v>0.083333333</v>
      </c>
      <c r="E218" s="19">
        <v>43111.59652777778</v>
      </c>
      <c r="F218" s="18" t="s">
        <v>81</v>
      </c>
      <c r="G218" s="18"/>
      <c r="H218" s="18"/>
      <c r="I218" s="18" t="s">
        <v>81</v>
      </c>
      <c r="J218" s="18"/>
      <c r="K218" s="20"/>
      <c r="L218" s="20"/>
      <c r="M218" s="18"/>
      <c r="N218" s="18"/>
    </row>
    <row r="219">
      <c r="A219" s="17" t="str">
        <f t="shared" si="1"/>
        <v>PD-1490</v>
      </c>
      <c r="B219" s="18" t="s">
        <v>130</v>
      </c>
      <c r="C219" s="18" t="s">
        <v>131</v>
      </c>
      <c r="D219" s="18">
        <v>2.6</v>
      </c>
      <c r="E219" s="19">
        <v>43111.6</v>
      </c>
      <c r="F219" s="18" t="s">
        <v>81</v>
      </c>
      <c r="G219" s="18"/>
      <c r="H219" s="18" t="s">
        <v>113</v>
      </c>
      <c r="I219" s="18" t="s">
        <v>132</v>
      </c>
      <c r="J219" s="18"/>
      <c r="K219" s="20"/>
      <c r="L219" s="20"/>
      <c r="M219" s="18"/>
      <c r="N219" s="18"/>
    </row>
    <row r="220">
      <c r="A220" s="17" t="str">
        <f t="shared" si="1"/>
        <v>IOP-42</v>
      </c>
      <c r="B220" s="18" t="s">
        <v>188</v>
      </c>
      <c r="C220" s="18" t="s">
        <v>189</v>
      </c>
      <c r="D220" s="18">
        <v>1.5</v>
      </c>
      <c r="E220" s="19">
        <v>43112.52847222222</v>
      </c>
      <c r="F220" s="18" t="s">
        <v>77</v>
      </c>
      <c r="G220" s="18"/>
      <c r="H220" s="18"/>
      <c r="I220" s="18" t="s">
        <v>190</v>
      </c>
      <c r="J220" s="18"/>
      <c r="K220" s="20"/>
      <c r="L220" s="20"/>
      <c r="M220" s="18"/>
      <c r="N220" s="18"/>
    </row>
    <row r="221">
      <c r="A221" s="17" t="str">
        <f t="shared" si="1"/>
        <v>IOP-490</v>
      </c>
      <c r="B221" s="18" t="s">
        <v>224</v>
      </c>
      <c r="C221" s="18" t="s">
        <v>225</v>
      </c>
      <c r="D221" s="18">
        <v>0.25</v>
      </c>
      <c r="E221" s="19">
        <v>43112.720138888886</v>
      </c>
      <c r="F221" s="18" t="s">
        <v>77</v>
      </c>
      <c r="G221" s="18"/>
      <c r="H221" s="18"/>
      <c r="I221" s="18" t="s">
        <v>77</v>
      </c>
      <c r="J221" s="18"/>
      <c r="K221" s="20"/>
      <c r="L221" s="20"/>
      <c r="M221" s="18"/>
      <c r="N221" s="18"/>
    </row>
    <row r="222">
      <c r="A222" s="17" t="str">
        <f t="shared" si="1"/>
        <v>IOP-821</v>
      </c>
      <c r="B222" s="18" t="s">
        <v>235</v>
      </c>
      <c r="C222" s="18" t="s">
        <v>236</v>
      </c>
      <c r="D222" s="18">
        <v>1.0</v>
      </c>
      <c r="E222" s="19">
        <v>43113.600694444445</v>
      </c>
      <c r="F222" s="18" t="s">
        <v>77</v>
      </c>
      <c r="G222" s="18"/>
      <c r="H222" s="18"/>
      <c r="I222" s="18" t="s">
        <v>176</v>
      </c>
      <c r="J222" s="18"/>
      <c r="K222" s="20"/>
      <c r="L222" s="20"/>
      <c r="M222" s="18"/>
      <c r="N222" s="18"/>
    </row>
    <row r="223">
      <c r="A223" s="17" t="str">
        <f t="shared" si="1"/>
        <v>IOP-42</v>
      </c>
      <c r="B223" s="18" t="s">
        <v>188</v>
      </c>
      <c r="C223" s="18" t="s">
        <v>189</v>
      </c>
      <c r="D223" s="18">
        <v>0.5</v>
      </c>
      <c r="E223" s="19">
        <v>43113.597916666666</v>
      </c>
      <c r="F223" s="18" t="s">
        <v>77</v>
      </c>
      <c r="G223" s="18"/>
      <c r="H223" s="18"/>
      <c r="I223" s="18" t="s">
        <v>190</v>
      </c>
      <c r="J223" s="18"/>
      <c r="K223" s="20"/>
      <c r="L223" s="20"/>
      <c r="M223" s="18"/>
      <c r="N223" s="18"/>
    </row>
    <row r="224">
      <c r="A224" s="17" t="str">
        <f t="shared" si="1"/>
        <v>IOP-821</v>
      </c>
      <c r="B224" s="18" t="s">
        <v>235</v>
      </c>
      <c r="C224" s="18" t="s">
        <v>236</v>
      </c>
      <c r="D224" s="18">
        <v>1.25</v>
      </c>
      <c r="E224" s="19">
        <v>43115.899305555555</v>
      </c>
      <c r="F224" s="18" t="s">
        <v>77</v>
      </c>
      <c r="G224" s="18"/>
      <c r="H224" s="18"/>
      <c r="I224" s="18" t="s">
        <v>176</v>
      </c>
      <c r="J224" s="18"/>
      <c r="K224" s="20"/>
      <c r="L224" s="20"/>
      <c r="M224" s="18"/>
      <c r="N224" s="18"/>
    </row>
    <row r="225">
      <c r="A225" s="17" t="str">
        <f t="shared" si="1"/>
        <v>PD-1398</v>
      </c>
      <c r="B225" s="18" t="s">
        <v>79</v>
      </c>
      <c r="C225" s="18" t="s">
        <v>80</v>
      </c>
      <c r="D225" s="18">
        <v>0.1</v>
      </c>
      <c r="E225" s="19">
        <v>43112.34027777778</v>
      </c>
      <c r="F225" s="18" t="s">
        <v>81</v>
      </c>
      <c r="G225" s="18"/>
      <c r="H225" s="18"/>
      <c r="I225" s="18" t="s">
        <v>81</v>
      </c>
      <c r="J225" s="18"/>
      <c r="K225" s="20"/>
      <c r="L225" s="20"/>
      <c r="M225" s="18"/>
      <c r="N225" s="18"/>
    </row>
    <row r="226">
      <c r="A226" s="17" t="str">
        <f t="shared" si="1"/>
        <v>PD-1399</v>
      </c>
      <c r="B226" s="18" t="s">
        <v>82</v>
      </c>
      <c r="C226" s="18" t="s">
        <v>83</v>
      </c>
      <c r="D226" s="18">
        <v>0.116666667</v>
      </c>
      <c r="E226" s="19">
        <v>43112.34444444445</v>
      </c>
      <c r="F226" s="18" t="s">
        <v>81</v>
      </c>
      <c r="G226" s="18"/>
      <c r="H226" s="18"/>
      <c r="I226" s="18" t="s">
        <v>81</v>
      </c>
      <c r="J226" s="18"/>
      <c r="K226" s="20"/>
      <c r="L226" s="20"/>
      <c r="M226" s="18"/>
      <c r="N226" s="18"/>
    </row>
    <row r="227">
      <c r="A227" s="17" t="str">
        <f t="shared" si="1"/>
        <v>PD-1400</v>
      </c>
      <c r="B227" s="18" t="s">
        <v>84</v>
      </c>
      <c r="C227" s="18" t="s">
        <v>85</v>
      </c>
      <c r="D227" s="18">
        <v>0.083333333</v>
      </c>
      <c r="E227" s="19">
        <v>43112.34930555556</v>
      </c>
      <c r="F227" s="18" t="s">
        <v>81</v>
      </c>
      <c r="G227" s="18"/>
      <c r="H227" s="18"/>
      <c r="I227" s="18" t="s">
        <v>81</v>
      </c>
      <c r="J227" s="18"/>
      <c r="K227" s="20"/>
      <c r="L227" s="20"/>
      <c r="M227" s="18"/>
      <c r="N227" s="18"/>
    </row>
    <row r="228">
      <c r="A228" s="17" t="str">
        <f t="shared" si="1"/>
        <v>PD-1461</v>
      </c>
      <c r="B228" s="18" t="s">
        <v>199</v>
      </c>
      <c r="C228" s="18" t="s">
        <v>200</v>
      </c>
      <c r="D228" s="18">
        <v>0.366666667</v>
      </c>
      <c r="E228" s="19">
        <v>43112.35277777778</v>
      </c>
      <c r="F228" s="18" t="s">
        <v>81</v>
      </c>
      <c r="G228" s="18"/>
      <c r="H228" s="18"/>
      <c r="I228" s="18" t="s">
        <v>81</v>
      </c>
      <c r="J228" s="18"/>
      <c r="K228" s="20"/>
      <c r="L228" s="20"/>
      <c r="M228" s="18"/>
      <c r="N228" s="18"/>
    </row>
    <row r="229">
      <c r="A229" s="17" t="str">
        <f t="shared" si="1"/>
        <v>PD-1458</v>
      </c>
      <c r="B229" s="18" t="s">
        <v>237</v>
      </c>
      <c r="C229" s="18" t="s">
        <v>238</v>
      </c>
      <c r="D229" s="18">
        <v>0.366666667</v>
      </c>
      <c r="E229" s="19">
        <v>43112.368055555555</v>
      </c>
      <c r="F229" s="18" t="s">
        <v>81</v>
      </c>
      <c r="G229" s="18"/>
      <c r="H229" s="18"/>
      <c r="I229" s="18" t="s">
        <v>81</v>
      </c>
      <c r="J229" s="18"/>
      <c r="K229" s="20"/>
      <c r="L229" s="20"/>
      <c r="M229" s="18"/>
      <c r="N229" s="18"/>
    </row>
    <row r="230">
      <c r="A230" s="17" t="str">
        <f t="shared" si="1"/>
        <v>PD-1525</v>
      </c>
      <c r="B230" s="18" t="s">
        <v>197</v>
      </c>
      <c r="C230" s="18" t="s">
        <v>198</v>
      </c>
      <c r="D230" s="18">
        <v>0.133333333</v>
      </c>
      <c r="E230" s="19">
        <v>43112.38333333333</v>
      </c>
      <c r="F230" s="18" t="s">
        <v>81</v>
      </c>
      <c r="G230" s="18"/>
      <c r="H230" s="18"/>
      <c r="I230" s="18" t="s">
        <v>81</v>
      </c>
      <c r="J230" s="18"/>
      <c r="K230" s="20"/>
      <c r="L230" s="20"/>
      <c r="M230" s="18"/>
      <c r="N230" s="18"/>
    </row>
    <row r="231">
      <c r="A231" s="17" t="str">
        <f t="shared" si="1"/>
        <v>PD-1523</v>
      </c>
      <c r="B231" s="18" t="s">
        <v>218</v>
      </c>
      <c r="C231" s="18" t="s">
        <v>219</v>
      </c>
      <c r="D231" s="18">
        <v>0.283333333</v>
      </c>
      <c r="E231" s="19">
        <v>43112.38888888889</v>
      </c>
      <c r="F231" s="18" t="s">
        <v>81</v>
      </c>
      <c r="G231" s="18"/>
      <c r="H231" s="18"/>
      <c r="I231" s="18" t="s">
        <v>81</v>
      </c>
      <c r="J231" s="18"/>
      <c r="K231" s="20"/>
      <c r="L231" s="18"/>
      <c r="M231" s="20"/>
      <c r="N231" s="18"/>
    </row>
    <row r="232">
      <c r="A232" s="17" t="str">
        <f t="shared" si="1"/>
        <v>PD-1461</v>
      </c>
      <c r="B232" s="18" t="s">
        <v>199</v>
      </c>
      <c r="C232" s="18" t="s">
        <v>200</v>
      </c>
      <c r="D232" s="18">
        <v>0.166666667</v>
      </c>
      <c r="E232" s="19">
        <v>43112.40069444444</v>
      </c>
      <c r="F232" s="18" t="s">
        <v>81</v>
      </c>
      <c r="G232" s="18"/>
      <c r="H232" s="18"/>
      <c r="I232" s="18" t="s">
        <v>81</v>
      </c>
      <c r="J232" s="18"/>
      <c r="K232" s="20"/>
      <c r="L232" s="20"/>
      <c r="M232" s="18"/>
      <c r="N232" s="18"/>
    </row>
    <row r="233">
      <c r="A233" s="17" t="str">
        <f t="shared" si="1"/>
        <v>PD-1264</v>
      </c>
      <c r="B233" s="18" t="s">
        <v>239</v>
      </c>
      <c r="C233" s="18" t="s">
        <v>240</v>
      </c>
      <c r="D233" s="18">
        <v>0.483333333</v>
      </c>
      <c r="E233" s="19">
        <v>43112.407638888886</v>
      </c>
      <c r="F233" s="18" t="s">
        <v>81</v>
      </c>
      <c r="G233" s="18"/>
      <c r="H233" s="18" t="s">
        <v>241</v>
      </c>
      <c r="I233" s="18" t="s">
        <v>77</v>
      </c>
      <c r="J233" s="18"/>
      <c r="K233" s="20"/>
      <c r="L233" s="20"/>
      <c r="M233" s="18"/>
      <c r="N233" s="18"/>
    </row>
    <row r="234">
      <c r="A234" s="17" t="str">
        <f t="shared" si="1"/>
        <v>PD-1490</v>
      </c>
      <c r="B234" s="18" t="s">
        <v>130</v>
      </c>
      <c r="C234" s="18" t="s">
        <v>131</v>
      </c>
      <c r="D234" s="18">
        <v>1.633333333</v>
      </c>
      <c r="E234" s="19">
        <v>43112.427777777775</v>
      </c>
      <c r="F234" s="18" t="s">
        <v>81</v>
      </c>
      <c r="G234" s="18"/>
      <c r="H234" s="18" t="s">
        <v>113</v>
      </c>
      <c r="I234" s="18" t="s">
        <v>132</v>
      </c>
      <c r="J234" s="18"/>
      <c r="K234" s="20"/>
      <c r="L234" s="20"/>
      <c r="M234" s="18"/>
      <c r="N234" s="18"/>
    </row>
    <row r="235">
      <c r="A235" s="17" t="str">
        <f t="shared" si="1"/>
        <v>PD-1490</v>
      </c>
      <c r="B235" s="18" t="s">
        <v>130</v>
      </c>
      <c r="C235" s="18" t="s">
        <v>131</v>
      </c>
      <c r="D235" s="18">
        <v>2.033333333</v>
      </c>
      <c r="E235" s="19">
        <v>43112.520833333336</v>
      </c>
      <c r="F235" s="18" t="s">
        <v>81</v>
      </c>
      <c r="G235" s="18"/>
      <c r="H235" s="18" t="s">
        <v>113</v>
      </c>
      <c r="I235" s="18" t="s">
        <v>132</v>
      </c>
      <c r="J235" s="18"/>
      <c r="K235" s="20"/>
      <c r="L235" s="20"/>
      <c r="M235" s="20"/>
      <c r="N235" s="18"/>
    </row>
    <row r="236">
      <c r="A236" s="17" t="str">
        <f t="shared" si="1"/>
        <v>PD-1502</v>
      </c>
      <c r="B236" s="18" t="s">
        <v>99</v>
      </c>
      <c r="C236" s="18" t="s">
        <v>100</v>
      </c>
      <c r="D236" s="18">
        <v>2.483333333</v>
      </c>
      <c r="E236" s="19">
        <v>43112.60555555556</v>
      </c>
      <c r="F236" s="18" t="s">
        <v>81</v>
      </c>
      <c r="G236" s="18"/>
      <c r="H236" s="18" t="s">
        <v>101</v>
      </c>
      <c r="I236" s="18" t="s">
        <v>93</v>
      </c>
      <c r="J236" s="18"/>
      <c r="K236" s="20"/>
      <c r="L236" s="20"/>
      <c r="M236" s="20"/>
      <c r="N236" s="18"/>
    </row>
    <row r="237">
      <c r="A237" s="17" t="str">
        <f t="shared" si="1"/>
        <v>IOP-821</v>
      </c>
      <c r="B237" s="18" t="s">
        <v>235</v>
      </c>
      <c r="C237" s="18" t="s">
        <v>236</v>
      </c>
      <c r="D237" s="18">
        <v>0.5</v>
      </c>
      <c r="E237" s="19">
        <v>43116.899305555555</v>
      </c>
      <c r="F237" s="18" t="s">
        <v>77</v>
      </c>
      <c r="G237" s="18"/>
      <c r="H237" s="18"/>
      <c r="I237" s="18" t="s">
        <v>176</v>
      </c>
      <c r="J237" s="18"/>
      <c r="K237" s="20"/>
      <c r="L237" s="18"/>
      <c r="M237" s="20"/>
      <c r="N237" s="18"/>
    </row>
    <row r="238">
      <c r="A238" s="17" t="str">
        <f t="shared" si="1"/>
        <v>IOP-22</v>
      </c>
      <c r="B238" s="18" t="s">
        <v>216</v>
      </c>
      <c r="C238" s="18" t="s">
        <v>217</v>
      </c>
      <c r="D238" s="18">
        <v>0.666666667</v>
      </c>
      <c r="E238" s="19">
        <v>43115.50277777778</v>
      </c>
      <c r="F238" s="18" t="s">
        <v>77</v>
      </c>
      <c r="G238" s="18"/>
      <c r="H238" s="18"/>
      <c r="I238" s="18" t="s">
        <v>190</v>
      </c>
      <c r="J238" s="18"/>
      <c r="K238" s="20"/>
      <c r="L238" s="18"/>
      <c r="M238" s="20"/>
      <c r="N238" s="18"/>
    </row>
    <row r="239">
      <c r="A239" s="17" t="str">
        <f t="shared" si="1"/>
        <v>PD-1399</v>
      </c>
      <c r="B239" s="18" t="s">
        <v>82</v>
      </c>
      <c r="C239" s="18" t="s">
        <v>83</v>
      </c>
      <c r="D239" s="18">
        <v>0.15</v>
      </c>
      <c r="E239" s="19">
        <v>43115.0</v>
      </c>
      <c r="F239" s="18" t="s">
        <v>81</v>
      </c>
      <c r="G239" s="18"/>
      <c r="H239" s="18"/>
      <c r="I239" s="18" t="s">
        <v>81</v>
      </c>
      <c r="J239" s="18"/>
      <c r="K239" s="20"/>
      <c r="L239" s="18"/>
      <c r="M239" s="20"/>
      <c r="N239" s="18"/>
    </row>
    <row r="240">
      <c r="A240" s="17" t="str">
        <f t="shared" si="1"/>
        <v>PD-1400</v>
      </c>
      <c r="B240" s="18" t="s">
        <v>84</v>
      </c>
      <c r="C240" s="18" t="s">
        <v>85</v>
      </c>
      <c r="D240" s="18">
        <v>0.15</v>
      </c>
      <c r="E240" s="19">
        <v>43115.0</v>
      </c>
      <c r="F240" s="18" t="s">
        <v>81</v>
      </c>
      <c r="G240" s="18"/>
      <c r="H240" s="18"/>
      <c r="I240" s="18" t="s">
        <v>81</v>
      </c>
      <c r="J240" s="18"/>
      <c r="K240" s="20"/>
      <c r="L240" s="18"/>
      <c r="M240" s="20"/>
      <c r="N240" s="18"/>
    </row>
    <row r="241">
      <c r="A241" s="17" t="str">
        <f t="shared" si="1"/>
        <v>PD-1264</v>
      </c>
      <c r="B241" s="18" t="s">
        <v>239</v>
      </c>
      <c r="C241" s="18" t="s">
        <v>240</v>
      </c>
      <c r="D241" s="18">
        <v>2.183333333</v>
      </c>
      <c r="E241" s="19">
        <v>43115.0</v>
      </c>
      <c r="F241" s="18" t="s">
        <v>81</v>
      </c>
      <c r="G241" s="18"/>
      <c r="H241" s="18" t="s">
        <v>241</v>
      </c>
      <c r="I241" s="18" t="s">
        <v>77</v>
      </c>
      <c r="J241" s="18"/>
      <c r="K241" s="20"/>
      <c r="L241" s="18"/>
      <c r="M241" s="20"/>
      <c r="N241" s="18"/>
    </row>
    <row r="242">
      <c r="A242" s="17" t="str">
        <f t="shared" si="1"/>
        <v>PD-1490</v>
      </c>
      <c r="B242" s="18" t="s">
        <v>130</v>
      </c>
      <c r="C242" s="18" t="s">
        <v>131</v>
      </c>
      <c r="D242" s="18">
        <v>3.383333333</v>
      </c>
      <c r="E242" s="19">
        <v>43115.0</v>
      </c>
      <c r="F242" s="18" t="s">
        <v>81</v>
      </c>
      <c r="G242" s="18"/>
      <c r="H242" s="18" t="s">
        <v>113</v>
      </c>
      <c r="I242" s="18" t="s">
        <v>132</v>
      </c>
      <c r="J242" s="18"/>
      <c r="K242" s="20"/>
      <c r="L242" s="20"/>
      <c r="M242" s="18"/>
      <c r="N242" s="18"/>
    </row>
    <row r="243">
      <c r="A243" s="17" t="str">
        <f t="shared" si="1"/>
        <v>PD-1440</v>
      </c>
      <c r="B243" s="18" t="s">
        <v>158</v>
      </c>
      <c r="C243" s="18" t="s">
        <v>159</v>
      </c>
      <c r="D243" s="18">
        <v>1.916666667</v>
      </c>
      <c r="E243" s="19">
        <v>43115.0</v>
      </c>
      <c r="F243" s="18" t="s">
        <v>81</v>
      </c>
      <c r="G243" s="18"/>
      <c r="H243" s="18"/>
      <c r="I243" s="18" t="s">
        <v>81</v>
      </c>
      <c r="J243" s="18"/>
      <c r="K243" s="20"/>
      <c r="L243" s="20"/>
      <c r="M243" s="18"/>
      <c r="N243" s="18"/>
    </row>
    <row r="244">
      <c r="A244" s="17" t="str">
        <f t="shared" si="1"/>
        <v>PD-1464</v>
      </c>
      <c r="B244" s="18" t="s">
        <v>90</v>
      </c>
      <c r="C244" s="18" t="s">
        <v>91</v>
      </c>
      <c r="D244" s="18">
        <v>0.1</v>
      </c>
      <c r="E244" s="19">
        <v>43115.0</v>
      </c>
      <c r="F244" s="18" t="s">
        <v>81</v>
      </c>
      <c r="G244" s="18"/>
      <c r="H244" s="18" t="s">
        <v>92</v>
      </c>
      <c r="I244" s="18" t="s">
        <v>93</v>
      </c>
      <c r="J244" s="18"/>
      <c r="K244" s="20"/>
      <c r="L244" s="20"/>
      <c r="M244" s="18"/>
      <c r="N244" s="18"/>
    </row>
    <row r="245">
      <c r="A245" s="17" t="str">
        <f t="shared" si="1"/>
        <v>PD-1461</v>
      </c>
      <c r="B245" s="18" t="s">
        <v>199</v>
      </c>
      <c r="C245" s="18" t="s">
        <v>200</v>
      </c>
      <c r="D245" s="18">
        <v>0.25</v>
      </c>
      <c r="E245" s="19">
        <v>43115.0</v>
      </c>
      <c r="F245" s="18" t="s">
        <v>81</v>
      </c>
      <c r="G245" s="18"/>
      <c r="H245" s="18"/>
      <c r="I245" s="18" t="s">
        <v>81</v>
      </c>
      <c r="J245" s="18"/>
      <c r="K245" s="20"/>
      <c r="L245" s="20"/>
      <c r="M245" s="18"/>
      <c r="N245" s="18"/>
    </row>
    <row r="246">
      <c r="A246" s="17" t="str">
        <f t="shared" si="1"/>
        <v>PD-1167</v>
      </c>
      <c r="B246" s="18" t="s">
        <v>242</v>
      </c>
      <c r="C246" s="18" t="s">
        <v>243</v>
      </c>
      <c r="D246" s="18">
        <v>0.25</v>
      </c>
      <c r="E246" s="19">
        <v>43115.45347222222</v>
      </c>
      <c r="F246" s="18" t="s">
        <v>77</v>
      </c>
      <c r="G246" s="18"/>
      <c r="H246" s="18"/>
      <c r="I246" s="18" t="s">
        <v>77</v>
      </c>
      <c r="J246" s="18"/>
      <c r="K246" s="20"/>
      <c r="L246" s="20"/>
      <c r="M246" s="18"/>
      <c r="N246" s="18"/>
    </row>
    <row r="247">
      <c r="A247" s="17" t="str">
        <f t="shared" si="1"/>
        <v>PD-1398</v>
      </c>
      <c r="B247" s="18" t="s">
        <v>79</v>
      </c>
      <c r="C247" s="18" t="s">
        <v>80</v>
      </c>
      <c r="D247" s="18">
        <v>0.05</v>
      </c>
      <c r="E247" s="19">
        <v>43116.0</v>
      </c>
      <c r="F247" s="18" t="s">
        <v>81</v>
      </c>
      <c r="G247" s="18"/>
      <c r="H247" s="18"/>
      <c r="I247" s="18" t="s">
        <v>81</v>
      </c>
      <c r="J247" s="18"/>
      <c r="K247" s="20"/>
      <c r="L247" s="20"/>
      <c r="M247" s="18"/>
      <c r="N247" s="18"/>
    </row>
    <row r="248">
      <c r="A248" s="17" t="str">
        <f t="shared" si="1"/>
        <v>PD-1399</v>
      </c>
      <c r="B248" s="18" t="s">
        <v>82</v>
      </c>
      <c r="C248" s="18" t="s">
        <v>83</v>
      </c>
      <c r="D248" s="18">
        <v>1.583333333</v>
      </c>
      <c r="E248" s="19">
        <v>43116.0</v>
      </c>
      <c r="F248" s="18" t="s">
        <v>81</v>
      </c>
      <c r="G248" s="18"/>
      <c r="H248" s="18"/>
      <c r="I248" s="18" t="s">
        <v>81</v>
      </c>
      <c r="J248" s="18"/>
      <c r="K248" s="20"/>
      <c r="L248" s="18"/>
      <c r="M248" s="20"/>
      <c r="N248" s="18"/>
    </row>
    <row r="249">
      <c r="A249" s="17" t="str">
        <f t="shared" si="1"/>
        <v>PD-1400</v>
      </c>
      <c r="B249" s="18" t="s">
        <v>84</v>
      </c>
      <c r="C249" s="18" t="s">
        <v>85</v>
      </c>
      <c r="D249" s="18">
        <v>0.216666667</v>
      </c>
      <c r="E249" s="19">
        <v>43116.0</v>
      </c>
      <c r="F249" s="18" t="s">
        <v>81</v>
      </c>
      <c r="G249" s="18"/>
      <c r="H249" s="18"/>
      <c r="I249" s="18" t="s">
        <v>81</v>
      </c>
      <c r="J249" s="18"/>
      <c r="K249" s="20"/>
      <c r="L249" s="18"/>
      <c r="M249" s="20"/>
      <c r="N249" s="18"/>
    </row>
    <row r="250">
      <c r="A250" s="17" t="str">
        <f t="shared" si="1"/>
        <v>IOP-821</v>
      </c>
      <c r="B250" s="18" t="s">
        <v>235</v>
      </c>
      <c r="C250" s="18" t="s">
        <v>236</v>
      </c>
      <c r="D250" s="18">
        <v>0.2</v>
      </c>
      <c r="E250" s="19">
        <v>43116.0</v>
      </c>
      <c r="F250" s="18" t="s">
        <v>81</v>
      </c>
      <c r="G250" s="18"/>
      <c r="H250" s="18"/>
      <c r="I250" s="18" t="s">
        <v>176</v>
      </c>
      <c r="J250" s="18"/>
      <c r="K250" s="20"/>
      <c r="L250" s="18"/>
      <c r="M250" s="20"/>
      <c r="N250" s="18"/>
    </row>
    <row r="251">
      <c r="A251" s="17" t="str">
        <f t="shared" si="1"/>
        <v>PD-1054</v>
      </c>
      <c r="B251" s="18" t="s">
        <v>226</v>
      </c>
      <c r="C251" s="18" t="s">
        <v>227</v>
      </c>
      <c r="D251" s="18">
        <v>0.083333333</v>
      </c>
      <c r="E251" s="19">
        <v>43116.0</v>
      </c>
      <c r="F251" s="18" t="s">
        <v>81</v>
      </c>
      <c r="G251" s="18"/>
      <c r="H251" s="18"/>
      <c r="I251" s="18" t="s">
        <v>77</v>
      </c>
      <c r="J251" s="18"/>
      <c r="K251" s="20"/>
      <c r="L251" s="18"/>
      <c r="M251" s="20"/>
      <c r="N251" s="18"/>
    </row>
    <row r="252">
      <c r="A252" s="17" t="str">
        <f t="shared" si="1"/>
        <v>PD-1323</v>
      </c>
      <c r="B252" s="18" t="s">
        <v>244</v>
      </c>
      <c r="C252" s="18" t="s">
        <v>245</v>
      </c>
      <c r="D252" s="18">
        <v>0.083333333</v>
      </c>
      <c r="E252" s="19">
        <v>43116.0</v>
      </c>
      <c r="F252" s="18" t="s">
        <v>81</v>
      </c>
      <c r="G252" s="18"/>
      <c r="H252" s="18"/>
      <c r="I252" s="18" t="s">
        <v>81</v>
      </c>
      <c r="J252" s="18"/>
      <c r="K252" s="20"/>
      <c r="L252" s="20"/>
      <c r="M252" s="18"/>
      <c r="N252" s="18"/>
    </row>
    <row r="253">
      <c r="A253" s="17" t="str">
        <f t="shared" si="1"/>
        <v>PD-1393</v>
      </c>
      <c r="B253" s="18" t="s">
        <v>246</v>
      </c>
      <c r="C253" s="18" t="s">
        <v>247</v>
      </c>
      <c r="D253" s="18">
        <v>0.083333333</v>
      </c>
      <c r="E253" s="19">
        <v>43116.0</v>
      </c>
      <c r="F253" s="18" t="s">
        <v>81</v>
      </c>
      <c r="G253" s="18" t="s">
        <v>248</v>
      </c>
      <c r="H253" s="18"/>
      <c r="I253" s="18" t="s">
        <v>137</v>
      </c>
      <c r="J253" s="18"/>
      <c r="K253" s="20"/>
      <c r="L253" s="20"/>
      <c r="M253" s="18"/>
      <c r="N253" s="18"/>
    </row>
    <row r="254">
      <c r="A254" s="17" t="str">
        <f t="shared" si="1"/>
        <v>PD-1468</v>
      </c>
      <c r="B254" s="18" t="s">
        <v>249</v>
      </c>
      <c r="C254" s="18" t="s">
        <v>250</v>
      </c>
      <c r="D254" s="18">
        <v>0.083333333</v>
      </c>
      <c r="E254" s="19">
        <v>43116.0</v>
      </c>
      <c r="F254" s="18" t="s">
        <v>81</v>
      </c>
      <c r="G254" s="18"/>
      <c r="H254" s="18"/>
      <c r="I254" s="18" t="s">
        <v>81</v>
      </c>
      <c r="J254" s="18"/>
      <c r="K254" s="20"/>
      <c r="L254" s="20"/>
      <c r="M254" s="18"/>
      <c r="N254" s="18"/>
    </row>
    <row r="255">
      <c r="A255" s="17" t="str">
        <f t="shared" si="1"/>
        <v>PD-1511</v>
      </c>
      <c r="B255" s="18" t="s">
        <v>220</v>
      </c>
      <c r="C255" s="18" t="s">
        <v>221</v>
      </c>
      <c r="D255" s="18">
        <v>0.083333333</v>
      </c>
      <c r="E255" s="19">
        <v>43116.0</v>
      </c>
      <c r="F255" s="18" t="s">
        <v>81</v>
      </c>
      <c r="G255" s="18"/>
      <c r="H255" s="18" t="s">
        <v>96</v>
      </c>
      <c r="I255" s="18" t="s">
        <v>81</v>
      </c>
      <c r="J255" s="18"/>
      <c r="K255" s="20"/>
      <c r="L255" s="20"/>
      <c r="M255" s="18"/>
      <c r="N255" s="18"/>
    </row>
    <row r="256">
      <c r="A256" s="17" t="str">
        <f t="shared" si="1"/>
        <v>PD-1264</v>
      </c>
      <c r="B256" s="18" t="s">
        <v>239</v>
      </c>
      <c r="C256" s="18" t="s">
        <v>240</v>
      </c>
      <c r="D256" s="18">
        <v>0.116666667</v>
      </c>
      <c r="E256" s="19">
        <v>43116.0</v>
      </c>
      <c r="F256" s="18" t="s">
        <v>81</v>
      </c>
      <c r="G256" s="18"/>
      <c r="H256" s="18" t="s">
        <v>241</v>
      </c>
      <c r="I256" s="18" t="s">
        <v>77</v>
      </c>
      <c r="J256" s="18"/>
      <c r="K256" s="20"/>
      <c r="L256" s="20"/>
      <c r="M256" s="18"/>
      <c r="N256" s="18"/>
    </row>
    <row r="257">
      <c r="A257" s="17" t="str">
        <f t="shared" si="1"/>
        <v>PD-1537</v>
      </c>
      <c r="B257" s="18" t="s">
        <v>203</v>
      </c>
      <c r="C257" s="18" t="s">
        <v>204</v>
      </c>
      <c r="D257" s="18">
        <v>0.416666667</v>
      </c>
      <c r="E257" s="19">
        <v>43116.0</v>
      </c>
      <c r="F257" s="18" t="s">
        <v>81</v>
      </c>
      <c r="G257" s="18"/>
      <c r="H257" s="18" t="s">
        <v>96</v>
      </c>
      <c r="I257" s="18" t="s">
        <v>81</v>
      </c>
      <c r="J257" s="18"/>
      <c r="K257" s="20"/>
      <c r="L257" s="20"/>
      <c r="M257" s="18"/>
      <c r="N257" s="18"/>
    </row>
    <row r="258">
      <c r="A258" s="17" t="str">
        <f t="shared" si="1"/>
        <v>PD-1502</v>
      </c>
      <c r="B258" s="18" t="s">
        <v>99</v>
      </c>
      <c r="C258" s="18" t="s">
        <v>100</v>
      </c>
      <c r="D258" s="18">
        <v>3.683333333</v>
      </c>
      <c r="E258" s="19">
        <v>43116.0</v>
      </c>
      <c r="F258" s="18" t="s">
        <v>81</v>
      </c>
      <c r="G258" s="18"/>
      <c r="H258" s="18" t="s">
        <v>101</v>
      </c>
      <c r="I258" s="18" t="s">
        <v>93</v>
      </c>
      <c r="J258" s="18"/>
      <c r="K258" s="20"/>
      <c r="L258" s="20"/>
      <c r="M258" s="18"/>
      <c r="N258" s="18"/>
    </row>
    <row r="259">
      <c r="A259" s="17" t="str">
        <f t="shared" si="1"/>
        <v>PD-1512</v>
      </c>
      <c r="B259" s="18" t="s">
        <v>126</v>
      </c>
      <c r="C259" s="18" t="s">
        <v>127</v>
      </c>
      <c r="D259" s="18">
        <v>0.933333333</v>
      </c>
      <c r="E259" s="19">
        <v>43116.0</v>
      </c>
      <c r="F259" s="18" t="s">
        <v>81</v>
      </c>
      <c r="G259" s="18"/>
      <c r="H259" s="18" t="s">
        <v>96</v>
      </c>
      <c r="I259" s="18" t="s">
        <v>81</v>
      </c>
      <c r="J259" s="18"/>
      <c r="K259" s="20"/>
      <c r="L259" s="20"/>
      <c r="M259" s="18"/>
      <c r="N259" s="18"/>
    </row>
    <row r="260">
      <c r="A260" s="17" t="str">
        <f t="shared" si="1"/>
        <v>PD-1398</v>
      </c>
      <c r="B260" s="18" t="s">
        <v>79</v>
      </c>
      <c r="C260" s="18" t="s">
        <v>80</v>
      </c>
      <c r="D260" s="18">
        <v>0.083333333</v>
      </c>
      <c r="E260" s="19">
        <v>43117.0</v>
      </c>
      <c r="F260" s="18" t="s">
        <v>81</v>
      </c>
      <c r="G260" s="18"/>
      <c r="H260" s="18"/>
      <c r="I260" s="18" t="s">
        <v>81</v>
      </c>
      <c r="J260" s="18"/>
      <c r="K260" s="20"/>
      <c r="L260" s="18"/>
      <c r="M260" s="20"/>
      <c r="N260" s="18"/>
    </row>
    <row r="261">
      <c r="A261" s="17" t="str">
        <f t="shared" si="1"/>
        <v>PD-1399</v>
      </c>
      <c r="B261" s="18" t="s">
        <v>82</v>
      </c>
      <c r="C261" s="18" t="s">
        <v>83</v>
      </c>
      <c r="D261" s="18">
        <v>0.1</v>
      </c>
      <c r="E261" s="19">
        <v>43117.0</v>
      </c>
      <c r="F261" s="18" t="s">
        <v>81</v>
      </c>
      <c r="G261" s="18"/>
      <c r="H261" s="18"/>
      <c r="I261" s="18" t="s">
        <v>81</v>
      </c>
      <c r="J261" s="18"/>
      <c r="K261" s="20"/>
      <c r="L261" s="18"/>
      <c r="M261" s="20"/>
      <c r="N261" s="18"/>
    </row>
    <row r="262">
      <c r="A262" s="17" t="str">
        <f t="shared" si="1"/>
        <v>PD-1400</v>
      </c>
      <c r="B262" s="18" t="s">
        <v>84</v>
      </c>
      <c r="C262" s="18" t="s">
        <v>85</v>
      </c>
      <c r="D262" s="18">
        <v>0.133333333</v>
      </c>
      <c r="E262" s="19">
        <v>43117.0</v>
      </c>
      <c r="F262" s="18" t="s">
        <v>81</v>
      </c>
      <c r="G262" s="18"/>
      <c r="H262" s="18"/>
      <c r="I262" s="18" t="s">
        <v>81</v>
      </c>
      <c r="J262" s="18"/>
      <c r="K262" s="20"/>
      <c r="L262" s="18"/>
      <c r="M262" s="20"/>
      <c r="N262" s="18"/>
    </row>
    <row r="263">
      <c r="A263" s="17" t="str">
        <f t="shared" si="1"/>
        <v>PD-1512</v>
      </c>
      <c r="B263" s="18" t="s">
        <v>126</v>
      </c>
      <c r="C263" s="18" t="s">
        <v>127</v>
      </c>
      <c r="D263" s="18">
        <v>0.233333333</v>
      </c>
      <c r="E263" s="19">
        <v>43117.0</v>
      </c>
      <c r="F263" s="18" t="s">
        <v>81</v>
      </c>
      <c r="G263" s="18"/>
      <c r="H263" s="18" t="s">
        <v>96</v>
      </c>
      <c r="I263" s="18" t="s">
        <v>81</v>
      </c>
      <c r="J263" s="18"/>
      <c r="K263" s="20"/>
      <c r="L263" s="18"/>
      <c r="M263" s="20"/>
      <c r="N263" s="18"/>
    </row>
    <row r="264">
      <c r="A264" s="17" t="str">
        <f t="shared" si="1"/>
        <v>PD-1539</v>
      </c>
      <c r="B264" s="18" t="s">
        <v>222</v>
      </c>
      <c r="C264" s="18" t="s">
        <v>223</v>
      </c>
      <c r="D264" s="18">
        <v>0.116666667</v>
      </c>
      <c r="E264" s="19">
        <v>43117.0</v>
      </c>
      <c r="F264" s="18" t="s">
        <v>81</v>
      </c>
      <c r="G264" s="18"/>
      <c r="H264" s="18" t="s">
        <v>167</v>
      </c>
      <c r="I264" s="18" t="s">
        <v>81</v>
      </c>
      <c r="J264" s="18"/>
      <c r="K264" s="20"/>
      <c r="L264" s="18"/>
      <c r="M264" s="20"/>
      <c r="N264" s="18"/>
    </row>
    <row r="265">
      <c r="A265" s="17" t="str">
        <f t="shared" si="1"/>
        <v>PD-1530</v>
      </c>
      <c r="B265" s="18" t="s">
        <v>251</v>
      </c>
      <c r="C265" s="18" t="s">
        <v>252</v>
      </c>
      <c r="D265" s="18">
        <v>0.15</v>
      </c>
      <c r="E265" s="19">
        <v>43117.0</v>
      </c>
      <c r="F265" s="18" t="s">
        <v>81</v>
      </c>
      <c r="G265" s="18"/>
      <c r="H265" s="18" t="s">
        <v>253</v>
      </c>
      <c r="I265" s="18" t="s">
        <v>93</v>
      </c>
      <c r="J265" s="18"/>
      <c r="K265" s="20"/>
      <c r="L265" s="18"/>
      <c r="M265" s="20"/>
      <c r="N265" s="18"/>
    </row>
    <row r="266">
      <c r="A266" s="17" t="str">
        <f t="shared" si="1"/>
        <v>PD-1543</v>
      </c>
      <c r="B266" s="18" t="s">
        <v>177</v>
      </c>
      <c r="C266" s="18" t="s">
        <v>178</v>
      </c>
      <c r="D266" s="18">
        <v>0.316666667</v>
      </c>
      <c r="E266" s="19">
        <v>43117.0</v>
      </c>
      <c r="F266" s="18" t="s">
        <v>81</v>
      </c>
      <c r="G266" s="18"/>
      <c r="H266" s="18" t="s">
        <v>88</v>
      </c>
      <c r="I266" s="18" t="s">
        <v>81</v>
      </c>
      <c r="J266" s="18"/>
      <c r="K266" s="20"/>
      <c r="L266" s="18"/>
      <c r="M266" s="20"/>
      <c r="N266" s="18"/>
    </row>
    <row r="267">
      <c r="A267" s="17" t="str">
        <f t="shared" si="1"/>
        <v>PD-1500</v>
      </c>
      <c r="B267" s="18" t="s">
        <v>254</v>
      </c>
      <c r="C267" s="18" t="s">
        <v>255</v>
      </c>
      <c r="D267" s="18">
        <v>0.15</v>
      </c>
      <c r="E267" s="19">
        <v>43117.0</v>
      </c>
      <c r="F267" s="18" t="s">
        <v>81</v>
      </c>
      <c r="G267" s="18"/>
      <c r="H267" s="18" t="s">
        <v>101</v>
      </c>
      <c r="I267" s="18" t="s">
        <v>81</v>
      </c>
      <c r="J267" s="18"/>
      <c r="K267" s="20"/>
      <c r="L267" s="20"/>
      <c r="M267" s="18"/>
      <c r="N267" s="18"/>
    </row>
    <row r="268">
      <c r="A268" s="17" t="str">
        <f t="shared" si="1"/>
        <v>PD-1440</v>
      </c>
      <c r="B268" s="18" t="s">
        <v>158</v>
      </c>
      <c r="C268" s="18" t="s">
        <v>159</v>
      </c>
      <c r="D268" s="18">
        <v>0.2</v>
      </c>
      <c r="E268" s="19">
        <v>43117.0</v>
      </c>
      <c r="F268" s="18" t="s">
        <v>81</v>
      </c>
      <c r="G268" s="18"/>
      <c r="H268" s="18"/>
      <c r="I268" s="18" t="s">
        <v>81</v>
      </c>
      <c r="J268" s="18"/>
      <c r="K268" s="20"/>
      <c r="L268" s="20"/>
      <c r="M268" s="18"/>
      <c r="N268" s="18"/>
    </row>
    <row r="269">
      <c r="A269" s="17" t="str">
        <f t="shared" si="1"/>
        <v>PD-1490</v>
      </c>
      <c r="B269" s="18" t="s">
        <v>130</v>
      </c>
      <c r="C269" s="18" t="s">
        <v>131</v>
      </c>
      <c r="D269" s="18">
        <v>0.216666667</v>
      </c>
      <c r="E269" s="19">
        <v>43117.0</v>
      </c>
      <c r="F269" s="18" t="s">
        <v>81</v>
      </c>
      <c r="G269" s="18"/>
      <c r="H269" s="18" t="s">
        <v>113</v>
      </c>
      <c r="I269" s="18" t="s">
        <v>132</v>
      </c>
      <c r="J269" s="18"/>
      <c r="K269" s="20"/>
      <c r="L269" s="20"/>
      <c r="M269" s="18"/>
      <c r="N269" s="18"/>
    </row>
    <row r="270">
      <c r="A270" s="17" t="str">
        <f t="shared" si="1"/>
        <v>PD-1502</v>
      </c>
      <c r="B270" s="18" t="s">
        <v>99</v>
      </c>
      <c r="C270" s="18" t="s">
        <v>100</v>
      </c>
      <c r="D270" s="18">
        <v>2.4</v>
      </c>
      <c r="E270" s="19">
        <v>43117.0</v>
      </c>
      <c r="F270" s="18" t="s">
        <v>81</v>
      </c>
      <c r="G270" s="18"/>
      <c r="H270" s="18" t="s">
        <v>101</v>
      </c>
      <c r="I270" s="18" t="s">
        <v>93</v>
      </c>
      <c r="J270" s="18"/>
      <c r="K270" s="20"/>
      <c r="L270" s="20"/>
      <c r="M270" s="18"/>
      <c r="N270" s="18"/>
    </row>
    <row r="271">
      <c r="A271" s="17" t="str">
        <f t="shared" si="1"/>
        <v>IOP-537</v>
      </c>
      <c r="B271" s="18" t="s">
        <v>133</v>
      </c>
      <c r="C271" s="18" t="s">
        <v>134</v>
      </c>
      <c r="D271" s="18">
        <v>1.55</v>
      </c>
      <c r="E271" s="19">
        <v>43117.0</v>
      </c>
      <c r="F271" s="18" t="s">
        <v>81</v>
      </c>
      <c r="G271" s="18"/>
      <c r="H271" s="18"/>
      <c r="I271" s="18" t="s">
        <v>77</v>
      </c>
      <c r="J271" s="18"/>
      <c r="K271" s="20"/>
      <c r="L271" s="20"/>
      <c r="M271" s="18"/>
      <c r="N271" s="18"/>
    </row>
    <row r="272">
      <c r="A272" s="17" t="str">
        <f t="shared" si="1"/>
        <v>PD-1537</v>
      </c>
      <c r="B272" s="18" t="s">
        <v>203</v>
      </c>
      <c r="C272" s="18" t="s">
        <v>204</v>
      </c>
      <c r="D272" s="18">
        <v>0.483333333</v>
      </c>
      <c r="E272" s="19">
        <v>43117.0</v>
      </c>
      <c r="F272" s="18" t="s">
        <v>81</v>
      </c>
      <c r="G272" s="18"/>
      <c r="H272" s="18" t="s">
        <v>96</v>
      </c>
      <c r="I272" s="18" t="s">
        <v>81</v>
      </c>
      <c r="J272" s="18"/>
      <c r="K272" s="20"/>
      <c r="L272" s="20"/>
      <c r="M272" s="18"/>
      <c r="N272" s="18"/>
    </row>
    <row r="273">
      <c r="A273" s="17" t="str">
        <f t="shared" si="1"/>
        <v>PD-1398</v>
      </c>
      <c r="B273" s="18" t="s">
        <v>79</v>
      </c>
      <c r="C273" s="18" t="s">
        <v>80</v>
      </c>
      <c r="D273" s="18">
        <v>0.016666667</v>
      </c>
      <c r="E273" s="19">
        <v>43118.0</v>
      </c>
      <c r="F273" s="18" t="s">
        <v>81</v>
      </c>
      <c r="G273" s="18"/>
      <c r="H273" s="18"/>
      <c r="I273" s="18" t="s">
        <v>81</v>
      </c>
      <c r="J273" s="18"/>
      <c r="K273" s="20"/>
      <c r="L273" s="20"/>
      <c r="M273" s="18"/>
      <c r="N273" s="18"/>
    </row>
    <row r="274">
      <c r="A274" s="17" t="str">
        <f t="shared" si="1"/>
        <v>PD-1399</v>
      </c>
      <c r="B274" s="18" t="s">
        <v>82</v>
      </c>
      <c r="C274" s="18" t="s">
        <v>83</v>
      </c>
      <c r="D274" s="18">
        <v>0.1</v>
      </c>
      <c r="E274" s="19">
        <v>43118.0</v>
      </c>
      <c r="F274" s="18" t="s">
        <v>81</v>
      </c>
      <c r="G274" s="18"/>
      <c r="H274" s="18"/>
      <c r="I274" s="18" t="s">
        <v>81</v>
      </c>
      <c r="J274" s="18"/>
      <c r="K274" s="20"/>
      <c r="L274" s="20"/>
      <c r="M274" s="18"/>
      <c r="N274" s="18"/>
    </row>
    <row r="275">
      <c r="A275" s="17" t="str">
        <f t="shared" si="1"/>
        <v>PD-1400</v>
      </c>
      <c r="B275" s="18" t="s">
        <v>84</v>
      </c>
      <c r="C275" s="18" t="s">
        <v>85</v>
      </c>
      <c r="D275" s="18">
        <v>0.183333333</v>
      </c>
      <c r="E275" s="19">
        <v>43118.0</v>
      </c>
      <c r="F275" s="18" t="s">
        <v>81</v>
      </c>
      <c r="G275" s="18"/>
      <c r="H275" s="18"/>
      <c r="I275" s="18" t="s">
        <v>81</v>
      </c>
      <c r="J275" s="18"/>
      <c r="K275" s="20"/>
      <c r="L275" s="20"/>
      <c r="M275" s="18"/>
      <c r="N275" s="18"/>
    </row>
    <row r="276">
      <c r="A276" s="17" t="str">
        <f t="shared" si="1"/>
        <v>PD-1537</v>
      </c>
      <c r="B276" s="18" t="s">
        <v>203</v>
      </c>
      <c r="C276" s="18" t="s">
        <v>204</v>
      </c>
      <c r="D276" s="18">
        <v>0.533333333</v>
      </c>
      <c r="E276" s="19">
        <v>43118.0</v>
      </c>
      <c r="F276" s="18" t="s">
        <v>81</v>
      </c>
      <c r="G276" s="18"/>
      <c r="H276" s="18" t="s">
        <v>96</v>
      </c>
      <c r="I276" s="18" t="s">
        <v>81</v>
      </c>
      <c r="J276" s="18"/>
      <c r="K276" s="20"/>
      <c r="L276" s="20"/>
      <c r="M276" s="18"/>
      <c r="N276" s="18"/>
    </row>
    <row r="277">
      <c r="A277" s="17" t="str">
        <f t="shared" si="1"/>
        <v>PD-1547</v>
      </c>
      <c r="B277" s="18" t="s">
        <v>256</v>
      </c>
      <c r="C277" s="18" t="s">
        <v>257</v>
      </c>
      <c r="D277" s="18">
        <v>0.816666667</v>
      </c>
      <c r="E277" s="19">
        <v>43118.0</v>
      </c>
      <c r="F277" s="18" t="s">
        <v>81</v>
      </c>
      <c r="G277" s="18"/>
      <c r="H277" s="18" t="s">
        <v>92</v>
      </c>
      <c r="I277" s="18" t="s">
        <v>81</v>
      </c>
      <c r="J277" s="18"/>
      <c r="K277" s="20"/>
      <c r="L277" s="20"/>
      <c r="M277" s="18"/>
      <c r="N277" s="18"/>
    </row>
    <row r="278">
      <c r="A278" s="17" t="str">
        <f t="shared" si="1"/>
        <v>IOP-834</v>
      </c>
      <c r="B278" s="18" t="s">
        <v>258</v>
      </c>
      <c r="C278" s="18" t="s">
        <v>259</v>
      </c>
      <c r="D278" s="18">
        <v>0.4</v>
      </c>
      <c r="E278" s="19">
        <v>43118.0</v>
      </c>
      <c r="F278" s="18" t="s">
        <v>81</v>
      </c>
      <c r="G278" s="18"/>
      <c r="H278" s="18"/>
      <c r="I278" s="18" t="s">
        <v>116</v>
      </c>
      <c r="J278" s="18"/>
      <c r="K278" s="20"/>
      <c r="L278" s="20"/>
      <c r="M278" s="18"/>
      <c r="N278" s="18"/>
    </row>
    <row r="279">
      <c r="A279" s="17" t="str">
        <f t="shared" si="1"/>
        <v>PD-1505</v>
      </c>
      <c r="B279" s="18" t="s">
        <v>260</v>
      </c>
      <c r="C279" s="18" t="s">
        <v>261</v>
      </c>
      <c r="D279" s="18">
        <v>0.35</v>
      </c>
      <c r="E279" s="19">
        <v>43118.0</v>
      </c>
      <c r="F279" s="18" t="s">
        <v>81</v>
      </c>
      <c r="G279" s="18"/>
      <c r="H279" s="18"/>
      <c r="I279" s="18" t="s">
        <v>77</v>
      </c>
      <c r="J279" s="18"/>
      <c r="K279" s="20"/>
      <c r="L279" s="20"/>
      <c r="M279" s="18"/>
      <c r="N279" s="18"/>
    </row>
    <row r="280">
      <c r="A280" s="17" t="str">
        <f t="shared" si="1"/>
        <v>PD-1464</v>
      </c>
      <c r="B280" s="18" t="s">
        <v>90</v>
      </c>
      <c r="C280" s="18" t="s">
        <v>91</v>
      </c>
      <c r="D280" s="18">
        <v>2.733333333</v>
      </c>
      <c r="E280" s="19">
        <v>43118.0</v>
      </c>
      <c r="F280" s="18" t="s">
        <v>81</v>
      </c>
      <c r="G280" s="18"/>
      <c r="H280" s="18" t="s">
        <v>92</v>
      </c>
      <c r="I280" s="18" t="s">
        <v>93</v>
      </c>
      <c r="J280" s="18"/>
      <c r="K280" s="20"/>
      <c r="L280" s="20"/>
      <c r="M280" s="18"/>
      <c r="N280" s="18"/>
    </row>
    <row r="281">
      <c r="A281" s="17" t="str">
        <f t="shared" si="1"/>
        <v>PD-1054</v>
      </c>
      <c r="B281" s="18" t="s">
        <v>226</v>
      </c>
      <c r="C281" s="18" t="s">
        <v>227</v>
      </c>
      <c r="D281" s="18">
        <v>0.3</v>
      </c>
      <c r="E281" s="19">
        <v>43118.0</v>
      </c>
      <c r="F281" s="18" t="s">
        <v>81</v>
      </c>
      <c r="G281" s="18"/>
      <c r="H281" s="18"/>
      <c r="I281" s="18" t="s">
        <v>77</v>
      </c>
      <c r="J281" s="18"/>
      <c r="K281" s="20"/>
      <c r="L281" s="20"/>
      <c r="M281" s="18"/>
      <c r="N281" s="18"/>
    </row>
    <row r="282">
      <c r="A282" s="17" t="str">
        <f t="shared" si="1"/>
        <v>PD-1548</v>
      </c>
      <c r="B282" s="18" t="s">
        <v>262</v>
      </c>
      <c r="C282" s="18" t="s">
        <v>263</v>
      </c>
      <c r="D282" s="18">
        <v>1.866666667</v>
      </c>
      <c r="E282" s="19">
        <v>43118.0</v>
      </c>
      <c r="F282" s="18" t="s">
        <v>81</v>
      </c>
      <c r="G282" s="18"/>
      <c r="H282" s="18" t="s">
        <v>253</v>
      </c>
      <c r="I282" s="18" t="s">
        <v>81</v>
      </c>
      <c r="J282" s="18"/>
      <c r="K282" s="20"/>
      <c r="L282" s="20"/>
      <c r="M282" s="18"/>
      <c r="N282" s="18"/>
    </row>
    <row r="283">
      <c r="A283" s="17" t="str">
        <f t="shared" si="1"/>
        <v>PD-1549</v>
      </c>
      <c r="B283" s="18" t="s">
        <v>168</v>
      </c>
      <c r="C283" s="18" t="s">
        <v>169</v>
      </c>
      <c r="D283" s="18">
        <v>0.25</v>
      </c>
      <c r="E283" s="19">
        <v>43118.0</v>
      </c>
      <c r="F283" s="18" t="s">
        <v>81</v>
      </c>
      <c r="G283" s="18"/>
      <c r="H283" s="18" t="s">
        <v>96</v>
      </c>
      <c r="I283" s="18" t="s">
        <v>81</v>
      </c>
      <c r="J283" s="18"/>
      <c r="K283" s="20"/>
      <c r="L283" s="20"/>
      <c r="M283" s="18"/>
      <c r="N283" s="18"/>
    </row>
    <row r="284">
      <c r="A284" s="17" t="str">
        <f t="shared" si="1"/>
        <v>IOP-42</v>
      </c>
      <c r="B284" s="18" t="s">
        <v>188</v>
      </c>
      <c r="C284" s="18" t="s">
        <v>189</v>
      </c>
      <c r="D284" s="18">
        <v>1.0</v>
      </c>
      <c r="E284" s="19">
        <v>43118.0</v>
      </c>
      <c r="F284" s="18" t="s">
        <v>77</v>
      </c>
      <c r="G284" s="18"/>
      <c r="H284" s="18"/>
      <c r="I284" s="18" t="s">
        <v>190</v>
      </c>
      <c r="J284" s="18"/>
      <c r="K284" s="20"/>
      <c r="L284" s="20"/>
      <c r="M284" s="18"/>
      <c r="N284" s="18"/>
    </row>
    <row r="285">
      <c r="A285" s="17" t="str">
        <f t="shared" si="1"/>
        <v>IOP-42</v>
      </c>
      <c r="B285" s="18" t="s">
        <v>188</v>
      </c>
      <c r="C285" s="18" t="s">
        <v>189</v>
      </c>
      <c r="D285" s="18">
        <v>0.5</v>
      </c>
      <c r="E285" s="19">
        <v>43119.0</v>
      </c>
      <c r="F285" s="18" t="s">
        <v>77</v>
      </c>
      <c r="G285" s="18"/>
      <c r="H285" s="18"/>
      <c r="I285" s="18" t="s">
        <v>190</v>
      </c>
      <c r="J285" s="18"/>
      <c r="K285" s="20"/>
      <c r="L285" s="18"/>
      <c r="M285" s="20"/>
      <c r="N285" s="18"/>
    </row>
    <row r="286">
      <c r="A286" s="17" t="str">
        <f t="shared" si="1"/>
        <v>PD-1400</v>
      </c>
      <c r="B286" s="18" t="s">
        <v>84</v>
      </c>
      <c r="C286" s="18" t="s">
        <v>85</v>
      </c>
      <c r="D286" s="18">
        <v>0.166666667</v>
      </c>
      <c r="E286" s="19">
        <v>43119.0</v>
      </c>
      <c r="F286" s="18" t="s">
        <v>81</v>
      </c>
      <c r="G286" s="18"/>
      <c r="H286" s="18"/>
      <c r="I286" s="18" t="s">
        <v>81</v>
      </c>
      <c r="J286" s="18"/>
      <c r="K286" s="20"/>
      <c r="L286" s="18"/>
      <c r="M286" s="20"/>
      <c r="N286" s="18"/>
    </row>
    <row r="287">
      <c r="A287" s="17" t="str">
        <f t="shared" si="1"/>
        <v>PD-1490</v>
      </c>
      <c r="B287" s="18" t="s">
        <v>130</v>
      </c>
      <c r="C287" s="18" t="s">
        <v>131</v>
      </c>
      <c r="D287" s="18">
        <v>3.65</v>
      </c>
      <c r="E287" s="19">
        <v>43119.0</v>
      </c>
      <c r="F287" s="18" t="s">
        <v>81</v>
      </c>
      <c r="G287" s="18"/>
      <c r="H287" s="18" t="s">
        <v>113</v>
      </c>
      <c r="I287" s="18" t="s">
        <v>132</v>
      </c>
      <c r="J287" s="18"/>
      <c r="K287" s="20"/>
      <c r="L287" s="18"/>
      <c r="M287" s="20"/>
      <c r="N287" s="18"/>
    </row>
    <row r="288">
      <c r="A288" s="17" t="str">
        <f t="shared" si="1"/>
        <v>PD-1537</v>
      </c>
      <c r="B288" s="18" t="s">
        <v>203</v>
      </c>
      <c r="C288" s="18" t="s">
        <v>204</v>
      </c>
      <c r="D288" s="18">
        <v>1.0</v>
      </c>
      <c r="E288" s="19">
        <v>43119.0</v>
      </c>
      <c r="F288" s="18" t="s">
        <v>81</v>
      </c>
      <c r="G288" s="18"/>
      <c r="H288" s="18" t="s">
        <v>96</v>
      </c>
      <c r="I288" s="18" t="s">
        <v>81</v>
      </c>
      <c r="J288" s="18"/>
      <c r="K288" s="20"/>
      <c r="L288" s="18"/>
      <c r="M288" s="20"/>
      <c r="N288" s="18"/>
    </row>
    <row r="289">
      <c r="A289" s="17" t="str">
        <f t="shared" si="1"/>
        <v>IOP-834</v>
      </c>
      <c r="B289" s="18" t="s">
        <v>258</v>
      </c>
      <c r="C289" s="18" t="s">
        <v>259</v>
      </c>
      <c r="D289" s="18">
        <v>0.3</v>
      </c>
      <c r="E289" s="19">
        <v>43119.0</v>
      </c>
      <c r="F289" s="18" t="s">
        <v>81</v>
      </c>
      <c r="G289" s="18"/>
      <c r="H289" s="18"/>
      <c r="I289" s="18" t="s">
        <v>116</v>
      </c>
      <c r="J289" s="18"/>
      <c r="K289" s="20"/>
      <c r="L289" s="18"/>
      <c r="M289" s="20"/>
      <c r="N289" s="18"/>
    </row>
    <row r="290">
      <c r="A290" s="17" t="str">
        <f t="shared" si="1"/>
        <v>PD-1502</v>
      </c>
      <c r="B290" s="18" t="s">
        <v>99</v>
      </c>
      <c r="C290" s="18" t="s">
        <v>100</v>
      </c>
      <c r="D290" s="18">
        <v>0.316666667</v>
      </c>
      <c r="E290" s="19">
        <v>43139.0</v>
      </c>
      <c r="F290" s="18" t="s">
        <v>81</v>
      </c>
      <c r="G290" s="18"/>
      <c r="H290" s="18" t="s">
        <v>101</v>
      </c>
      <c r="I290" s="18" t="s">
        <v>93</v>
      </c>
      <c r="J290" s="18"/>
      <c r="K290" s="20"/>
      <c r="L290" s="18"/>
      <c r="M290" s="20"/>
      <c r="N290" s="18"/>
    </row>
    <row r="291">
      <c r="A291" s="17" t="str">
        <f t="shared" si="1"/>
        <v>PD-1502</v>
      </c>
      <c r="B291" s="18" t="s">
        <v>99</v>
      </c>
      <c r="C291" s="18" t="s">
        <v>100</v>
      </c>
      <c r="D291" s="18">
        <v>2.483333333</v>
      </c>
      <c r="E291" s="19">
        <v>43143.0</v>
      </c>
      <c r="F291" s="18" t="s">
        <v>81</v>
      </c>
      <c r="G291" s="18"/>
      <c r="H291" s="18" t="s">
        <v>101</v>
      </c>
      <c r="I291" s="18" t="s">
        <v>93</v>
      </c>
      <c r="J291" s="18"/>
      <c r="K291" s="20"/>
      <c r="L291" s="18"/>
      <c r="M291" s="20"/>
      <c r="N291" s="18"/>
    </row>
    <row r="292">
      <c r="A292" s="17" t="str">
        <f t="shared" si="1"/>
        <v>IOP-867</v>
      </c>
      <c r="B292" s="18" t="s">
        <v>143</v>
      </c>
      <c r="C292" s="18" t="s">
        <v>144</v>
      </c>
      <c r="D292" s="18">
        <v>1.0</v>
      </c>
      <c r="E292" s="19">
        <v>43146.0</v>
      </c>
      <c r="F292" s="18" t="s">
        <v>77</v>
      </c>
      <c r="G292" s="18"/>
      <c r="H292" s="18" t="s">
        <v>119</v>
      </c>
      <c r="I292" s="18" t="s">
        <v>120</v>
      </c>
      <c r="J292" s="18"/>
      <c r="K292" s="20"/>
      <c r="L292" s="18"/>
      <c r="M292" s="20"/>
      <c r="N292" s="18"/>
    </row>
    <row r="293">
      <c r="A293" s="17" t="str">
        <f t="shared" si="1"/>
        <v>IOP-22</v>
      </c>
      <c r="B293" s="18" t="s">
        <v>216</v>
      </c>
      <c r="C293" s="18" t="s">
        <v>217</v>
      </c>
      <c r="D293" s="18">
        <v>1.25</v>
      </c>
      <c r="E293" s="19">
        <v>43122.0</v>
      </c>
      <c r="F293" s="18" t="s">
        <v>77</v>
      </c>
      <c r="G293" s="18"/>
      <c r="H293" s="18"/>
      <c r="I293" s="18" t="s">
        <v>190</v>
      </c>
      <c r="J293" s="18"/>
      <c r="K293" s="20"/>
      <c r="L293" s="18"/>
      <c r="M293" s="20"/>
      <c r="N293" s="18"/>
    </row>
    <row r="294">
      <c r="A294" s="17" t="str">
        <f t="shared" si="1"/>
        <v>IOP-40</v>
      </c>
      <c r="B294" s="18" t="s">
        <v>264</v>
      </c>
      <c r="C294" s="18" t="s">
        <v>265</v>
      </c>
      <c r="D294" s="18">
        <v>2.0</v>
      </c>
      <c r="E294" s="19">
        <v>43122.0</v>
      </c>
      <c r="F294" s="18" t="s">
        <v>77</v>
      </c>
      <c r="G294" s="18"/>
      <c r="H294" s="18"/>
      <c r="I294" s="18" t="s">
        <v>190</v>
      </c>
      <c r="J294" s="18"/>
      <c r="K294" s="20"/>
      <c r="L294" s="18"/>
      <c r="M294" s="20"/>
      <c r="N294" s="18"/>
    </row>
    <row r="295">
      <c r="A295" s="17" t="str">
        <f t="shared" si="1"/>
        <v>IOP-821</v>
      </c>
      <c r="B295" s="18" t="s">
        <v>235</v>
      </c>
      <c r="C295" s="18" t="s">
        <v>236</v>
      </c>
      <c r="D295" s="18">
        <v>0.5</v>
      </c>
      <c r="E295" s="19">
        <v>43123.0</v>
      </c>
      <c r="F295" s="18" t="s">
        <v>77</v>
      </c>
      <c r="G295" s="18"/>
      <c r="H295" s="18"/>
      <c r="I295" s="18" t="s">
        <v>176</v>
      </c>
      <c r="J295" s="18"/>
      <c r="K295" s="20"/>
      <c r="L295" s="18"/>
      <c r="M295" s="20"/>
      <c r="N295" s="18"/>
    </row>
    <row r="296">
      <c r="A296" s="17" t="str">
        <f t="shared" si="1"/>
        <v>IOP-41</v>
      </c>
      <c r="B296" s="18" t="s">
        <v>193</v>
      </c>
      <c r="C296" s="18" t="s">
        <v>194</v>
      </c>
      <c r="D296" s="18">
        <v>0.166666667</v>
      </c>
      <c r="E296" s="19">
        <v>43123.0</v>
      </c>
      <c r="F296" s="18" t="s">
        <v>77</v>
      </c>
      <c r="G296" s="18"/>
      <c r="H296" s="18"/>
      <c r="I296" s="18" t="s">
        <v>190</v>
      </c>
      <c r="J296" s="18"/>
      <c r="K296" s="20"/>
      <c r="L296" s="18"/>
      <c r="M296" s="20"/>
      <c r="N296" s="18"/>
    </row>
    <row r="297">
      <c r="A297" s="17" t="str">
        <f t="shared" si="1"/>
        <v>IOP-821</v>
      </c>
      <c r="B297" s="18" t="s">
        <v>235</v>
      </c>
      <c r="C297" s="18" t="s">
        <v>236</v>
      </c>
      <c r="D297" s="18">
        <v>1.0</v>
      </c>
      <c r="E297" s="19">
        <v>43122.0</v>
      </c>
      <c r="F297" s="18" t="s">
        <v>77</v>
      </c>
      <c r="G297" s="18"/>
      <c r="H297" s="18"/>
      <c r="I297" s="18" t="s">
        <v>176</v>
      </c>
      <c r="J297" s="18"/>
      <c r="K297" s="20"/>
      <c r="L297" s="20"/>
      <c r="M297" s="20"/>
      <c r="N297" s="18"/>
    </row>
    <row r="298">
      <c r="A298" s="17" t="str">
        <f t="shared" si="1"/>
        <v>IOP-42</v>
      </c>
      <c r="B298" s="18" t="s">
        <v>188</v>
      </c>
      <c r="C298" s="18" t="s">
        <v>189</v>
      </c>
      <c r="D298" s="18">
        <v>1.0</v>
      </c>
      <c r="E298" s="19">
        <v>43123.0</v>
      </c>
      <c r="F298" s="18" t="s">
        <v>77</v>
      </c>
      <c r="G298" s="18"/>
      <c r="H298" s="18"/>
      <c r="I298" s="18" t="s">
        <v>190</v>
      </c>
      <c r="J298" s="18"/>
      <c r="K298" s="20"/>
      <c r="L298" s="20"/>
      <c r="M298" s="20"/>
      <c r="N298" s="18"/>
    </row>
    <row r="299">
      <c r="A299" s="17" t="str">
        <f t="shared" si="1"/>
        <v>IOP-490</v>
      </c>
      <c r="B299" s="18" t="s">
        <v>224</v>
      </c>
      <c r="C299" s="18" t="s">
        <v>225</v>
      </c>
      <c r="D299" s="18">
        <v>0.25</v>
      </c>
      <c r="E299" s="19">
        <v>43124.0</v>
      </c>
      <c r="F299" s="18" t="s">
        <v>77</v>
      </c>
      <c r="G299" s="18"/>
      <c r="H299" s="18"/>
      <c r="I299" s="18" t="s">
        <v>77</v>
      </c>
      <c r="J299" s="18"/>
      <c r="K299" s="20"/>
      <c r="L299" s="20"/>
      <c r="M299" s="20"/>
      <c r="N299" s="18"/>
    </row>
    <row r="300">
      <c r="A300" s="17" t="str">
        <f t="shared" si="1"/>
        <v>IOP-838</v>
      </c>
      <c r="B300" s="18" t="s">
        <v>266</v>
      </c>
      <c r="C300" s="18" t="s">
        <v>267</v>
      </c>
      <c r="D300" s="18">
        <v>0.75</v>
      </c>
      <c r="E300" s="19">
        <v>43124.0</v>
      </c>
      <c r="F300" s="18" t="s">
        <v>77</v>
      </c>
      <c r="G300" s="18"/>
      <c r="H300" s="18"/>
      <c r="I300" s="18" t="s">
        <v>120</v>
      </c>
      <c r="J300" s="18"/>
      <c r="K300" s="20"/>
      <c r="L300" s="20"/>
      <c r="M300" s="20"/>
      <c r="N300" s="18"/>
    </row>
    <row r="301">
      <c r="A301" s="17" t="str">
        <f t="shared" si="1"/>
        <v>IOP-42</v>
      </c>
      <c r="B301" s="18" t="s">
        <v>188</v>
      </c>
      <c r="C301" s="18" t="s">
        <v>189</v>
      </c>
      <c r="D301" s="18">
        <v>1.0</v>
      </c>
      <c r="E301" s="19">
        <v>43124.0</v>
      </c>
      <c r="F301" s="18" t="s">
        <v>77</v>
      </c>
      <c r="G301" s="18"/>
      <c r="H301" s="18"/>
      <c r="I301" s="18" t="s">
        <v>190</v>
      </c>
      <c r="J301" s="18"/>
      <c r="K301" s="20"/>
      <c r="L301" s="18"/>
      <c r="M301" s="20"/>
      <c r="N301" s="18"/>
    </row>
    <row r="302">
      <c r="A302" s="17" t="str">
        <f t="shared" si="1"/>
        <v>IOP-6</v>
      </c>
      <c r="B302" s="18" t="s">
        <v>268</v>
      </c>
      <c r="C302" s="18" t="s">
        <v>269</v>
      </c>
      <c r="D302" s="18">
        <v>1.0</v>
      </c>
      <c r="E302" s="19">
        <v>43124.0</v>
      </c>
      <c r="F302" s="18" t="s">
        <v>77</v>
      </c>
      <c r="G302" s="18"/>
      <c r="H302" s="18"/>
      <c r="I302" s="18" t="s">
        <v>190</v>
      </c>
      <c r="J302" s="18"/>
      <c r="K302" s="20"/>
      <c r="L302" s="18"/>
      <c r="M302" s="20"/>
      <c r="N302" s="18"/>
    </row>
    <row r="303">
      <c r="A303" s="17" t="str">
        <f t="shared" si="1"/>
        <v>PD-1398</v>
      </c>
      <c r="B303" s="18" t="s">
        <v>79</v>
      </c>
      <c r="C303" s="18" t="s">
        <v>80</v>
      </c>
      <c r="D303" s="18">
        <v>0.1</v>
      </c>
      <c r="E303" s="19">
        <v>43122.0</v>
      </c>
      <c r="F303" s="18" t="s">
        <v>81</v>
      </c>
      <c r="G303" s="18"/>
      <c r="H303" s="18"/>
      <c r="I303" s="18" t="s">
        <v>81</v>
      </c>
      <c r="J303" s="18"/>
      <c r="K303" s="20"/>
      <c r="L303" s="18"/>
      <c r="M303" s="20"/>
      <c r="N303" s="18"/>
    </row>
    <row r="304">
      <c r="A304" s="17" t="str">
        <f t="shared" si="1"/>
        <v>PD-1399</v>
      </c>
      <c r="B304" s="18" t="s">
        <v>82</v>
      </c>
      <c r="C304" s="18" t="s">
        <v>83</v>
      </c>
      <c r="D304" s="18">
        <v>0.166666667</v>
      </c>
      <c r="E304" s="19">
        <v>43122.0</v>
      </c>
      <c r="F304" s="18" t="s">
        <v>81</v>
      </c>
      <c r="G304" s="18"/>
      <c r="H304" s="18"/>
      <c r="I304" s="18" t="s">
        <v>81</v>
      </c>
      <c r="J304" s="18"/>
      <c r="K304" s="20"/>
      <c r="L304" s="18"/>
      <c r="M304" s="20"/>
      <c r="N304" s="18"/>
    </row>
    <row r="305">
      <c r="A305" s="17" t="str">
        <f t="shared" si="1"/>
        <v>PD-1400</v>
      </c>
      <c r="B305" s="18" t="s">
        <v>84</v>
      </c>
      <c r="C305" s="18" t="s">
        <v>85</v>
      </c>
      <c r="D305" s="18">
        <v>0.166666667</v>
      </c>
      <c r="E305" s="19">
        <v>43122.0</v>
      </c>
      <c r="F305" s="18" t="s">
        <v>81</v>
      </c>
      <c r="G305" s="18"/>
      <c r="H305" s="18"/>
      <c r="I305" s="18" t="s">
        <v>81</v>
      </c>
      <c r="J305" s="18"/>
      <c r="K305" s="20"/>
      <c r="L305" s="18"/>
      <c r="M305" s="20"/>
      <c r="N305" s="18"/>
    </row>
    <row r="306">
      <c r="A306" s="17" t="str">
        <f t="shared" si="1"/>
        <v>PD-1512</v>
      </c>
      <c r="B306" s="18" t="s">
        <v>126</v>
      </c>
      <c r="C306" s="18" t="s">
        <v>127</v>
      </c>
      <c r="D306" s="18">
        <v>0.25</v>
      </c>
      <c r="E306" s="19">
        <v>43122.0</v>
      </c>
      <c r="F306" s="18" t="s">
        <v>81</v>
      </c>
      <c r="G306" s="18"/>
      <c r="H306" s="18" t="s">
        <v>96</v>
      </c>
      <c r="I306" s="18" t="s">
        <v>81</v>
      </c>
      <c r="J306" s="18"/>
      <c r="K306" s="20"/>
      <c r="L306" s="18"/>
      <c r="M306" s="20"/>
      <c r="N306" s="18"/>
    </row>
    <row r="307">
      <c r="A307" s="17" t="str">
        <f t="shared" si="1"/>
        <v>PD-1395</v>
      </c>
      <c r="B307" s="18" t="s">
        <v>138</v>
      </c>
      <c r="C307" s="18" t="s">
        <v>139</v>
      </c>
      <c r="D307" s="18">
        <v>0.616666667</v>
      </c>
      <c r="E307" s="19">
        <v>43122.0</v>
      </c>
      <c r="F307" s="18" t="s">
        <v>81</v>
      </c>
      <c r="G307" s="18"/>
      <c r="H307" s="18" t="s">
        <v>101</v>
      </c>
      <c r="I307" s="18" t="s">
        <v>81</v>
      </c>
      <c r="J307" s="18"/>
      <c r="K307" s="20"/>
      <c r="L307" s="18"/>
      <c r="M307" s="20"/>
      <c r="N307" s="18"/>
    </row>
    <row r="308">
      <c r="A308" s="17" t="str">
        <f t="shared" si="1"/>
        <v>PD-1521</v>
      </c>
      <c r="B308" s="18" t="s">
        <v>111</v>
      </c>
      <c r="C308" s="18" t="s">
        <v>112</v>
      </c>
      <c r="D308" s="18">
        <v>0.183333333</v>
      </c>
      <c r="E308" s="19">
        <v>43122.0</v>
      </c>
      <c r="F308" s="18" t="s">
        <v>81</v>
      </c>
      <c r="G308" s="18"/>
      <c r="H308" s="18" t="s">
        <v>113</v>
      </c>
      <c r="I308" s="18" t="s">
        <v>93</v>
      </c>
      <c r="J308" s="18"/>
      <c r="K308" s="20"/>
      <c r="L308" s="18"/>
      <c r="M308" s="20"/>
      <c r="N308" s="18"/>
    </row>
    <row r="309">
      <c r="A309" s="17" t="str">
        <f t="shared" si="1"/>
        <v>PD-1490</v>
      </c>
      <c r="B309" s="18" t="s">
        <v>130</v>
      </c>
      <c r="C309" s="18" t="s">
        <v>131</v>
      </c>
      <c r="D309" s="18">
        <v>0.416666667</v>
      </c>
      <c r="E309" s="19">
        <v>43122.0</v>
      </c>
      <c r="F309" s="18" t="s">
        <v>81</v>
      </c>
      <c r="G309" s="18"/>
      <c r="H309" s="18" t="s">
        <v>113</v>
      </c>
      <c r="I309" s="18" t="s">
        <v>132</v>
      </c>
      <c r="J309" s="18"/>
      <c r="K309" s="20"/>
      <c r="L309" s="18"/>
      <c r="M309" s="20"/>
      <c r="N309" s="18"/>
    </row>
    <row r="310">
      <c r="A310" s="17" t="str">
        <f t="shared" si="1"/>
        <v>PD-1506</v>
      </c>
      <c r="B310" s="18" t="s">
        <v>270</v>
      </c>
      <c r="C310" s="18" t="s">
        <v>271</v>
      </c>
      <c r="D310" s="18">
        <v>2.75</v>
      </c>
      <c r="E310" s="19">
        <v>43122.0</v>
      </c>
      <c r="F310" s="18" t="s">
        <v>81</v>
      </c>
      <c r="G310" s="18"/>
      <c r="H310" s="18" t="s">
        <v>92</v>
      </c>
      <c r="I310" s="18" t="s">
        <v>93</v>
      </c>
      <c r="J310" s="18"/>
      <c r="K310" s="20"/>
      <c r="L310" s="18"/>
      <c r="M310" s="20"/>
      <c r="N310" s="18"/>
    </row>
    <row r="311">
      <c r="A311" s="17" t="str">
        <f t="shared" si="1"/>
        <v>PD-1464</v>
      </c>
      <c r="B311" s="18" t="s">
        <v>90</v>
      </c>
      <c r="C311" s="18" t="s">
        <v>91</v>
      </c>
      <c r="D311" s="18">
        <v>3.416666667</v>
      </c>
      <c r="E311" s="19">
        <v>43122.0</v>
      </c>
      <c r="F311" s="18" t="s">
        <v>81</v>
      </c>
      <c r="G311" s="18"/>
      <c r="H311" s="18" t="s">
        <v>92</v>
      </c>
      <c r="I311" s="18" t="s">
        <v>93</v>
      </c>
      <c r="J311" s="18"/>
      <c r="K311" s="20"/>
      <c r="L311" s="20"/>
      <c r="M311" s="18"/>
      <c r="N311" s="18"/>
    </row>
    <row r="312">
      <c r="A312" s="17" t="str">
        <f t="shared" si="1"/>
        <v>PD-1398</v>
      </c>
      <c r="B312" s="18" t="s">
        <v>79</v>
      </c>
      <c r="C312" s="18" t="s">
        <v>80</v>
      </c>
      <c r="D312" s="18">
        <v>0.016666667</v>
      </c>
      <c r="E312" s="19">
        <v>43123.0</v>
      </c>
      <c r="F312" s="18" t="s">
        <v>81</v>
      </c>
      <c r="G312" s="18"/>
      <c r="H312" s="18"/>
      <c r="I312" s="18" t="s">
        <v>81</v>
      </c>
      <c r="J312" s="18"/>
      <c r="K312" s="20"/>
      <c r="L312" s="20"/>
      <c r="M312" s="18"/>
      <c r="N312" s="18"/>
    </row>
    <row r="313">
      <c r="A313" s="17" t="str">
        <f t="shared" si="1"/>
        <v>PD-1400</v>
      </c>
      <c r="B313" s="18" t="s">
        <v>84</v>
      </c>
      <c r="C313" s="18" t="s">
        <v>85</v>
      </c>
      <c r="D313" s="18">
        <v>0.116666667</v>
      </c>
      <c r="E313" s="19">
        <v>43123.0</v>
      </c>
      <c r="F313" s="18" t="s">
        <v>81</v>
      </c>
      <c r="G313" s="18"/>
      <c r="H313" s="18"/>
      <c r="I313" s="18" t="s">
        <v>81</v>
      </c>
      <c r="J313" s="18"/>
      <c r="K313" s="20"/>
      <c r="L313" s="20"/>
      <c r="M313" s="18"/>
      <c r="N313" s="18"/>
    </row>
    <row r="314">
      <c r="A314" s="17" t="str">
        <f t="shared" si="1"/>
        <v>PD-1395</v>
      </c>
      <c r="B314" s="18" t="s">
        <v>138</v>
      </c>
      <c r="C314" s="18" t="s">
        <v>139</v>
      </c>
      <c r="D314" s="18">
        <v>0.266666667</v>
      </c>
      <c r="E314" s="19">
        <v>43123.0</v>
      </c>
      <c r="F314" s="18" t="s">
        <v>81</v>
      </c>
      <c r="G314" s="18"/>
      <c r="H314" s="18" t="s">
        <v>101</v>
      </c>
      <c r="I314" s="18" t="s">
        <v>81</v>
      </c>
      <c r="J314" s="18"/>
      <c r="K314" s="20"/>
      <c r="L314" s="20"/>
      <c r="M314" s="18"/>
      <c r="N314" s="18"/>
    </row>
    <row r="315">
      <c r="A315" s="17" t="str">
        <f t="shared" si="1"/>
        <v>PD-1547</v>
      </c>
      <c r="B315" s="18" t="s">
        <v>256</v>
      </c>
      <c r="C315" s="18" t="s">
        <v>257</v>
      </c>
      <c r="D315" s="18">
        <v>0.483333333</v>
      </c>
      <c r="E315" s="19">
        <v>43123.0</v>
      </c>
      <c r="F315" s="18" t="s">
        <v>81</v>
      </c>
      <c r="G315" s="18"/>
      <c r="H315" s="18" t="s">
        <v>92</v>
      </c>
      <c r="I315" s="18" t="s">
        <v>81</v>
      </c>
      <c r="J315" s="18"/>
      <c r="K315" s="20"/>
      <c r="L315" s="20"/>
      <c r="M315" s="18"/>
      <c r="N315" s="18"/>
    </row>
    <row r="316">
      <c r="A316" s="17" t="str">
        <f t="shared" si="1"/>
        <v>PD-1490</v>
      </c>
      <c r="B316" s="18" t="s">
        <v>130</v>
      </c>
      <c r="C316" s="18" t="s">
        <v>131</v>
      </c>
      <c r="D316" s="18">
        <v>0.083333333</v>
      </c>
      <c r="E316" s="19">
        <v>43123.0</v>
      </c>
      <c r="F316" s="18" t="s">
        <v>81</v>
      </c>
      <c r="G316" s="18"/>
      <c r="H316" s="18" t="s">
        <v>113</v>
      </c>
      <c r="I316" s="18" t="s">
        <v>132</v>
      </c>
      <c r="J316" s="18"/>
      <c r="K316" s="20"/>
      <c r="L316" s="20"/>
      <c r="M316" s="18"/>
      <c r="N316" s="18"/>
    </row>
    <row r="317">
      <c r="A317" s="17" t="str">
        <f t="shared" si="1"/>
        <v>PD-1464</v>
      </c>
      <c r="B317" s="18" t="s">
        <v>90</v>
      </c>
      <c r="C317" s="18" t="s">
        <v>91</v>
      </c>
      <c r="D317" s="18">
        <v>3.666666667</v>
      </c>
      <c r="E317" s="19">
        <v>43123.0</v>
      </c>
      <c r="F317" s="18" t="s">
        <v>81</v>
      </c>
      <c r="G317" s="18"/>
      <c r="H317" s="18" t="s">
        <v>92</v>
      </c>
      <c r="I317" s="18" t="s">
        <v>93</v>
      </c>
      <c r="J317" s="18"/>
      <c r="K317" s="20"/>
      <c r="L317" s="20"/>
      <c r="M317" s="18"/>
      <c r="N317" s="18"/>
    </row>
    <row r="318">
      <c r="A318" s="17" t="str">
        <f t="shared" si="1"/>
        <v>PD-1400</v>
      </c>
      <c r="B318" s="18" t="s">
        <v>84</v>
      </c>
      <c r="C318" s="18" t="s">
        <v>85</v>
      </c>
      <c r="D318" s="18">
        <v>0.15</v>
      </c>
      <c r="E318" s="19">
        <v>43124.0</v>
      </c>
      <c r="F318" s="18" t="s">
        <v>81</v>
      </c>
      <c r="G318" s="18"/>
      <c r="H318" s="18"/>
      <c r="I318" s="18" t="s">
        <v>81</v>
      </c>
      <c r="J318" s="18"/>
      <c r="K318" s="20"/>
      <c r="L318" s="20"/>
      <c r="M318" s="18"/>
      <c r="N318" s="18"/>
    </row>
    <row r="319">
      <c r="A319" s="17" t="str">
        <f t="shared" si="1"/>
        <v>PD-1395</v>
      </c>
      <c r="B319" s="18" t="s">
        <v>138</v>
      </c>
      <c r="C319" s="18" t="s">
        <v>139</v>
      </c>
      <c r="D319" s="18">
        <v>0.883333333</v>
      </c>
      <c r="E319" s="19">
        <v>43124.0</v>
      </c>
      <c r="F319" s="18" t="s">
        <v>81</v>
      </c>
      <c r="G319" s="18"/>
      <c r="H319" s="18" t="s">
        <v>101</v>
      </c>
      <c r="I319" s="18" t="s">
        <v>81</v>
      </c>
      <c r="J319" s="18"/>
      <c r="K319" s="20"/>
      <c r="L319" s="20"/>
      <c r="M319" s="18"/>
      <c r="N319" s="18"/>
    </row>
    <row r="320">
      <c r="A320" s="17" t="str">
        <f t="shared" si="1"/>
        <v>PD-1464</v>
      </c>
      <c r="B320" s="18" t="s">
        <v>90</v>
      </c>
      <c r="C320" s="18" t="s">
        <v>91</v>
      </c>
      <c r="D320" s="18">
        <v>0.2</v>
      </c>
      <c r="E320" s="19">
        <v>43124.0</v>
      </c>
      <c r="F320" s="18" t="s">
        <v>81</v>
      </c>
      <c r="G320" s="18"/>
      <c r="H320" s="18" t="s">
        <v>92</v>
      </c>
      <c r="I320" s="18" t="s">
        <v>93</v>
      </c>
      <c r="J320" s="18"/>
      <c r="K320" s="20"/>
      <c r="L320" s="20"/>
      <c r="M320" s="18"/>
      <c r="N320" s="18"/>
    </row>
    <row r="321">
      <c r="A321" s="17" t="str">
        <f t="shared" si="1"/>
        <v>PD-1521</v>
      </c>
      <c r="B321" s="18" t="s">
        <v>111</v>
      </c>
      <c r="C321" s="18" t="s">
        <v>112</v>
      </c>
      <c r="D321" s="18">
        <v>0.616666667</v>
      </c>
      <c r="E321" s="19">
        <v>43124.0</v>
      </c>
      <c r="F321" s="18" t="s">
        <v>81</v>
      </c>
      <c r="G321" s="18"/>
      <c r="H321" s="18" t="s">
        <v>113</v>
      </c>
      <c r="I321" s="18" t="s">
        <v>93</v>
      </c>
      <c r="J321" s="18"/>
      <c r="K321" s="20"/>
      <c r="L321" s="20"/>
      <c r="M321" s="18"/>
      <c r="N321" s="18"/>
    </row>
    <row r="322">
      <c r="A322" s="17" t="str">
        <f t="shared" si="1"/>
        <v>IOP-706</v>
      </c>
      <c r="B322" s="18" t="s">
        <v>232</v>
      </c>
      <c r="C322" s="18" t="s">
        <v>233</v>
      </c>
      <c r="D322" s="18">
        <v>0.25</v>
      </c>
      <c r="E322" s="19">
        <v>43124.0</v>
      </c>
      <c r="F322" s="18" t="s">
        <v>81</v>
      </c>
      <c r="G322" s="18"/>
      <c r="H322" s="18" t="s">
        <v>234</v>
      </c>
      <c r="I322" s="18" t="s">
        <v>81</v>
      </c>
      <c r="J322" s="18"/>
      <c r="K322" s="20"/>
      <c r="L322" s="20"/>
      <c r="M322" s="18"/>
      <c r="N322" s="18"/>
    </row>
    <row r="323">
      <c r="A323" s="17" t="str">
        <f t="shared" si="1"/>
        <v>IOP-537</v>
      </c>
      <c r="B323" s="18" t="s">
        <v>133</v>
      </c>
      <c r="C323" s="18" t="s">
        <v>134</v>
      </c>
      <c r="D323" s="18">
        <v>1.283333333</v>
      </c>
      <c r="E323" s="19">
        <v>43124.0</v>
      </c>
      <c r="F323" s="18" t="s">
        <v>81</v>
      </c>
      <c r="G323" s="18"/>
      <c r="H323" s="18"/>
      <c r="I323" s="18" t="s">
        <v>77</v>
      </c>
      <c r="J323" s="18"/>
      <c r="K323" s="20"/>
      <c r="L323" s="18"/>
      <c r="M323" s="20"/>
      <c r="N323" s="18"/>
    </row>
    <row r="324">
      <c r="A324" s="17" t="str">
        <f t="shared" si="1"/>
        <v>PD-1502</v>
      </c>
      <c r="B324" s="18" t="s">
        <v>99</v>
      </c>
      <c r="C324" s="18" t="s">
        <v>100</v>
      </c>
      <c r="D324" s="18">
        <v>0.6</v>
      </c>
      <c r="E324" s="19">
        <v>43124.0</v>
      </c>
      <c r="F324" s="18" t="s">
        <v>81</v>
      </c>
      <c r="G324" s="18"/>
      <c r="H324" s="18" t="s">
        <v>101</v>
      </c>
      <c r="I324" s="18" t="s">
        <v>93</v>
      </c>
      <c r="J324" s="18"/>
      <c r="K324" s="20"/>
      <c r="L324" s="18"/>
      <c r="M324" s="20"/>
      <c r="N324" s="18"/>
    </row>
    <row r="325">
      <c r="A325" s="17" t="str">
        <f t="shared" si="1"/>
        <v>IOP-6</v>
      </c>
      <c r="B325" s="18" t="s">
        <v>268</v>
      </c>
      <c r="C325" s="18" t="s">
        <v>269</v>
      </c>
      <c r="D325" s="18">
        <v>1.0</v>
      </c>
      <c r="E325" s="19">
        <v>43125.0</v>
      </c>
      <c r="F325" s="18" t="s">
        <v>77</v>
      </c>
      <c r="G325" s="18"/>
      <c r="H325" s="18"/>
      <c r="I325" s="18" t="s">
        <v>190</v>
      </c>
      <c r="J325" s="18"/>
      <c r="K325" s="20"/>
      <c r="L325" s="18"/>
      <c r="M325" s="20"/>
      <c r="N325" s="18"/>
    </row>
    <row r="326">
      <c r="A326" s="17" t="str">
        <f t="shared" si="1"/>
        <v>PD-1398</v>
      </c>
      <c r="B326" s="18" t="s">
        <v>79</v>
      </c>
      <c r="C326" s="18" t="s">
        <v>80</v>
      </c>
      <c r="D326" s="18">
        <v>0.1</v>
      </c>
      <c r="E326" s="19">
        <v>43125.0</v>
      </c>
      <c r="F326" s="18" t="s">
        <v>81</v>
      </c>
      <c r="G326" s="18"/>
      <c r="H326" s="18"/>
      <c r="I326" s="18" t="s">
        <v>81</v>
      </c>
      <c r="J326" s="18"/>
      <c r="K326" s="20"/>
      <c r="L326" s="18"/>
      <c r="M326" s="20"/>
      <c r="N326" s="18"/>
    </row>
    <row r="327">
      <c r="A327" s="17" t="str">
        <f t="shared" si="1"/>
        <v>PD-1399</v>
      </c>
      <c r="B327" s="18" t="s">
        <v>82</v>
      </c>
      <c r="C327" s="18" t="s">
        <v>83</v>
      </c>
      <c r="D327" s="18">
        <v>0.316666667</v>
      </c>
      <c r="E327" s="19">
        <v>43125.0</v>
      </c>
      <c r="F327" s="18" t="s">
        <v>81</v>
      </c>
      <c r="G327" s="18"/>
      <c r="H327" s="18"/>
      <c r="I327" s="18" t="s">
        <v>81</v>
      </c>
      <c r="J327" s="18"/>
      <c r="K327" s="20"/>
      <c r="L327" s="18"/>
      <c r="M327" s="20"/>
      <c r="N327" s="18"/>
    </row>
    <row r="328">
      <c r="A328" s="17" t="str">
        <f t="shared" si="1"/>
        <v>PD-1400</v>
      </c>
      <c r="B328" s="18" t="s">
        <v>84</v>
      </c>
      <c r="C328" s="18" t="s">
        <v>85</v>
      </c>
      <c r="D328" s="18">
        <v>0.216666667</v>
      </c>
      <c r="E328" s="19">
        <v>43125.0</v>
      </c>
      <c r="F328" s="18" t="s">
        <v>81</v>
      </c>
      <c r="G328" s="18"/>
      <c r="H328" s="18"/>
      <c r="I328" s="18" t="s">
        <v>81</v>
      </c>
      <c r="J328" s="18"/>
      <c r="K328" s="20"/>
      <c r="L328" s="18"/>
      <c r="M328" s="20"/>
      <c r="N328" s="18"/>
    </row>
    <row r="329">
      <c r="A329" s="17" t="str">
        <f t="shared" si="1"/>
        <v>PD-1464</v>
      </c>
      <c r="B329" s="18" t="s">
        <v>90</v>
      </c>
      <c r="C329" s="18" t="s">
        <v>91</v>
      </c>
      <c r="D329" s="18">
        <v>4.616666667</v>
      </c>
      <c r="E329" s="19">
        <v>43125.0</v>
      </c>
      <c r="F329" s="18" t="s">
        <v>81</v>
      </c>
      <c r="G329" s="18"/>
      <c r="H329" s="18" t="s">
        <v>92</v>
      </c>
      <c r="I329" s="18" t="s">
        <v>93</v>
      </c>
      <c r="J329" s="18"/>
      <c r="K329" s="20"/>
      <c r="L329" s="18"/>
      <c r="M329" s="20"/>
      <c r="N329" s="18"/>
    </row>
    <row r="330">
      <c r="A330" s="17" t="str">
        <f t="shared" si="1"/>
        <v>PD-1521</v>
      </c>
      <c r="B330" s="18" t="s">
        <v>111</v>
      </c>
      <c r="C330" s="18" t="s">
        <v>112</v>
      </c>
      <c r="D330" s="18">
        <v>0.183333333</v>
      </c>
      <c r="E330" s="19">
        <v>43125.0</v>
      </c>
      <c r="F330" s="18" t="s">
        <v>81</v>
      </c>
      <c r="G330" s="18"/>
      <c r="H330" s="18" t="s">
        <v>113</v>
      </c>
      <c r="I330" s="18" t="s">
        <v>93</v>
      </c>
      <c r="J330" s="18"/>
      <c r="K330" s="20"/>
      <c r="L330" s="18"/>
      <c r="M330" s="20"/>
      <c r="N330" s="18"/>
    </row>
    <row r="331">
      <c r="A331" s="17" t="str">
        <f t="shared" si="1"/>
        <v>PD-1513</v>
      </c>
      <c r="B331" s="18" t="s">
        <v>94</v>
      </c>
      <c r="C331" s="18" t="s">
        <v>95</v>
      </c>
      <c r="D331" s="18">
        <v>1.516666667</v>
      </c>
      <c r="E331" s="19">
        <v>43125.0</v>
      </c>
      <c r="F331" s="18" t="s">
        <v>81</v>
      </c>
      <c r="G331" s="18"/>
      <c r="H331" s="18" t="s">
        <v>96</v>
      </c>
      <c r="I331" s="18" t="s">
        <v>81</v>
      </c>
      <c r="J331" s="18"/>
      <c r="K331" s="20"/>
      <c r="L331" s="18"/>
      <c r="M331" s="20"/>
      <c r="N331" s="18"/>
    </row>
    <row r="332">
      <c r="A332" s="17" t="str">
        <f t="shared" si="1"/>
        <v>PD-1540</v>
      </c>
      <c r="B332" s="18" t="s">
        <v>165</v>
      </c>
      <c r="C332" s="18" t="s">
        <v>166</v>
      </c>
      <c r="D332" s="18">
        <v>0.416666667</v>
      </c>
      <c r="E332" s="19">
        <v>43125.0</v>
      </c>
      <c r="F332" s="18" t="s">
        <v>81</v>
      </c>
      <c r="G332" s="18"/>
      <c r="H332" s="18" t="s">
        <v>167</v>
      </c>
      <c r="I332" s="18" t="s">
        <v>78</v>
      </c>
      <c r="J332" s="18"/>
      <c r="K332" s="20"/>
      <c r="L332" s="18"/>
      <c r="M332" s="20"/>
      <c r="N332" s="18"/>
    </row>
    <row r="333">
      <c r="A333" s="17" t="str">
        <f t="shared" si="1"/>
        <v>IOP-42</v>
      </c>
      <c r="B333" s="18" t="s">
        <v>188</v>
      </c>
      <c r="C333" s="18" t="s">
        <v>189</v>
      </c>
      <c r="D333" s="18">
        <v>1.0</v>
      </c>
      <c r="E333" s="19">
        <v>43126.0</v>
      </c>
      <c r="F333" s="18" t="s">
        <v>77</v>
      </c>
      <c r="G333" s="18"/>
      <c r="H333" s="18"/>
      <c r="I333" s="18" t="s">
        <v>190</v>
      </c>
      <c r="J333" s="18"/>
      <c r="K333" s="20"/>
      <c r="L333" s="18"/>
      <c r="M333" s="20"/>
      <c r="N333" s="18"/>
    </row>
    <row r="334">
      <c r="A334" s="17" t="str">
        <f t="shared" si="1"/>
        <v>IOP-42</v>
      </c>
      <c r="B334" s="18" t="s">
        <v>188</v>
      </c>
      <c r="C334" s="18" t="s">
        <v>189</v>
      </c>
      <c r="D334" s="18">
        <v>1.0</v>
      </c>
      <c r="E334" s="19">
        <v>43125.0</v>
      </c>
      <c r="F334" s="18" t="s">
        <v>77</v>
      </c>
      <c r="G334" s="18"/>
      <c r="H334" s="18"/>
      <c r="I334" s="18" t="s">
        <v>190</v>
      </c>
      <c r="J334" s="18"/>
      <c r="K334" s="20"/>
      <c r="L334" s="18"/>
      <c r="M334" s="20"/>
      <c r="N334" s="18"/>
    </row>
    <row r="335">
      <c r="A335" s="17" t="str">
        <f t="shared" si="1"/>
        <v>IOP-42</v>
      </c>
      <c r="B335" s="18" t="s">
        <v>188</v>
      </c>
      <c r="C335" s="18" t="s">
        <v>189</v>
      </c>
      <c r="D335" s="18">
        <v>1.0</v>
      </c>
      <c r="E335" s="19">
        <v>43128.0</v>
      </c>
      <c r="F335" s="18" t="s">
        <v>77</v>
      </c>
      <c r="G335" s="18"/>
      <c r="H335" s="18"/>
      <c r="I335" s="18" t="s">
        <v>190</v>
      </c>
      <c r="J335" s="18"/>
      <c r="K335" s="20"/>
      <c r="L335" s="18"/>
      <c r="M335" s="20"/>
      <c r="N335" s="18"/>
    </row>
    <row r="336">
      <c r="A336" s="17" t="str">
        <f t="shared" si="1"/>
        <v>PD-1398</v>
      </c>
      <c r="B336" s="18" t="s">
        <v>79</v>
      </c>
      <c r="C336" s="18" t="s">
        <v>80</v>
      </c>
      <c r="D336" s="18">
        <v>0.033333333</v>
      </c>
      <c r="E336" s="19">
        <v>43126.0</v>
      </c>
      <c r="F336" s="18" t="s">
        <v>81</v>
      </c>
      <c r="G336" s="18"/>
      <c r="H336" s="18"/>
      <c r="I336" s="18" t="s">
        <v>81</v>
      </c>
      <c r="J336" s="18"/>
      <c r="K336" s="20"/>
      <c r="L336" s="18"/>
      <c r="M336" s="20"/>
      <c r="N336" s="18"/>
    </row>
    <row r="337">
      <c r="A337" s="17" t="str">
        <f t="shared" si="1"/>
        <v>PD-1399</v>
      </c>
      <c r="B337" s="18" t="s">
        <v>82</v>
      </c>
      <c r="C337" s="18" t="s">
        <v>83</v>
      </c>
      <c r="D337" s="18">
        <v>0.133333333</v>
      </c>
      <c r="E337" s="19">
        <v>43126.0</v>
      </c>
      <c r="F337" s="18" t="s">
        <v>81</v>
      </c>
      <c r="G337" s="18"/>
      <c r="H337" s="18"/>
      <c r="I337" s="18" t="s">
        <v>81</v>
      </c>
      <c r="J337" s="18"/>
      <c r="K337" s="20"/>
      <c r="L337" s="18"/>
      <c r="M337" s="20"/>
      <c r="N337" s="18"/>
    </row>
    <row r="338">
      <c r="A338" s="17" t="str">
        <f t="shared" si="1"/>
        <v>PD-1400</v>
      </c>
      <c r="B338" s="18" t="s">
        <v>84</v>
      </c>
      <c r="C338" s="18" t="s">
        <v>85</v>
      </c>
      <c r="D338" s="18">
        <v>0.166666667</v>
      </c>
      <c r="E338" s="19">
        <v>43126.0</v>
      </c>
      <c r="F338" s="18" t="s">
        <v>81</v>
      </c>
      <c r="G338" s="18"/>
      <c r="H338" s="18"/>
      <c r="I338" s="18" t="s">
        <v>81</v>
      </c>
      <c r="J338" s="18"/>
      <c r="K338" s="20"/>
      <c r="L338" s="18"/>
      <c r="M338" s="20"/>
      <c r="N338" s="18"/>
    </row>
    <row r="339">
      <c r="A339" s="17" t="str">
        <f t="shared" si="1"/>
        <v>PD-1547</v>
      </c>
      <c r="B339" s="18" t="s">
        <v>256</v>
      </c>
      <c r="C339" s="18" t="s">
        <v>257</v>
      </c>
      <c r="D339" s="18">
        <v>0.433333333</v>
      </c>
      <c r="E339" s="19">
        <v>43126.0</v>
      </c>
      <c r="F339" s="18" t="s">
        <v>81</v>
      </c>
      <c r="G339" s="18"/>
      <c r="H339" s="18" t="s">
        <v>92</v>
      </c>
      <c r="I339" s="18" t="s">
        <v>81</v>
      </c>
      <c r="J339" s="18"/>
      <c r="K339" s="20"/>
      <c r="L339" s="18"/>
      <c r="M339" s="20"/>
      <c r="N339" s="18"/>
    </row>
    <row r="340">
      <c r="A340" s="17" t="str">
        <f t="shared" si="1"/>
        <v>PD-1521</v>
      </c>
      <c r="B340" s="18" t="s">
        <v>111</v>
      </c>
      <c r="C340" s="18" t="s">
        <v>112</v>
      </c>
      <c r="D340" s="18">
        <v>0.233333333</v>
      </c>
      <c r="E340" s="19">
        <v>43126.0</v>
      </c>
      <c r="F340" s="18" t="s">
        <v>81</v>
      </c>
      <c r="G340" s="18"/>
      <c r="H340" s="18" t="s">
        <v>113</v>
      </c>
      <c r="I340" s="18" t="s">
        <v>93</v>
      </c>
      <c r="J340" s="18"/>
      <c r="K340" s="20"/>
      <c r="L340" s="18"/>
      <c r="M340" s="20"/>
      <c r="N340" s="18"/>
    </row>
    <row r="341">
      <c r="A341" s="17" t="str">
        <f t="shared" si="1"/>
        <v>PD-1522</v>
      </c>
      <c r="B341" s="18" t="s">
        <v>272</v>
      </c>
      <c r="C341" s="18" t="s">
        <v>219</v>
      </c>
      <c r="D341" s="18">
        <v>1.266666667</v>
      </c>
      <c r="E341" s="19">
        <v>43126.0</v>
      </c>
      <c r="F341" s="18" t="s">
        <v>81</v>
      </c>
      <c r="G341" s="18"/>
      <c r="H341" s="18"/>
      <c r="I341" s="18" t="s">
        <v>81</v>
      </c>
      <c r="J341" s="18"/>
      <c r="K341" s="20"/>
      <c r="L341" s="18"/>
      <c r="M341" s="20"/>
      <c r="N341" s="18"/>
    </row>
    <row r="342">
      <c r="A342" s="17" t="str">
        <f t="shared" si="1"/>
        <v>PD-1553</v>
      </c>
      <c r="B342" s="18" t="s">
        <v>273</v>
      </c>
      <c r="C342" s="18" t="s">
        <v>274</v>
      </c>
      <c r="D342" s="18">
        <v>1.316666667</v>
      </c>
      <c r="E342" s="19">
        <v>43126.0</v>
      </c>
      <c r="F342" s="18" t="s">
        <v>81</v>
      </c>
      <c r="G342" s="18"/>
      <c r="H342" s="18" t="s">
        <v>167</v>
      </c>
      <c r="I342" s="18" t="s">
        <v>132</v>
      </c>
      <c r="J342" s="18"/>
      <c r="K342" s="20"/>
      <c r="L342" s="18"/>
      <c r="M342" s="20"/>
      <c r="N342" s="18"/>
    </row>
    <row r="343">
      <c r="A343" s="17" t="str">
        <f t="shared" si="1"/>
        <v>IOP-537</v>
      </c>
      <c r="B343" s="18" t="s">
        <v>133</v>
      </c>
      <c r="C343" s="18" t="s">
        <v>134</v>
      </c>
      <c r="D343" s="18">
        <v>0.55</v>
      </c>
      <c r="E343" s="19">
        <v>43126.0</v>
      </c>
      <c r="F343" s="18" t="s">
        <v>81</v>
      </c>
      <c r="G343" s="18"/>
      <c r="H343" s="18"/>
      <c r="I343" s="18" t="s">
        <v>77</v>
      </c>
      <c r="J343" s="18"/>
      <c r="K343" s="20"/>
      <c r="L343" s="18"/>
      <c r="M343" s="20"/>
      <c r="N343" s="18"/>
    </row>
    <row r="344">
      <c r="A344" s="17" t="str">
        <f t="shared" si="1"/>
        <v>PD-1480</v>
      </c>
      <c r="B344" s="18" t="s">
        <v>121</v>
      </c>
      <c r="C344" s="18" t="s">
        <v>122</v>
      </c>
      <c r="D344" s="18">
        <v>0.833333333</v>
      </c>
      <c r="E344" s="19">
        <v>43126.0</v>
      </c>
      <c r="F344" s="18" t="s">
        <v>81</v>
      </c>
      <c r="G344" s="18"/>
      <c r="H344" s="18" t="s">
        <v>88</v>
      </c>
      <c r="I344" s="18" t="s">
        <v>78</v>
      </c>
      <c r="J344" s="18"/>
      <c r="K344" s="20"/>
      <c r="L344" s="18"/>
      <c r="M344" s="20"/>
      <c r="N344" s="18"/>
    </row>
    <row r="345">
      <c r="A345" s="17" t="str">
        <f t="shared" si="1"/>
        <v>PD-1364</v>
      </c>
      <c r="B345" s="18" t="s">
        <v>172</v>
      </c>
      <c r="C345" s="18" t="s">
        <v>173</v>
      </c>
      <c r="D345" s="18">
        <v>3.0</v>
      </c>
      <c r="E345" s="19">
        <v>43126.0</v>
      </c>
      <c r="F345" s="18" t="s">
        <v>81</v>
      </c>
      <c r="G345" s="18"/>
      <c r="H345" s="18" t="s">
        <v>167</v>
      </c>
      <c r="I345" s="18" t="s">
        <v>78</v>
      </c>
      <c r="J345" s="18"/>
      <c r="K345" s="20"/>
      <c r="L345" s="18"/>
      <c r="M345" s="20"/>
      <c r="N345" s="18"/>
    </row>
    <row r="346">
      <c r="A346" s="17" t="str">
        <f t="shared" si="1"/>
        <v>PD-1398</v>
      </c>
      <c r="B346" s="18" t="s">
        <v>79</v>
      </c>
      <c r="C346" s="18" t="s">
        <v>80</v>
      </c>
      <c r="D346" s="18">
        <v>0.066666667</v>
      </c>
      <c r="E346" s="19">
        <v>43129.0</v>
      </c>
      <c r="F346" s="18" t="s">
        <v>81</v>
      </c>
      <c r="G346" s="18"/>
      <c r="H346" s="18"/>
      <c r="I346" s="18" t="s">
        <v>81</v>
      </c>
      <c r="J346" s="18"/>
      <c r="K346" s="20"/>
      <c r="L346" s="18"/>
      <c r="M346" s="20"/>
      <c r="N346" s="18"/>
    </row>
    <row r="347">
      <c r="A347" s="17" t="str">
        <f t="shared" si="1"/>
        <v>PD-1399</v>
      </c>
      <c r="B347" s="18" t="s">
        <v>82</v>
      </c>
      <c r="C347" s="18" t="s">
        <v>83</v>
      </c>
      <c r="D347" s="18">
        <v>0.15</v>
      </c>
      <c r="E347" s="19">
        <v>43129.0</v>
      </c>
      <c r="F347" s="18" t="s">
        <v>81</v>
      </c>
      <c r="G347" s="18"/>
      <c r="H347" s="18"/>
      <c r="I347" s="18" t="s">
        <v>81</v>
      </c>
      <c r="J347" s="18"/>
      <c r="K347" s="20"/>
      <c r="L347" s="18"/>
      <c r="M347" s="20"/>
      <c r="N347" s="18"/>
    </row>
    <row r="348">
      <c r="A348" s="17" t="str">
        <f t="shared" si="1"/>
        <v>PD-1400</v>
      </c>
      <c r="B348" s="18" t="s">
        <v>84</v>
      </c>
      <c r="C348" s="18" t="s">
        <v>85</v>
      </c>
      <c r="D348" s="18">
        <v>0.166666667</v>
      </c>
      <c r="E348" s="19">
        <v>43129.0</v>
      </c>
      <c r="F348" s="18" t="s">
        <v>81</v>
      </c>
      <c r="G348" s="18"/>
      <c r="H348" s="18"/>
      <c r="I348" s="18" t="s">
        <v>81</v>
      </c>
      <c r="J348" s="18"/>
      <c r="K348" s="20"/>
      <c r="L348" s="18"/>
      <c r="M348" s="20"/>
      <c r="N348" s="18"/>
    </row>
    <row r="349">
      <c r="A349" s="17" t="str">
        <f t="shared" si="1"/>
        <v>PD-1521</v>
      </c>
      <c r="B349" s="18" t="s">
        <v>111</v>
      </c>
      <c r="C349" s="18" t="s">
        <v>112</v>
      </c>
      <c r="D349" s="18">
        <v>0.883333333</v>
      </c>
      <c r="E349" s="19">
        <v>43129.0</v>
      </c>
      <c r="F349" s="18" t="s">
        <v>81</v>
      </c>
      <c r="G349" s="18"/>
      <c r="H349" s="18" t="s">
        <v>113</v>
      </c>
      <c r="I349" s="18" t="s">
        <v>93</v>
      </c>
      <c r="J349" s="18"/>
      <c r="K349" s="20"/>
      <c r="L349" s="18"/>
      <c r="M349" s="20"/>
      <c r="N349" s="18"/>
    </row>
    <row r="350">
      <c r="A350" s="17" t="str">
        <f t="shared" si="1"/>
        <v>PD-1490</v>
      </c>
      <c r="B350" s="18" t="s">
        <v>130</v>
      </c>
      <c r="C350" s="18" t="s">
        <v>131</v>
      </c>
      <c r="D350" s="18">
        <v>0.183333333</v>
      </c>
      <c r="E350" s="19">
        <v>43129.0</v>
      </c>
      <c r="F350" s="18" t="s">
        <v>81</v>
      </c>
      <c r="G350" s="18"/>
      <c r="H350" s="18" t="s">
        <v>113</v>
      </c>
      <c r="I350" s="18" t="s">
        <v>132</v>
      </c>
      <c r="J350" s="18"/>
      <c r="K350" s="20"/>
      <c r="L350" s="18"/>
      <c r="M350" s="20"/>
      <c r="N350" s="18"/>
    </row>
    <row r="351">
      <c r="A351" s="17" t="str">
        <f t="shared" si="1"/>
        <v>PD-1554</v>
      </c>
      <c r="B351" s="18" t="s">
        <v>102</v>
      </c>
      <c r="C351" s="18" t="s">
        <v>103</v>
      </c>
      <c r="D351" s="18">
        <v>0.15</v>
      </c>
      <c r="E351" s="19">
        <v>43129.0</v>
      </c>
      <c r="F351" s="18" t="s">
        <v>81</v>
      </c>
      <c r="G351" s="18"/>
      <c r="H351" s="18" t="s">
        <v>88</v>
      </c>
      <c r="I351" s="18" t="s">
        <v>93</v>
      </c>
      <c r="J351" s="18"/>
      <c r="K351" s="20"/>
      <c r="L351" s="18"/>
      <c r="M351" s="20"/>
      <c r="N351" s="18"/>
    </row>
    <row r="352">
      <c r="A352" s="17" t="str">
        <f t="shared" si="1"/>
        <v>PD-1364</v>
      </c>
      <c r="B352" s="18" t="s">
        <v>172</v>
      </c>
      <c r="C352" s="18" t="s">
        <v>173</v>
      </c>
      <c r="D352" s="18">
        <v>0.2</v>
      </c>
      <c r="E352" s="19">
        <v>43129.0</v>
      </c>
      <c r="F352" s="18" t="s">
        <v>81</v>
      </c>
      <c r="G352" s="18"/>
      <c r="H352" s="18" t="s">
        <v>167</v>
      </c>
      <c r="I352" s="18" t="s">
        <v>78</v>
      </c>
      <c r="J352" s="18"/>
      <c r="K352" s="20"/>
      <c r="L352" s="18"/>
      <c r="M352" s="20"/>
      <c r="N352" s="18"/>
    </row>
    <row r="353">
      <c r="A353" s="17" t="str">
        <f t="shared" si="1"/>
        <v>PD-1464</v>
      </c>
      <c r="B353" s="18" t="s">
        <v>90</v>
      </c>
      <c r="C353" s="18" t="s">
        <v>91</v>
      </c>
      <c r="D353" s="18">
        <v>6.15</v>
      </c>
      <c r="E353" s="19">
        <v>43129.0</v>
      </c>
      <c r="F353" s="18" t="s">
        <v>81</v>
      </c>
      <c r="G353" s="18"/>
      <c r="H353" s="18" t="s">
        <v>92</v>
      </c>
      <c r="I353" s="18" t="s">
        <v>93</v>
      </c>
      <c r="J353" s="18"/>
      <c r="K353" s="20"/>
      <c r="L353" s="18"/>
      <c r="M353" s="20"/>
      <c r="N353" s="18"/>
    </row>
    <row r="354">
      <c r="A354" s="17" t="str">
        <f t="shared" si="1"/>
        <v>IOP-837</v>
      </c>
      <c r="B354" s="18" t="s">
        <v>275</v>
      </c>
      <c r="C354" s="18" t="s">
        <v>276</v>
      </c>
      <c r="D354" s="18">
        <v>0.15</v>
      </c>
      <c r="E354" s="19">
        <v>43129.0</v>
      </c>
      <c r="F354" s="18" t="s">
        <v>81</v>
      </c>
      <c r="G354" s="18"/>
      <c r="H354" s="18"/>
      <c r="I354" s="18" t="s">
        <v>132</v>
      </c>
      <c r="J354" s="18"/>
      <c r="K354" s="20"/>
      <c r="L354" s="18"/>
      <c r="M354" s="20"/>
      <c r="N354" s="18"/>
    </row>
    <row r="355">
      <c r="A355" s="17" t="str">
        <f t="shared" si="1"/>
        <v>PD-1398</v>
      </c>
      <c r="B355" s="18" t="s">
        <v>79</v>
      </c>
      <c r="C355" s="18" t="s">
        <v>80</v>
      </c>
      <c r="D355" s="18">
        <v>0.05</v>
      </c>
      <c r="E355" s="19">
        <v>43130.0</v>
      </c>
      <c r="F355" s="18" t="s">
        <v>81</v>
      </c>
      <c r="G355" s="18"/>
      <c r="H355" s="18"/>
      <c r="I355" s="18" t="s">
        <v>81</v>
      </c>
      <c r="J355" s="18"/>
      <c r="K355" s="20"/>
      <c r="L355" s="18"/>
      <c r="M355" s="20"/>
      <c r="N355" s="18"/>
    </row>
    <row r="356">
      <c r="A356" s="17" t="str">
        <f t="shared" si="1"/>
        <v>PD-1399</v>
      </c>
      <c r="B356" s="18" t="s">
        <v>82</v>
      </c>
      <c r="C356" s="18" t="s">
        <v>83</v>
      </c>
      <c r="D356" s="18">
        <v>0.083333333</v>
      </c>
      <c r="E356" s="19">
        <v>43130.0</v>
      </c>
      <c r="F356" s="18" t="s">
        <v>81</v>
      </c>
      <c r="G356" s="18"/>
      <c r="H356" s="18"/>
      <c r="I356" s="18" t="s">
        <v>81</v>
      </c>
      <c r="J356" s="18"/>
      <c r="K356" s="20"/>
      <c r="L356" s="18"/>
      <c r="M356" s="20"/>
      <c r="N356" s="18"/>
    </row>
    <row r="357">
      <c r="A357" s="17" t="str">
        <f t="shared" si="1"/>
        <v>PD-1400</v>
      </c>
      <c r="B357" s="18" t="s">
        <v>84</v>
      </c>
      <c r="C357" s="18" t="s">
        <v>85</v>
      </c>
      <c r="D357" s="18">
        <v>0.183333333</v>
      </c>
      <c r="E357" s="19">
        <v>43130.0</v>
      </c>
      <c r="F357" s="18" t="s">
        <v>81</v>
      </c>
      <c r="G357" s="18"/>
      <c r="H357" s="18"/>
      <c r="I357" s="18" t="s">
        <v>81</v>
      </c>
      <c r="J357" s="18"/>
      <c r="K357" s="20"/>
      <c r="L357" s="18"/>
      <c r="M357" s="20"/>
      <c r="N357" s="18"/>
    </row>
    <row r="358">
      <c r="A358" s="17" t="str">
        <f t="shared" si="1"/>
        <v>PD-1464</v>
      </c>
      <c r="B358" s="18" t="s">
        <v>90</v>
      </c>
      <c r="C358" s="18" t="s">
        <v>91</v>
      </c>
      <c r="D358" s="18">
        <v>3.4</v>
      </c>
      <c r="E358" s="19">
        <v>43130.0</v>
      </c>
      <c r="F358" s="18" t="s">
        <v>81</v>
      </c>
      <c r="G358" s="18"/>
      <c r="H358" s="18" t="s">
        <v>92</v>
      </c>
      <c r="I358" s="18" t="s">
        <v>93</v>
      </c>
      <c r="J358" s="18"/>
      <c r="K358" s="20"/>
      <c r="L358" s="18"/>
      <c r="M358" s="20"/>
      <c r="N358" s="18"/>
    </row>
    <row r="359">
      <c r="A359" s="17" t="str">
        <f t="shared" si="1"/>
        <v>PD-1490</v>
      </c>
      <c r="B359" s="18" t="s">
        <v>130</v>
      </c>
      <c r="C359" s="18" t="s">
        <v>131</v>
      </c>
      <c r="D359" s="18">
        <v>2.083333333</v>
      </c>
      <c r="E359" s="19">
        <v>43130.0</v>
      </c>
      <c r="F359" s="18" t="s">
        <v>81</v>
      </c>
      <c r="G359" s="18"/>
      <c r="H359" s="18" t="s">
        <v>113</v>
      </c>
      <c r="I359" s="18" t="s">
        <v>132</v>
      </c>
      <c r="J359" s="18"/>
      <c r="K359" s="20"/>
      <c r="L359" s="18"/>
      <c r="M359" s="20"/>
      <c r="N359" s="18"/>
    </row>
    <row r="360">
      <c r="A360" s="17" t="str">
        <f t="shared" si="1"/>
        <v>PD-1440</v>
      </c>
      <c r="B360" s="18" t="s">
        <v>158</v>
      </c>
      <c r="C360" s="18" t="s">
        <v>159</v>
      </c>
      <c r="D360" s="18">
        <v>1.0</v>
      </c>
      <c r="E360" s="19">
        <v>43130.0</v>
      </c>
      <c r="F360" s="18" t="s">
        <v>81</v>
      </c>
      <c r="G360" s="18"/>
      <c r="H360" s="18"/>
      <c r="I360" s="18" t="s">
        <v>81</v>
      </c>
      <c r="J360" s="18"/>
      <c r="K360" s="20"/>
      <c r="L360" s="20"/>
      <c r="M360" s="20"/>
      <c r="N360" s="18"/>
    </row>
    <row r="361">
      <c r="A361" s="17" t="str">
        <f t="shared" si="1"/>
        <v>PD-1555</v>
      </c>
      <c r="B361" s="18" t="s">
        <v>277</v>
      </c>
      <c r="C361" s="18" t="s">
        <v>278</v>
      </c>
      <c r="D361" s="18">
        <v>0.45</v>
      </c>
      <c r="E361" s="19">
        <v>43130.0</v>
      </c>
      <c r="F361" s="18" t="s">
        <v>81</v>
      </c>
      <c r="G361" s="18"/>
      <c r="H361" s="18" t="s">
        <v>96</v>
      </c>
      <c r="I361" s="18" t="s">
        <v>81</v>
      </c>
      <c r="J361" s="18"/>
      <c r="K361" s="20"/>
      <c r="L361" s="20"/>
      <c r="M361" s="20"/>
      <c r="N361" s="18"/>
    </row>
    <row r="362">
      <c r="A362" s="17" t="str">
        <f t="shared" si="1"/>
        <v>IOP-840</v>
      </c>
      <c r="B362" s="18" t="s">
        <v>279</v>
      </c>
      <c r="C362" s="18" t="s">
        <v>280</v>
      </c>
      <c r="D362" s="18">
        <v>0.3</v>
      </c>
      <c r="E362" s="19">
        <v>43130.0</v>
      </c>
      <c r="F362" s="18" t="s">
        <v>81</v>
      </c>
      <c r="G362" s="18"/>
      <c r="H362" s="18"/>
      <c r="I362" s="18" t="s">
        <v>132</v>
      </c>
      <c r="J362" s="18"/>
      <c r="K362" s="20"/>
      <c r="L362" s="18"/>
      <c r="M362" s="20"/>
      <c r="N362" s="18"/>
    </row>
    <row r="363">
      <c r="A363" s="17" t="str">
        <f t="shared" si="1"/>
        <v>PD-1364</v>
      </c>
      <c r="B363" s="18" t="s">
        <v>172</v>
      </c>
      <c r="C363" s="18" t="s">
        <v>173</v>
      </c>
      <c r="D363" s="18">
        <v>0.55</v>
      </c>
      <c r="E363" s="19">
        <v>43130.0</v>
      </c>
      <c r="F363" s="18" t="s">
        <v>81</v>
      </c>
      <c r="G363" s="18"/>
      <c r="H363" s="18" t="s">
        <v>167</v>
      </c>
      <c r="I363" s="18" t="s">
        <v>78</v>
      </c>
      <c r="J363" s="18"/>
      <c r="K363" s="20"/>
      <c r="L363" s="18"/>
      <c r="M363" s="20"/>
      <c r="N363" s="18"/>
    </row>
    <row r="364">
      <c r="A364" s="17" t="str">
        <f t="shared" si="1"/>
        <v>IOP-42</v>
      </c>
      <c r="B364" s="18" t="s">
        <v>188</v>
      </c>
      <c r="C364" s="18" t="s">
        <v>189</v>
      </c>
      <c r="D364" s="18">
        <v>1.0</v>
      </c>
      <c r="E364" s="19">
        <v>43130.0</v>
      </c>
      <c r="F364" s="18" t="s">
        <v>77</v>
      </c>
      <c r="G364" s="18"/>
      <c r="H364" s="18"/>
      <c r="I364" s="18" t="s">
        <v>190</v>
      </c>
      <c r="J364" s="18"/>
      <c r="K364" s="20"/>
      <c r="L364" s="18"/>
      <c r="M364" s="20"/>
      <c r="N364" s="18"/>
    </row>
    <row r="365">
      <c r="A365" s="17" t="str">
        <f t="shared" si="1"/>
        <v>IOP-42</v>
      </c>
      <c r="B365" s="18" t="s">
        <v>188</v>
      </c>
      <c r="C365" s="18" t="s">
        <v>189</v>
      </c>
      <c r="D365" s="18">
        <v>1.0</v>
      </c>
      <c r="E365" s="19">
        <v>43131.0</v>
      </c>
      <c r="F365" s="18" t="s">
        <v>77</v>
      </c>
      <c r="G365" s="18"/>
      <c r="H365" s="18"/>
      <c r="I365" s="18" t="s">
        <v>190</v>
      </c>
      <c r="J365" s="18"/>
      <c r="K365" s="20"/>
      <c r="L365" s="18"/>
      <c r="M365" s="20"/>
      <c r="N365" s="18"/>
    </row>
    <row r="366">
      <c r="A366" s="17" t="str">
        <f t="shared" si="1"/>
        <v>PD-1398</v>
      </c>
      <c r="B366" s="18" t="s">
        <v>79</v>
      </c>
      <c r="C366" s="18" t="s">
        <v>80</v>
      </c>
      <c r="D366" s="18">
        <v>0.016666667</v>
      </c>
      <c r="E366" s="19">
        <v>43131.0</v>
      </c>
      <c r="F366" s="18" t="s">
        <v>81</v>
      </c>
      <c r="G366" s="18"/>
      <c r="H366" s="18"/>
      <c r="I366" s="18" t="s">
        <v>81</v>
      </c>
      <c r="J366" s="18"/>
      <c r="K366" s="20"/>
      <c r="L366" s="18"/>
      <c r="M366" s="20"/>
      <c r="N366" s="18"/>
    </row>
    <row r="367">
      <c r="A367" s="17" t="str">
        <f t="shared" si="1"/>
        <v>PD-1399</v>
      </c>
      <c r="B367" s="18" t="s">
        <v>82</v>
      </c>
      <c r="C367" s="18" t="s">
        <v>83</v>
      </c>
      <c r="D367" s="18">
        <v>0.1</v>
      </c>
      <c r="E367" s="19">
        <v>43131.0</v>
      </c>
      <c r="F367" s="18" t="s">
        <v>81</v>
      </c>
      <c r="G367" s="18"/>
      <c r="H367" s="18"/>
      <c r="I367" s="18" t="s">
        <v>81</v>
      </c>
      <c r="J367" s="18"/>
      <c r="K367" s="20"/>
      <c r="L367" s="18"/>
      <c r="M367" s="20"/>
      <c r="N367" s="18"/>
    </row>
    <row r="368">
      <c r="A368" s="17" t="str">
        <f t="shared" si="1"/>
        <v>PD-1400</v>
      </c>
      <c r="B368" s="18" t="s">
        <v>84</v>
      </c>
      <c r="C368" s="18" t="s">
        <v>85</v>
      </c>
      <c r="D368" s="18">
        <v>0.25</v>
      </c>
      <c r="E368" s="19">
        <v>43131.0</v>
      </c>
      <c r="F368" s="18" t="s">
        <v>81</v>
      </c>
      <c r="G368" s="18"/>
      <c r="H368" s="18"/>
      <c r="I368" s="18" t="s">
        <v>81</v>
      </c>
      <c r="J368" s="18"/>
      <c r="K368" s="20"/>
      <c r="L368" s="18"/>
      <c r="M368" s="20"/>
      <c r="N368" s="18"/>
    </row>
    <row r="369">
      <c r="A369" s="17" t="str">
        <f t="shared" si="1"/>
        <v>PD-1549</v>
      </c>
      <c r="B369" s="18" t="s">
        <v>168</v>
      </c>
      <c r="C369" s="18" t="s">
        <v>169</v>
      </c>
      <c r="D369" s="18">
        <v>0.333333333</v>
      </c>
      <c r="E369" s="19">
        <v>43131.0</v>
      </c>
      <c r="F369" s="18" t="s">
        <v>81</v>
      </c>
      <c r="G369" s="18"/>
      <c r="H369" s="18" t="s">
        <v>96</v>
      </c>
      <c r="I369" s="18" t="s">
        <v>81</v>
      </c>
      <c r="J369" s="18"/>
      <c r="K369" s="20"/>
      <c r="L369" s="18"/>
      <c r="M369" s="20"/>
      <c r="N369" s="18"/>
    </row>
    <row r="370">
      <c r="A370" s="17" t="str">
        <f t="shared" si="1"/>
        <v>PD-1505</v>
      </c>
      <c r="B370" s="18" t="s">
        <v>260</v>
      </c>
      <c r="C370" s="18" t="s">
        <v>261</v>
      </c>
      <c r="D370" s="18">
        <v>0.2</v>
      </c>
      <c r="E370" s="19">
        <v>43131.0</v>
      </c>
      <c r="F370" s="18" t="s">
        <v>81</v>
      </c>
      <c r="G370" s="18"/>
      <c r="H370" s="18"/>
      <c r="I370" s="18" t="s">
        <v>77</v>
      </c>
      <c r="J370" s="18"/>
      <c r="K370" s="20"/>
      <c r="L370" s="18"/>
      <c r="M370" s="20"/>
      <c r="N370" s="18"/>
    </row>
    <row r="371">
      <c r="A371" s="17" t="str">
        <f t="shared" si="1"/>
        <v>PD-1490</v>
      </c>
      <c r="B371" s="18" t="s">
        <v>130</v>
      </c>
      <c r="C371" s="18" t="s">
        <v>131</v>
      </c>
      <c r="D371" s="18">
        <v>0.65</v>
      </c>
      <c r="E371" s="19">
        <v>43131.0</v>
      </c>
      <c r="F371" s="18" t="s">
        <v>81</v>
      </c>
      <c r="G371" s="18"/>
      <c r="H371" s="18" t="s">
        <v>113</v>
      </c>
      <c r="I371" s="18" t="s">
        <v>132</v>
      </c>
      <c r="J371" s="18"/>
      <c r="K371" s="20"/>
      <c r="L371" s="18"/>
      <c r="M371" s="20"/>
      <c r="N371" s="18"/>
    </row>
    <row r="372">
      <c r="A372" s="17" t="str">
        <f t="shared" si="1"/>
        <v>PD-1464</v>
      </c>
      <c r="B372" s="18" t="s">
        <v>90</v>
      </c>
      <c r="C372" s="18" t="s">
        <v>91</v>
      </c>
      <c r="D372" s="18">
        <v>1.166666667</v>
      </c>
      <c r="E372" s="19">
        <v>43131.0</v>
      </c>
      <c r="F372" s="18" t="s">
        <v>81</v>
      </c>
      <c r="G372" s="18"/>
      <c r="H372" s="18" t="s">
        <v>92</v>
      </c>
      <c r="I372" s="18" t="s">
        <v>93</v>
      </c>
      <c r="J372" s="18"/>
      <c r="K372" s="20"/>
      <c r="L372" s="18"/>
      <c r="M372" s="20"/>
      <c r="N372" s="18"/>
    </row>
    <row r="373">
      <c r="A373" s="17" t="str">
        <f t="shared" si="1"/>
        <v>PD-1480</v>
      </c>
      <c r="B373" s="18" t="s">
        <v>121</v>
      </c>
      <c r="C373" s="18" t="s">
        <v>122</v>
      </c>
      <c r="D373" s="18">
        <v>0.433333333</v>
      </c>
      <c r="E373" s="19">
        <v>43131.0</v>
      </c>
      <c r="F373" s="18" t="s">
        <v>81</v>
      </c>
      <c r="G373" s="18"/>
      <c r="H373" s="18" t="s">
        <v>88</v>
      </c>
      <c r="I373" s="18" t="s">
        <v>78</v>
      </c>
      <c r="J373" s="18"/>
      <c r="K373" s="20"/>
      <c r="L373" s="18"/>
      <c r="M373" s="20"/>
      <c r="N373" s="18"/>
    </row>
    <row r="374">
      <c r="A374" s="17" t="str">
        <f t="shared" si="1"/>
        <v>IOP-844</v>
      </c>
      <c r="B374" s="18" t="s">
        <v>281</v>
      </c>
      <c r="C374" s="18" t="s">
        <v>282</v>
      </c>
      <c r="D374" s="18">
        <v>2.3</v>
      </c>
      <c r="E374" s="19">
        <v>43131.0</v>
      </c>
      <c r="F374" s="18" t="s">
        <v>81</v>
      </c>
      <c r="G374" s="18"/>
      <c r="H374" s="18"/>
      <c r="I374" s="18" t="s">
        <v>116</v>
      </c>
      <c r="J374" s="18"/>
      <c r="K374" s="20"/>
      <c r="L374" s="18"/>
      <c r="M374" s="20"/>
      <c r="N374" s="18"/>
    </row>
    <row r="375">
      <c r="A375" s="17" t="str">
        <f t="shared" si="1"/>
        <v>PD-1364</v>
      </c>
      <c r="B375" s="18" t="s">
        <v>172</v>
      </c>
      <c r="C375" s="18" t="s">
        <v>173</v>
      </c>
      <c r="D375" s="18">
        <v>2.483333333</v>
      </c>
      <c r="E375" s="19">
        <v>43131.0</v>
      </c>
      <c r="F375" s="18" t="s">
        <v>81</v>
      </c>
      <c r="G375" s="18"/>
      <c r="H375" s="18" t="s">
        <v>167</v>
      </c>
      <c r="I375" s="18" t="s">
        <v>78</v>
      </c>
      <c r="J375" s="18"/>
      <c r="K375" s="20"/>
      <c r="L375" s="18"/>
      <c r="M375" s="20"/>
      <c r="N375" s="18"/>
    </row>
    <row r="376">
      <c r="A376" s="17" t="str">
        <f t="shared" si="1"/>
        <v>PD-1644</v>
      </c>
      <c r="B376" s="18" t="s">
        <v>283</v>
      </c>
      <c r="C376" s="18" t="s">
        <v>284</v>
      </c>
      <c r="D376" s="18">
        <v>0.083333333</v>
      </c>
      <c r="E376" s="19">
        <v>43222.0</v>
      </c>
      <c r="F376" s="18" t="s">
        <v>81</v>
      </c>
      <c r="G376" s="18"/>
      <c r="H376" s="18" t="s">
        <v>106</v>
      </c>
      <c r="I376" s="18" t="s">
        <v>81</v>
      </c>
      <c r="J376" s="18"/>
      <c r="K376" s="20"/>
      <c r="L376" s="18"/>
      <c r="M376" s="20"/>
      <c r="N376" s="18"/>
    </row>
    <row r="377">
      <c r="A377" s="17" t="str">
        <f t="shared" si="1"/>
        <v>PD-1398</v>
      </c>
      <c r="B377" s="18" t="s">
        <v>79</v>
      </c>
      <c r="C377" s="18" t="s">
        <v>80</v>
      </c>
      <c r="D377" s="18">
        <v>0.1</v>
      </c>
      <c r="E377" s="19">
        <v>43132.0</v>
      </c>
      <c r="F377" s="18" t="s">
        <v>81</v>
      </c>
      <c r="G377" s="18"/>
      <c r="H377" s="18"/>
      <c r="I377" s="18" t="s">
        <v>81</v>
      </c>
      <c r="J377" s="18"/>
      <c r="K377" s="20"/>
      <c r="L377" s="18"/>
      <c r="M377" s="20"/>
      <c r="N377" s="18"/>
    </row>
    <row r="378">
      <c r="A378" s="17" t="str">
        <f t="shared" si="1"/>
        <v>PD-1399</v>
      </c>
      <c r="B378" s="18" t="s">
        <v>82</v>
      </c>
      <c r="C378" s="18" t="s">
        <v>83</v>
      </c>
      <c r="D378" s="18">
        <v>0.133333333</v>
      </c>
      <c r="E378" s="19">
        <v>43132.0</v>
      </c>
      <c r="F378" s="18" t="s">
        <v>81</v>
      </c>
      <c r="G378" s="18"/>
      <c r="H378" s="18"/>
      <c r="I378" s="18" t="s">
        <v>81</v>
      </c>
      <c r="J378" s="18"/>
      <c r="K378" s="20"/>
      <c r="L378" s="18"/>
      <c r="M378" s="20"/>
      <c r="N378" s="18"/>
    </row>
    <row r="379">
      <c r="A379" s="17" t="str">
        <f t="shared" si="1"/>
        <v>PD-1400</v>
      </c>
      <c r="B379" s="18" t="s">
        <v>84</v>
      </c>
      <c r="C379" s="18" t="s">
        <v>85</v>
      </c>
      <c r="D379" s="18">
        <v>0.183333333</v>
      </c>
      <c r="E379" s="19">
        <v>43132.0</v>
      </c>
      <c r="F379" s="18" t="s">
        <v>81</v>
      </c>
      <c r="G379" s="18"/>
      <c r="H379" s="18"/>
      <c r="I379" s="18" t="s">
        <v>81</v>
      </c>
      <c r="J379" s="18"/>
      <c r="K379" s="20"/>
      <c r="L379" s="18"/>
      <c r="M379" s="20"/>
      <c r="N379" s="18"/>
    </row>
    <row r="380">
      <c r="A380" s="17" t="str">
        <f t="shared" si="1"/>
        <v>PD-1540</v>
      </c>
      <c r="B380" s="18" t="s">
        <v>165</v>
      </c>
      <c r="C380" s="18" t="s">
        <v>166</v>
      </c>
      <c r="D380" s="18">
        <v>0.433333333</v>
      </c>
      <c r="E380" s="19">
        <v>43132.0</v>
      </c>
      <c r="F380" s="18" t="s">
        <v>81</v>
      </c>
      <c r="G380" s="18"/>
      <c r="H380" s="18" t="s">
        <v>167</v>
      </c>
      <c r="I380" s="18" t="s">
        <v>78</v>
      </c>
      <c r="J380" s="18"/>
      <c r="K380" s="20"/>
      <c r="L380" s="18"/>
      <c r="M380" s="20"/>
      <c r="N380" s="18"/>
    </row>
    <row r="381">
      <c r="A381" s="17" t="str">
        <f t="shared" si="1"/>
        <v>IOP-844</v>
      </c>
      <c r="B381" s="18" t="s">
        <v>281</v>
      </c>
      <c r="C381" s="18" t="s">
        <v>282</v>
      </c>
      <c r="D381" s="18">
        <v>1.933333333</v>
      </c>
      <c r="E381" s="19">
        <v>43132.0</v>
      </c>
      <c r="F381" s="18" t="s">
        <v>81</v>
      </c>
      <c r="G381" s="18"/>
      <c r="H381" s="18"/>
      <c r="I381" s="18" t="s">
        <v>116</v>
      </c>
      <c r="J381" s="18"/>
      <c r="K381" s="20"/>
      <c r="L381" s="18"/>
      <c r="M381" s="20"/>
      <c r="N381" s="18"/>
    </row>
    <row r="382">
      <c r="A382" s="17" t="str">
        <f t="shared" si="1"/>
        <v>PD-1364</v>
      </c>
      <c r="B382" s="18" t="s">
        <v>172</v>
      </c>
      <c r="C382" s="18" t="s">
        <v>173</v>
      </c>
      <c r="D382" s="18">
        <v>2.616666667</v>
      </c>
      <c r="E382" s="19">
        <v>43132.0</v>
      </c>
      <c r="F382" s="18" t="s">
        <v>81</v>
      </c>
      <c r="G382" s="18"/>
      <c r="H382" s="18" t="s">
        <v>167</v>
      </c>
      <c r="I382" s="18" t="s">
        <v>78</v>
      </c>
      <c r="J382" s="18"/>
      <c r="K382" s="20"/>
      <c r="L382" s="18"/>
      <c r="M382" s="20"/>
      <c r="N382" s="18"/>
    </row>
    <row r="383">
      <c r="A383" s="17" t="str">
        <f t="shared" si="1"/>
        <v>IOP-848</v>
      </c>
      <c r="B383" s="18" t="s">
        <v>285</v>
      </c>
      <c r="C383" s="18" t="s">
        <v>286</v>
      </c>
      <c r="D383" s="18">
        <v>0.433333333</v>
      </c>
      <c r="E383" s="19">
        <v>43132.0</v>
      </c>
      <c r="F383" s="18" t="s">
        <v>81</v>
      </c>
      <c r="G383" s="18"/>
      <c r="H383" s="18"/>
      <c r="I383" s="18" t="s">
        <v>81</v>
      </c>
      <c r="J383" s="18"/>
      <c r="K383" s="20"/>
      <c r="L383" s="18"/>
      <c r="M383" s="20"/>
      <c r="N383" s="18"/>
    </row>
    <row r="384">
      <c r="A384" s="17" t="str">
        <f t="shared" si="1"/>
        <v>PD-1502</v>
      </c>
      <c r="B384" s="18" t="s">
        <v>99</v>
      </c>
      <c r="C384" s="18" t="s">
        <v>100</v>
      </c>
      <c r="D384" s="18">
        <v>2.283333333</v>
      </c>
      <c r="E384" s="19">
        <v>43132.0</v>
      </c>
      <c r="F384" s="18" t="s">
        <v>81</v>
      </c>
      <c r="G384" s="18"/>
      <c r="H384" s="18" t="s">
        <v>101</v>
      </c>
      <c r="I384" s="18" t="s">
        <v>93</v>
      </c>
      <c r="J384" s="18"/>
      <c r="K384" s="20"/>
      <c r="L384" s="18"/>
      <c r="M384" s="20"/>
      <c r="N384" s="18"/>
    </row>
    <row r="385">
      <c r="A385" s="17" t="str">
        <f t="shared" si="1"/>
        <v>IOP-42</v>
      </c>
      <c r="B385" s="18" t="s">
        <v>188</v>
      </c>
      <c r="C385" s="18" t="s">
        <v>189</v>
      </c>
      <c r="D385" s="18">
        <v>1.0</v>
      </c>
      <c r="E385" s="19">
        <v>43132.0</v>
      </c>
      <c r="F385" s="18" t="s">
        <v>77</v>
      </c>
      <c r="G385" s="18"/>
      <c r="H385" s="18"/>
      <c r="I385" s="18" t="s">
        <v>190</v>
      </c>
      <c r="J385" s="18"/>
      <c r="K385" s="20"/>
      <c r="L385" s="18"/>
      <c r="M385" s="20"/>
      <c r="N385" s="18"/>
    </row>
    <row r="386">
      <c r="A386" s="17" t="str">
        <f t="shared" si="1"/>
        <v>IOP-663</v>
      </c>
      <c r="B386" s="18" t="s">
        <v>287</v>
      </c>
      <c r="C386" s="18" t="s">
        <v>288</v>
      </c>
      <c r="D386" s="18">
        <v>2.0</v>
      </c>
      <c r="E386" s="19">
        <v>43132.0</v>
      </c>
      <c r="F386" s="18" t="s">
        <v>77</v>
      </c>
      <c r="G386" s="18"/>
      <c r="H386" s="18"/>
      <c r="I386" s="18" t="s">
        <v>77</v>
      </c>
      <c r="J386" s="18"/>
      <c r="K386" s="20"/>
      <c r="L386" s="18"/>
      <c r="M386" s="20"/>
      <c r="N386" s="18"/>
    </row>
    <row r="387">
      <c r="A387" s="17" t="str">
        <f t="shared" si="1"/>
        <v>PD-1480</v>
      </c>
      <c r="B387" s="18" t="s">
        <v>121</v>
      </c>
      <c r="C387" s="18" t="s">
        <v>122</v>
      </c>
      <c r="D387" s="18">
        <v>0.183333333</v>
      </c>
      <c r="E387" s="19">
        <v>43133.0</v>
      </c>
      <c r="F387" s="18" t="s">
        <v>81</v>
      </c>
      <c r="G387" s="18"/>
      <c r="H387" s="18" t="s">
        <v>88</v>
      </c>
      <c r="I387" s="18" t="s">
        <v>78</v>
      </c>
      <c r="J387" s="18"/>
      <c r="K387" s="20"/>
      <c r="L387" s="18"/>
      <c r="M387" s="20"/>
      <c r="N387" s="18"/>
    </row>
    <row r="388">
      <c r="A388" s="17" t="str">
        <f t="shared" si="1"/>
        <v>PD-1364</v>
      </c>
      <c r="B388" s="18" t="s">
        <v>172</v>
      </c>
      <c r="C388" s="18" t="s">
        <v>173</v>
      </c>
      <c r="D388" s="18">
        <v>0.966666667</v>
      </c>
      <c r="E388" s="19">
        <v>43133.0</v>
      </c>
      <c r="F388" s="18" t="s">
        <v>81</v>
      </c>
      <c r="G388" s="18"/>
      <c r="H388" s="18" t="s">
        <v>167</v>
      </c>
      <c r="I388" s="18" t="s">
        <v>78</v>
      </c>
      <c r="J388" s="18"/>
      <c r="K388" s="20"/>
      <c r="L388" s="18"/>
      <c r="M388" s="20"/>
      <c r="N388" s="18"/>
    </row>
    <row r="389">
      <c r="A389" s="17" t="str">
        <f t="shared" si="1"/>
        <v>IOP-848</v>
      </c>
      <c r="B389" s="18" t="s">
        <v>285</v>
      </c>
      <c r="C389" s="18" t="s">
        <v>286</v>
      </c>
      <c r="D389" s="18">
        <v>1.033333333</v>
      </c>
      <c r="E389" s="19">
        <v>43133.0</v>
      </c>
      <c r="F389" s="18" t="s">
        <v>81</v>
      </c>
      <c r="G389" s="18"/>
      <c r="H389" s="18"/>
      <c r="I389" s="18" t="s">
        <v>81</v>
      </c>
      <c r="J389" s="18"/>
      <c r="K389" s="20"/>
      <c r="L389" s="18"/>
      <c r="M389" s="20"/>
      <c r="N389" s="18"/>
    </row>
    <row r="390">
      <c r="A390" s="17" t="str">
        <f t="shared" si="1"/>
        <v>PD-1557</v>
      </c>
      <c r="B390" s="18" t="s">
        <v>289</v>
      </c>
      <c r="C390" s="18" t="s">
        <v>108</v>
      </c>
      <c r="D390" s="18">
        <v>0.083333333</v>
      </c>
      <c r="E390" s="19">
        <v>43133.0</v>
      </c>
      <c r="F390" s="18" t="s">
        <v>81</v>
      </c>
      <c r="G390" s="18"/>
      <c r="H390" s="18"/>
      <c r="I390" s="18" t="s">
        <v>81</v>
      </c>
      <c r="J390" s="18"/>
      <c r="K390" s="20"/>
      <c r="L390" s="18"/>
      <c r="M390" s="20"/>
      <c r="N390" s="18"/>
    </row>
    <row r="391">
      <c r="A391" s="17" t="str">
        <f t="shared" si="1"/>
        <v>PD-1502</v>
      </c>
      <c r="B391" s="18" t="s">
        <v>99</v>
      </c>
      <c r="C391" s="18" t="s">
        <v>100</v>
      </c>
      <c r="D391" s="18">
        <v>4.683333333</v>
      </c>
      <c r="E391" s="19">
        <v>43133.0</v>
      </c>
      <c r="F391" s="18" t="s">
        <v>81</v>
      </c>
      <c r="G391" s="18"/>
      <c r="H391" s="18" t="s">
        <v>101</v>
      </c>
      <c r="I391" s="18" t="s">
        <v>93</v>
      </c>
      <c r="J391" s="18"/>
      <c r="K391" s="20"/>
      <c r="L391" s="18"/>
      <c r="M391" s="20"/>
      <c r="N391" s="18"/>
    </row>
    <row r="392">
      <c r="A392" s="17" t="str">
        <f t="shared" si="1"/>
        <v>IOP-537</v>
      </c>
      <c r="B392" s="18" t="s">
        <v>133</v>
      </c>
      <c r="C392" s="18" t="s">
        <v>134</v>
      </c>
      <c r="D392" s="18">
        <v>0.783333333</v>
      </c>
      <c r="E392" s="19">
        <v>43133.0</v>
      </c>
      <c r="F392" s="18" t="s">
        <v>81</v>
      </c>
      <c r="G392" s="18"/>
      <c r="H392" s="18"/>
      <c r="I392" s="18" t="s">
        <v>77</v>
      </c>
      <c r="J392" s="18"/>
      <c r="K392" s="20"/>
      <c r="L392" s="18"/>
      <c r="M392" s="20"/>
      <c r="N392" s="18"/>
    </row>
    <row r="393">
      <c r="A393" s="17" t="str">
        <f t="shared" si="1"/>
        <v>PD-1645</v>
      </c>
      <c r="B393" s="18" t="s">
        <v>290</v>
      </c>
      <c r="C393" s="18" t="s">
        <v>291</v>
      </c>
      <c r="D393" s="18">
        <v>0.216666667</v>
      </c>
      <c r="E393" s="19">
        <v>43222.0</v>
      </c>
      <c r="F393" s="18" t="s">
        <v>81</v>
      </c>
      <c r="G393" s="18"/>
      <c r="H393" s="18" t="s">
        <v>106</v>
      </c>
      <c r="I393" s="18" t="s">
        <v>81</v>
      </c>
      <c r="J393" s="18"/>
      <c r="K393" s="20"/>
      <c r="L393" s="18"/>
      <c r="M393" s="20"/>
      <c r="N393" s="18"/>
    </row>
    <row r="394">
      <c r="A394" s="17" t="str">
        <f t="shared" si="1"/>
        <v>PD-1537</v>
      </c>
      <c r="B394" s="18" t="s">
        <v>203</v>
      </c>
      <c r="C394" s="18" t="s">
        <v>204</v>
      </c>
      <c r="D394" s="18">
        <v>0.15</v>
      </c>
      <c r="E394" s="19">
        <v>43143.0</v>
      </c>
      <c r="F394" s="18" t="s">
        <v>81</v>
      </c>
      <c r="G394" s="18"/>
      <c r="H394" s="18" t="s">
        <v>96</v>
      </c>
      <c r="I394" s="18" t="s">
        <v>81</v>
      </c>
      <c r="J394" s="18"/>
      <c r="K394" s="20"/>
      <c r="L394" s="18"/>
      <c r="M394" s="20"/>
      <c r="N394" s="18"/>
    </row>
    <row r="395">
      <c r="A395" s="17" t="str">
        <f t="shared" si="1"/>
        <v>PD-1646</v>
      </c>
      <c r="B395" s="18" t="s">
        <v>292</v>
      </c>
      <c r="C395" s="18" t="s">
        <v>293</v>
      </c>
      <c r="D395" s="18">
        <v>0.033333333</v>
      </c>
      <c r="E395" s="19">
        <v>43222.0</v>
      </c>
      <c r="F395" s="18" t="s">
        <v>81</v>
      </c>
      <c r="G395" s="18"/>
      <c r="H395" s="18" t="s">
        <v>106</v>
      </c>
      <c r="I395" s="18" t="s">
        <v>81</v>
      </c>
      <c r="J395" s="18"/>
      <c r="K395" s="20"/>
      <c r="L395" s="18"/>
      <c r="M395" s="20"/>
      <c r="N395" s="18"/>
    </row>
    <row r="396">
      <c r="A396" s="17" t="str">
        <f t="shared" si="1"/>
        <v>PD-1651</v>
      </c>
      <c r="B396" s="18" t="s">
        <v>294</v>
      </c>
      <c r="C396" s="18" t="s">
        <v>295</v>
      </c>
      <c r="D396" s="18">
        <v>0.166666667</v>
      </c>
      <c r="E396" s="19">
        <v>43223.0</v>
      </c>
      <c r="F396" s="18" t="s">
        <v>81</v>
      </c>
      <c r="G396" s="18"/>
      <c r="H396" s="18" t="s">
        <v>187</v>
      </c>
      <c r="I396" s="18" t="s">
        <v>81</v>
      </c>
      <c r="J396" s="18"/>
      <c r="K396" s="20"/>
      <c r="L396" s="18"/>
      <c r="M396" s="20"/>
      <c r="N396" s="18"/>
    </row>
    <row r="397">
      <c r="A397" s="17" t="str">
        <f t="shared" si="1"/>
        <v>PD-1590</v>
      </c>
      <c r="B397" s="18" t="s">
        <v>296</v>
      </c>
      <c r="C397" s="18" t="s">
        <v>297</v>
      </c>
      <c r="D397" s="18">
        <v>2.9</v>
      </c>
      <c r="E397" s="19">
        <v>43256.0</v>
      </c>
      <c r="F397" s="18" t="s">
        <v>81</v>
      </c>
      <c r="G397" s="18"/>
      <c r="H397" s="18"/>
      <c r="I397" s="18" t="s">
        <v>81</v>
      </c>
      <c r="J397" s="18"/>
      <c r="K397" s="20"/>
      <c r="L397" s="18"/>
      <c r="M397" s="20"/>
      <c r="N397" s="18"/>
    </row>
    <row r="398">
      <c r="A398" s="17" t="str">
        <f t="shared" si="1"/>
        <v>PD-1694</v>
      </c>
      <c r="B398" s="18" t="s">
        <v>298</v>
      </c>
      <c r="C398" s="18" t="s">
        <v>299</v>
      </c>
      <c r="D398" s="18">
        <v>0.5</v>
      </c>
      <c r="E398" s="19">
        <v>43258.0</v>
      </c>
      <c r="F398" s="18" t="s">
        <v>81</v>
      </c>
      <c r="G398" s="18"/>
      <c r="H398" s="18" t="s">
        <v>88</v>
      </c>
      <c r="I398" s="18" t="s">
        <v>89</v>
      </c>
      <c r="J398" s="18"/>
      <c r="K398" s="20"/>
      <c r="L398" s="18"/>
      <c r="M398" s="20"/>
      <c r="N398" s="18"/>
    </row>
    <row r="399">
      <c r="A399" s="17" t="str">
        <f t="shared" si="1"/>
        <v>IV2-8</v>
      </c>
      <c r="B399" s="18" t="s">
        <v>300</v>
      </c>
      <c r="C399" s="18" t="s">
        <v>301</v>
      </c>
      <c r="D399" s="18">
        <v>5.733333333</v>
      </c>
      <c r="E399" s="19">
        <v>43269.0</v>
      </c>
      <c r="F399" s="18" t="s">
        <v>81</v>
      </c>
      <c r="G399" s="18"/>
      <c r="H399" s="18" t="s">
        <v>302</v>
      </c>
      <c r="I399" s="18" t="s">
        <v>78</v>
      </c>
      <c r="J399" s="18"/>
      <c r="K399" s="20"/>
      <c r="L399" s="18"/>
      <c r="M399" s="20"/>
      <c r="N399" s="18"/>
    </row>
    <row r="400">
      <c r="A400" s="17" t="str">
        <f t="shared" si="1"/>
        <v>PD-1648</v>
      </c>
      <c r="B400" s="18" t="s">
        <v>303</v>
      </c>
      <c r="C400" s="18" t="s">
        <v>304</v>
      </c>
      <c r="D400" s="18">
        <v>0.033333333</v>
      </c>
      <c r="E400" s="19">
        <v>43222.0</v>
      </c>
      <c r="F400" s="18" t="s">
        <v>81</v>
      </c>
      <c r="G400" s="18"/>
      <c r="H400" s="18" t="s">
        <v>106</v>
      </c>
      <c r="I400" s="18" t="s">
        <v>81</v>
      </c>
      <c r="J400" s="18"/>
      <c r="K400" s="20"/>
      <c r="L400" s="18"/>
      <c r="M400" s="20"/>
      <c r="N400" s="18"/>
    </row>
    <row r="401">
      <c r="A401" s="17" t="str">
        <f t="shared" si="1"/>
        <v>PD-1652</v>
      </c>
      <c r="B401" s="18" t="s">
        <v>305</v>
      </c>
      <c r="C401" s="18" t="s">
        <v>306</v>
      </c>
      <c r="D401" s="18">
        <v>0.216666667</v>
      </c>
      <c r="E401" s="19">
        <v>43223.0</v>
      </c>
      <c r="F401" s="18" t="s">
        <v>81</v>
      </c>
      <c r="G401" s="18"/>
      <c r="H401" s="18" t="s">
        <v>187</v>
      </c>
      <c r="I401" s="18" t="s">
        <v>81</v>
      </c>
      <c r="J401" s="18"/>
      <c r="K401" s="20"/>
      <c r="L401" s="18"/>
      <c r="M401" s="20"/>
      <c r="N401" s="18"/>
    </row>
    <row r="402">
      <c r="A402" s="17" t="str">
        <f t="shared" si="1"/>
        <v>PD-1647</v>
      </c>
      <c r="B402" s="18" t="s">
        <v>307</v>
      </c>
      <c r="C402" s="18" t="s">
        <v>308</v>
      </c>
      <c r="D402" s="18">
        <v>2.583333333</v>
      </c>
      <c r="E402" s="19">
        <v>43222.0</v>
      </c>
      <c r="F402" s="18" t="s">
        <v>81</v>
      </c>
      <c r="G402" s="18"/>
      <c r="H402" s="18"/>
      <c r="I402" s="18" t="s">
        <v>89</v>
      </c>
      <c r="J402" s="18"/>
      <c r="K402" s="20"/>
      <c r="L402" s="18"/>
      <c r="M402" s="20"/>
      <c r="N402" s="18"/>
    </row>
    <row r="403">
      <c r="A403" s="17" t="str">
        <f t="shared" si="1"/>
        <v>PD-1653</v>
      </c>
      <c r="B403" s="18" t="s">
        <v>309</v>
      </c>
      <c r="C403" s="18" t="s">
        <v>310</v>
      </c>
      <c r="D403" s="18">
        <v>0.183333333</v>
      </c>
      <c r="E403" s="19">
        <v>43223.0</v>
      </c>
      <c r="F403" s="18" t="s">
        <v>81</v>
      </c>
      <c r="G403" s="18"/>
      <c r="H403" s="18" t="s">
        <v>187</v>
      </c>
      <c r="I403" s="18" t="s">
        <v>81</v>
      </c>
      <c r="J403" s="18"/>
      <c r="K403" s="20"/>
      <c r="L403" s="18"/>
      <c r="M403" s="20"/>
      <c r="N403" s="18"/>
    </row>
    <row r="404">
      <c r="A404" s="17" t="str">
        <f t="shared" si="1"/>
        <v>PD-1654</v>
      </c>
      <c r="B404" s="18" t="s">
        <v>311</v>
      </c>
      <c r="C404" s="18" t="s">
        <v>312</v>
      </c>
      <c r="D404" s="18">
        <v>0.2</v>
      </c>
      <c r="E404" s="19">
        <v>43223.0</v>
      </c>
      <c r="F404" s="18" t="s">
        <v>81</v>
      </c>
      <c r="G404" s="18"/>
      <c r="H404" s="18" t="s">
        <v>187</v>
      </c>
      <c r="I404" s="18" t="s">
        <v>81</v>
      </c>
      <c r="J404" s="18"/>
      <c r="K404" s="20"/>
      <c r="L404" s="18"/>
      <c r="M404" s="20"/>
      <c r="N404" s="18"/>
    </row>
    <row r="405">
      <c r="A405" s="17" t="str">
        <f t="shared" si="1"/>
        <v>IOP-867</v>
      </c>
      <c r="B405" s="18" t="s">
        <v>143</v>
      </c>
      <c r="C405" s="18" t="s">
        <v>144</v>
      </c>
      <c r="D405" s="18">
        <v>1.016666667</v>
      </c>
      <c r="E405" s="19">
        <v>43238.0</v>
      </c>
      <c r="F405" s="18" t="s">
        <v>81</v>
      </c>
      <c r="G405" s="18"/>
      <c r="H405" s="18" t="s">
        <v>119</v>
      </c>
      <c r="I405" s="18" t="s">
        <v>120</v>
      </c>
      <c r="J405" s="18"/>
      <c r="K405" s="20"/>
      <c r="L405" s="18"/>
      <c r="M405" s="20"/>
      <c r="N405" s="18"/>
    </row>
    <row r="406">
      <c r="A406" s="17" t="str">
        <f t="shared" si="1"/>
        <v>IOP-867</v>
      </c>
      <c r="B406" s="18" t="s">
        <v>143</v>
      </c>
      <c r="C406" s="18" t="s">
        <v>144</v>
      </c>
      <c r="D406" s="18">
        <v>0.283333333</v>
      </c>
      <c r="E406" s="19">
        <v>43245.0</v>
      </c>
      <c r="F406" s="18" t="s">
        <v>81</v>
      </c>
      <c r="G406" s="18"/>
      <c r="H406" s="18" t="s">
        <v>119</v>
      </c>
      <c r="I406" s="18" t="s">
        <v>120</v>
      </c>
      <c r="J406" s="18"/>
      <c r="K406" s="20"/>
      <c r="L406" s="18"/>
      <c r="M406" s="20"/>
      <c r="N406" s="18"/>
    </row>
    <row r="407">
      <c r="A407" s="17" t="str">
        <f t="shared" si="1"/>
        <v>IOP-867</v>
      </c>
      <c r="B407" s="18" t="s">
        <v>143</v>
      </c>
      <c r="C407" s="18" t="s">
        <v>144</v>
      </c>
      <c r="D407" s="18">
        <v>0.183333333</v>
      </c>
      <c r="E407" s="19">
        <v>43222.0</v>
      </c>
      <c r="F407" s="18" t="s">
        <v>81</v>
      </c>
      <c r="G407" s="18"/>
      <c r="H407" s="18" t="s">
        <v>119</v>
      </c>
      <c r="I407" s="18" t="s">
        <v>120</v>
      </c>
      <c r="J407" s="18"/>
      <c r="K407" s="20"/>
      <c r="L407" s="18"/>
      <c r="M407" s="20"/>
      <c r="N407" s="18"/>
    </row>
    <row r="408">
      <c r="A408" s="17" t="str">
        <f t="shared" si="1"/>
        <v>PD-1655</v>
      </c>
      <c r="B408" s="18" t="s">
        <v>313</v>
      </c>
      <c r="C408" s="18" t="s">
        <v>314</v>
      </c>
      <c r="D408" s="18">
        <v>0.133333333</v>
      </c>
      <c r="E408" s="19">
        <v>43223.0</v>
      </c>
      <c r="F408" s="18" t="s">
        <v>81</v>
      </c>
      <c r="G408" s="18"/>
      <c r="H408" s="18" t="s">
        <v>187</v>
      </c>
      <c r="I408" s="18" t="s">
        <v>81</v>
      </c>
      <c r="J408" s="18"/>
      <c r="K408" s="20"/>
      <c r="L408" s="18"/>
      <c r="M408" s="20"/>
      <c r="N408" s="18"/>
    </row>
    <row r="409">
      <c r="A409" s="17" t="str">
        <f t="shared" si="1"/>
        <v>IOP-867</v>
      </c>
      <c r="B409" s="18" t="s">
        <v>143</v>
      </c>
      <c r="C409" s="18" t="s">
        <v>144</v>
      </c>
      <c r="D409" s="18">
        <v>0.066666667</v>
      </c>
      <c r="E409" s="19">
        <v>43244.0</v>
      </c>
      <c r="F409" s="18" t="s">
        <v>81</v>
      </c>
      <c r="G409" s="18"/>
      <c r="H409" s="18" t="s">
        <v>119</v>
      </c>
      <c r="I409" s="18" t="s">
        <v>120</v>
      </c>
      <c r="J409" s="18"/>
      <c r="K409" s="20"/>
      <c r="L409" s="18"/>
      <c r="M409" s="20"/>
      <c r="N409" s="18"/>
    </row>
    <row r="410">
      <c r="A410" s="17" t="str">
        <f t="shared" si="1"/>
        <v>IOP-866</v>
      </c>
      <c r="B410" s="18" t="s">
        <v>117</v>
      </c>
      <c r="C410" s="18" t="s">
        <v>118</v>
      </c>
      <c r="D410" s="18">
        <v>0.25</v>
      </c>
      <c r="E410" s="19">
        <v>43245.0</v>
      </c>
      <c r="F410" s="18" t="s">
        <v>81</v>
      </c>
      <c r="G410" s="18"/>
      <c r="H410" s="18" t="s">
        <v>119</v>
      </c>
      <c r="I410" s="18" t="s">
        <v>120</v>
      </c>
      <c r="J410" s="18"/>
      <c r="K410" s="20"/>
      <c r="L410" s="18"/>
      <c r="M410" s="20"/>
      <c r="N410" s="18"/>
    </row>
    <row r="411">
      <c r="A411" s="17" t="str">
        <f t="shared" si="1"/>
        <v>IOP-866</v>
      </c>
      <c r="B411" s="18" t="s">
        <v>117</v>
      </c>
      <c r="C411" s="18" t="s">
        <v>118</v>
      </c>
      <c r="D411" s="18">
        <v>0.1</v>
      </c>
      <c r="E411" s="19">
        <v>43222.0</v>
      </c>
      <c r="F411" s="18" t="s">
        <v>81</v>
      </c>
      <c r="G411" s="18"/>
      <c r="H411" s="18" t="s">
        <v>119</v>
      </c>
      <c r="I411" s="18" t="s">
        <v>120</v>
      </c>
      <c r="J411" s="18"/>
      <c r="K411" s="20"/>
      <c r="L411" s="18"/>
      <c r="M411" s="20"/>
      <c r="N411" s="18"/>
    </row>
    <row r="412">
      <c r="A412" s="17" t="str">
        <f t="shared" si="1"/>
        <v>PD-1656</v>
      </c>
      <c r="B412" s="18" t="s">
        <v>315</v>
      </c>
      <c r="C412" s="18" t="s">
        <v>316</v>
      </c>
      <c r="D412" s="18">
        <v>0.3</v>
      </c>
      <c r="E412" s="19">
        <v>43223.0</v>
      </c>
      <c r="F412" s="18" t="s">
        <v>81</v>
      </c>
      <c r="G412" s="18"/>
      <c r="H412" s="18" t="s">
        <v>187</v>
      </c>
      <c r="I412" s="18" t="s">
        <v>81</v>
      </c>
      <c r="J412" s="18"/>
      <c r="K412" s="20"/>
      <c r="L412" s="18"/>
      <c r="M412" s="20"/>
      <c r="N412" s="18"/>
    </row>
    <row r="413">
      <c r="A413" s="17" t="str">
        <f t="shared" si="1"/>
        <v>IOP-866</v>
      </c>
      <c r="B413" s="18" t="s">
        <v>117</v>
      </c>
      <c r="C413" s="18" t="s">
        <v>118</v>
      </c>
      <c r="D413" s="18">
        <v>0.133333333</v>
      </c>
      <c r="E413" s="19">
        <v>43238.0</v>
      </c>
      <c r="F413" s="18" t="s">
        <v>81</v>
      </c>
      <c r="G413" s="18"/>
      <c r="H413" s="18" t="s">
        <v>119</v>
      </c>
      <c r="I413" s="18" t="s">
        <v>120</v>
      </c>
      <c r="J413" s="18"/>
      <c r="K413" s="20"/>
      <c r="L413" s="18"/>
      <c r="M413" s="20"/>
      <c r="N413" s="18"/>
    </row>
    <row r="414">
      <c r="A414" s="17" t="str">
        <f t="shared" si="1"/>
        <v>IOP-866</v>
      </c>
      <c r="B414" s="18" t="s">
        <v>117</v>
      </c>
      <c r="C414" s="18" t="s">
        <v>118</v>
      </c>
      <c r="D414" s="18">
        <v>0.25</v>
      </c>
      <c r="E414" s="19">
        <v>43244.0</v>
      </c>
      <c r="F414" s="18" t="s">
        <v>81</v>
      </c>
      <c r="G414" s="18"/>
      <c r="H414" s="18" t="s">
        <v>119</v>
      </c>
      <c r="I414" s="18" t="s">
        <v>120</v>
      </c>
      <c r="J414" s="18"/>
      <c r="K414" s="20"/>
      <c r="L414" s="18"/>
      <c r="M414" s="20"/>
      <c r="N414" s="18"/>
    </row>
    <row r="415">
      <c r="A415" s="17" t="str">
        <f t="shared" si="1"/>
        <v>IV2-27</v>
      </c>
      <c r="B415" s="18" t="s">
        <v>317</v>
      </c>
      <c r="C415" s="18" t="s">
        <v>318</v>
      </c>
      <c r="D415" s="18">
        <v>0.483333333</v>
      </c>
      <c r="E415" s="19">
        <v>43245.0</v>
      </c>
      <c r="F415" s="18" t="s">
        <v>81</v>
      </c>
      <c r="G415" s="18"/>
      <c r="H415" s="18" t="s">
        <v>302</v>
      </c>
      <c r="I415" s="18" t="s">
        <v>81</v>
      </c>
      <c r="J415" s="18"/>
      <c r="K415" s="20"/>
      <c r="L415" s="18"/>
      <c r="M415" s="20"/>
      <c r="N415" s="18"/>
    </row>
    <row r="416">
      <c r="A416" s="17" t="str">
        <f t="shared" si="1"/>
        <v>PD-1638</v>
      </c>
      <c r="B416" s="18" t="s">
        <v>319</v>
      </c>
      <c r="C416" s="18" t="s">
        <v>320</v>
      </c>
      <c r="D416" s="18">
        <v>1.15</v>
      </c>
      <c r="E416" s="19">
        <v>43222.0</v>
      </c>
      <c r="F416" s="18" t="s">
        <v>81</v>
      </c>
      <c r="G416" s="18"/>
      <c r="H416" s="18" t="s">
        <v>106</v>
      </c>
      <c r="I416" s="18" t="s">
        <v>77</v>
      </c>
      <c r="J416" s="18"/>
      <c r="K416" s="20"/>
      <c r="L416" s="20"/>
      <c r="M416" s="18"/>
      <c r="N416" s="18"/>
    </row>
    <row r="417">
      <c r="A417" s="17" t="str">
        <f t="shared" si="1"/>
        <v>IOP-867</v>
      </c>
      <c r="B417" s="18" t="s">
        <v>143</v>
      </c>
      <c r="C417" s="18" t="s">
        <v>144</v>
      </c>
      <c r="D417" s="18">
        <v>0.2</v>
      </c>
      <c r="E417" s="19">
        <v>43223.0</v>
      </c>
      <c r="F417" s="18" t="s">
        <v>81</v>
      </c>
      <c r="G417" s="18"/>
      <c r="H417" s="18" t="s">
        <v>119</v>
      </c>
      <c r="I417" s="18" t="s">
        <v>120</v>
      </c>
      <c r="J417" s="18"/>
      <c r="K417" s="20"/>
      <c r="L417" s="20"/>
      <c r="M417" s="18"/>
      <c r="N417" s="18"/>
    </row>
    <row r="418">
      <c r="A418" s="17" t="str">
        <f t="shared" si="1"/>
        <v>IOP-867</v>
      </c>
      <c r="B418" s="18" t="s">
        <v>143</v>
      </c>
      <c r="C418" s="18" t="s">
        <v>144</v>
      </c>
      <c r="D418" s="18">
        <v>0.066666667</v>
      </c>
      <c r="E418" s="19">
        <v>43227.0</v>
      </c>
      <c r="F418" s="18" t="s">
        <v>81</v>
      </c>
      <c r="G418" s="18"/>
      <c r="H418" s="18" t="s">
        <v>119</v>
      </c>
      <c r="I418" s="18" t="s">
        <v>120</v>
      </c>
      <c r="J418" s="18"/>
      <c r="K418" s="20"/>
      <c r="L418" s="18"/>
      <c r="M418" s="20"/>
      <c r="N418" s="18"/>
    </row>
    <row r="419">
      <c r="A419" s="17" t="str">
        <f t="shared" si="1"/>
        <v>PD-1601</v>
      </c>
      <c r="B419" s="18" t="s">
        <v>321</v>
      </c>
      <c r="C419" s="18" t="s">
        <v>322</v>
      </c>
      <c r="D419" s="18">
        <v>0.983333333</v>
      </c>
      <c r="E419" s="19">
        <v>43238.0</v>
      </c>
      <c r="F419" s="18" t="s">
        <v>81</v>
      </c>
      <c r="G419" s="18"/>
      <c r="H419" s="18"/>
      <c r="I419" s="18" t="s">
        <v>132</v>
      </c>
      <c r="J419" s="18"/>
      <c r="K419" s="20"/>
      <c r="L419" s="18"/>
      <c r="M419" s="20"/>
      <c r="N419" s="18"/>
    </row>
    <row r="420">
      <c r="A420" s="17" t="str">
        <f t="shared" si="1"/>
        <v>IV2-4</v>
      </c>
      <c r="B420" s="18" t="s">
        <v>323</v>
      </c>
      <c r="C420" s="18" t="s">
        <v>324</v>
      </c>
      <c r="D420" s="18">
        <v>0.95</v>
      </c>
      <c r="E420" s="19">
        <v>43244.0</v>
      </c>
      <c r="F420" s="18" t="s">
        <v>81</v>
      </c>
      <c r="G420" s="18" t="s">
        <v>302</v>
      </c>
      <c r="H420" s="18"/>
      <c r="I420" s="18" t="s">
        <v>81</v>
      </c>
      <c r="J420" s="18"/>
      <c r="K420" s="20"/>
      <c r="L420" s="18"/>
      <c r="M420" s="20"/>
      <c r="N420" s="18"/>
    </row>
    <row r="421">
      <c r="A421" s="17" t="str">
        <f t="shared" si="1"/>
        <v>IOP-875</v>
      </c>
      <c r="B421" s="18" t="s">
        <v>123</v>
      </c>
      <c r="C421" s="18" t="s">
        <v>124</v>
      </c>
      <c r="D421" s="18">
        <v>0.583333333</v>
      </c>
      <c r="E421" s="19">
        <v>43245.0</v>
      </c>
      <c r="F421" s="18" t="s">
        <v>81</v>
      </c>
      <c r="G421" s="18"/>
      <c r="H421" s="18" t="s">
        <v>125</v>
      </c>
      <c r="I421" s="18" t="s">
        <v>120</v>
      </c>
      <c r="J421" s="18"/>
      <c r="K421" s="20"/>
      <c r="L421" s="18"/>
      <c r="M421" s="20"/>
      <c r="N421" s="18"/>
    </row>
    <row r="422">
      <c r="A422" s="17" t="str">
        <f t="shared" si="1"/>
        <v>PD-1694</v>
      </c>
      <c r="B422" s="18" t="s">
        <v>298</v>
      </c>
      <c r="C422" s="18" t="s">
        <v>299</v>
      </c>
      <c r="D422" s="18">
        <v>0.216666667</v>
      </c>
      <c r="E422" s="19">
        <v>43245.0</v>
      </c>
      <c r="F422" s="18" t="s">
        <v>81</v>
      </c>
      <c r="G422" s="18"/>
      <c r="H422" s="18" t="s">
        <v>88</v>
      </c>
      <c r="I422" s="18" t="s">
        <v>89</v>
      </c>
      <c r="J422" s="18"/>
      <c r="K422" s="20"/>
      <c r="L422" s="18"/>
      <c r="M422" s="20"/>
      <c r="N422" s="18"/>
    </row>
    <row r="423">
      <c r="A423" s="17" t="str">
        <f t="shared" si="1"/>
        <v>IOP-867</v>
      </c>
      <c r="B423" s="18" t="s">
        <v>143</v>
      </c>
      <c r="C423" s="18" t="s">
        <v>144</v>
      </c>
      <c r="D423" s="18">
        <v>0.033333333</v>
      </c>
      <c r="E423" s="19">
        <v>43153.0</v>
      </c>
      <c r="F423" s="18" t="s">
        <v>81</v>
      </c>
      <c r="G423" s="18"/>
      <c r="H423" s="18" t="s">
        <v>119</v>
      </c>
      <c r="I423" s="18" t="s">
        <v>120</v>
      </c>
      <c r="J423" s="18"/>
      <c r="K423" s="20"/>
      <c r="L423" s="18"/>
      <c r="M423" s="20"/>
      <c r="N423" s="18"/>
    </row>
    <row r="424">
      <c r="A424" s="17" t="str">
        <f t="shared" si="1"/>
        <v>PD-1632</v>
      </c>
      <c r="B424" s="18" t="s">
        <v>325</v>
      </c>
      <c r="C424" s="18" t="s">
        <v>326</v>
      </c>
      <c r="D424" s="18">
        <v>1.05</v>
      </c>
      <c r="E424" s="19">
        <v>43222.0</v>
      </c>
      <c r="F424" s="18" t="s">
        <v>81</v>
      </c>
      <c r="G424" s="18"/>
      <c r="H424" s="18" t="s">
        <v>106</v>
      </c>
      <c r="I424" s="18" t="s">
        <v>77</v>
      </c>
      <c r="J424" s="18"/>
      <c r="K424" s="20"/>
      <c r="L424" s="18"/>
      <c r="M424" s="20"/>
      <c r="N424" s="18"/>
    </row>
    <row r="425">
      <c r="A425" s="17" t="str">
        <f t="shared" si="1"/>
        <v>IOP-866</v>
      </c>
      <c r="B425" s="18" t="s">
        <v>117</v>
      </c>
      <c r="C425" s="18" t="s">
        <v>118</v>
      </c>
      <c r="D425" s="18">
        <v>0.083333333</v>
      </c>
      <c r="E425" s="19">
        <v>43223.0</v>
      </c>
      <c r="F425" s="18" t="s">
        <v>81</v>
      </c>
      <c r="G425" s="18"/>
      <c r="H425" s="18" t="s">
        <v>119</v>
      </c>
      <c r="I425" s="18" t="s">
        <v>120</v>
      </c>
      <c r="J425" s="18"/>
      <c r="K425" s="20"/>
      <c r="L425" s="18"/>
      <c r="M425" s="20"/>
      <c r="N425" s="18"/>
    </row>
    <row r="426">
      <c r="A426" s="17" t="str">
        <f t="shared" si="1"/>
        <v>IOP-866</v>
      </c>
      <c r="B426" s="18" t="s">
        <v>117</v>
      </c>
      <c r="C426" s="18" t="s">
        <v>118</v>
      </c>
      <c r="D426" s="18">
        <v>0.183333333</v>
      </c>
      <c r="E426" s="19">
        <v>43227.0</v>
      </c>
      <c r="F426" s="18" t="s">
        <v>81</v>
      </c>
      <c r="G426" s="18"/>
      <c r="H426" s="18" t="s">
        <v>119</v>
      </c>
      <c r="I426" s="18" t="s">
        <v>120</v>
      </c>
      <c r="J426" s="18"/>
      <c r="K426" s="20"/>
      <c r="L426" s="18"/>
      <c r="M426" s="20"/>
      <c r="N426" s="18"/>
    </row>
    <row r="427">
      <c r="A427" s="17" t="str">
        <f t="shared" si="1"/>
        <v>IOP-875</v>
      </c>
      <c r="B427" s="18" t="s">
        <v>123</v>
      </c>
      <c r="C427" s="18" t="s">
        <v>124</v>
      </c>
      <c r="D427" s="18">
        <v>0.2</v>
      </c>
      <c r="E427" s="19">
        <v>43238.0</v>
      </c>
      <c r="F427" s="18" t="s">
        <v>81</v>
      </c>
      <c r="G427" s="18"/>
      <c r="H427" s="18" t="s">
        <v>125</v>
      </c>
      <c r="I427" s="18" t="s">
        <v>120</v>
      </c>
      <c r="J427" s="18"/>
      <c r="K427" s="20"/>
      <c r="L427" s="18"/>
      <c r="M427" s="20"/>
      <c r="N427" s="18"/>
    </row>
    <row r="428">
      <c r="A428" s="17" t="str">
        <f t="shared" si="1"/>
        <v>IOP-867</v>
      </c>
      <c r="B428" s="18" t="s">
        <v>143</v>
      </c>
      <c r="C428" s="18" t="s">
        <v>144</v>
      </c>
      <c r="D428" s="18">
        <v>0.45</v>
      </c>
      <c r="E428" s="19">
        <v>43243.0</v>
      </c>
      <c r="F428" s="18" t="s">
        <v>81</v>
      </c>
      <c r="G428" s="18"/>
      <c r="H428" s="18" t="s">
        <v>119</v>
      </c>
      <c r="I428" s="18" t="s">
        <v>120</v>
      </c>
      <c r="J428" s="18"/>
      <c r="K428" s="20"/>
      <c r="L428" s="18"/>
      <c r="M428" s="20"/>
      <c r="N428" s="18"/>
    </row>
    <row r="429">
      <c r="A429" s="17" t="str">
        <f t="shared" si="1"/>
        <v>PD-1693</v>
      </c>
      <c r="B429" s="18" t="s">
        <v>327</v>
      </c>
      <c r="C429" s="18" t="s">
        <v>328</v>
      </c>
      <c r="D429" s="18">
        <v>0.633333333</v>
      </c>
      <c r="E429" s="19">
        <v>43245.0</v>
      </c>
      <c r="F429" s="18" t="s">
        <v>81</v>
      </c>
      <c r="G429" s="18"/>
      <c r="H429" s="18" t="s">
        <v>88</v>
      </c>
      <c r="I429" s="18" t="s">
        <v>89</v>
      </c>
      <c r="J429" s="18"/>
      <c r="K429" s="20"/>
      <c r="L429" s="18"/>
      <c r="M429" s="20"/>
      <c r="N429" s="18"/>
    </row>
    <row r="430">
      <c r="A430" s="17" t="str">
        <f t="shared" si="1"/>
        <v>IOP-866</v>
      </c>
      <c r="B430" s="18" t="s">
        <v>117</v>
      </c>
      <c r="C430" s="18" t="s">
        <v>118</v>
      </c>
      <c r="D430" s="18">
        <v>0.183333333</v>
      </c>
      <c r="E430" s="19">
        <v>43153.0</v>
      </c>
      <c r="F430" s="18" t="s">
        <v>81</v>
      </c>
      <c r="G430" s="18"/>
      <c r="H430" s="18" t="s">
        <v>119</v>
      </c>
      <c r="I430" s="18" t="s">
        <v>120</v>
      </c>
      <c r="J430" s="18"/>
      <c r="K430" s="20"/>
      <c r="L430" s="18"/>
      <c r="M430" s="20"/>
      <c r="N430" s="18"/>
    </row>
    <row r="431">
      <c r="A431" s="17" t="str">
        <f t="shared" si="1"/>
        <v>PD-1587</v>
      </c>
      <c r="B431" s="18" t="s">
        <v>329</v>
      </c>
      <c r="C431" s="18" t="s">
        <v>106</v>
      </c>
      <c r="D431" s="18">
        <v>0.2</v>
      </c>
      <c r="E431" s="19">
        <v>43222.0</v>
      </c>
      <c r="F431" s="18" t="s">
        <v>81</v>
      </c>
      <c r="G431" s="18" t="s">
        <v>106</v>
      </c>
      <c r="H431" s="18"/>
      <c r="I431" s="18" t="s">
        <v>81</v>
      </c>
      <c r="J431" s="18"/>
      <c r="K431" s="20"/>
      <c r="L431" s="18"/>
      <c r="M431" s="20"/>
      <c r="N431" s="18"/>
    </row>
    <row r="432">
      <c r="A432" s="17" t="str">
        <f t="shared" si="1"/>
        <v>PD-1604</v>
      </c>
      <c r="B432" s="18" t="s">
        <v>330</v>
      </c>
      <c r="C432" s="18" t="s">
        <v>331</v>
      </c>
      <c r="D432" s="18">
        <v>0.233333333</v>
      </c>
      <c r="E432" s="19">
        <v>43227.0</v>
      </c>
      <c r="F432" s="18" t="s">
        <v>81</v>
      </c>
      <c r="G432" s="18"/>
      <c r="H432" s="18" t="s">
        <v>106</v>
      </c>
      <c r="I432" s="18" t="s">
        <v>81</v>
      </c>
      <c r="J432" s="18"/>
      <c r="K432" s="20"/>
      <c r="L432" s="18"/>
      <c r="M432" s="20"/>
      <c r="N432" s="18"/>
    </row>
    <row r="433">
      <c r="A433" s="17" t="str">
        <f t="shared" si="1"/>
        <v>PD-1659</v>
      </c>
      <c r="B433" s="18" t="s">
        <v>332</v>
      </c>
      <c r="C433" s="18" t="s">
        <v>333</v>
      </c>
      <c r="D433" s="18">
        <v>0.25</v>
      </c>
      <c r="E433" s="19">
        <v>43227.0</v>
      </c>
      <c r="F433" s="18" t="s">
        <v>81</v>
      </c>
      <c r="G433" s="18"/>
      <c r="H433" s="18" t="s">
        <v>187</v>
      </c>
      <c r="I433" s="18" t="s">
        <v>81</v>
      </c>
      <c r="J433" s="18"/>
      <c r="K433" s="20"/>
      <c r="L433" s="18"/>
      <c r="M433" s="20"/>
      <c r="N433" s="18"/>
    </row>
    <row r="434">
      <c r="A434" s="17" t="str">
        <f t="shared" si="1"/>
        <v>IOP-867</v>
      </c>
      <c r="B434" s="18" t="s">
        <v>143</v>
      </c>
      <c r="C434" s="18" t="s">
        <v>144</v>
      </c>
      <c r="D434" s="18">
        <v>0.133333333</v>
      </c>
      <c r="E434" s="19">
        <v>43236.0</v>
      </c>
      <c r="F434" s="18" t="s">
        <v>81</v>
      </c>
      <c r="G434" s="18"/>
      <c r="H434" s="18" t="s">
        <v>119</v>
      </c>
      <c r="I434" s="18" t="s">
        <v>120</v>
      </c>
      <c r="J434" s="18"/>
      <c r="K434" s="20"/>
      <c r="L434" s="18"/>
      <c r="M434" s="20"/>
      <c r="N434" s="18"/>
    </row>
    <row r="435">
      <c r="A435" s="17" t="str">
        <f t="shared" si="1"/>
        <v>IV2-4</v>
      </c>
      <c r="B435" s="18" t="s">
        <v>323</v>
      </c>
      <c r="C435" s="18" t="s">
        <v>324</v>
      </c>
      <c r="D435" s="18">
        <v>1.3</v>
      </c>
      <c r="E435" s="19">
        <v>43238.0</v>
      </c>
      <c r="F435" s="18" t="s">
        <v>81</v>
      </c>
      <c r="G435" s="18" t="s">
        <v>302</v>
      </c>
      <c r="H435" s="18"/>
      <c r="I435" s="18" t="s">
        <v>81</v>
      </c>
      <c r="J435" s="18"/>
      <c r="K435" s="20"/>
      <c r="L435" s="18"/>
      <c r="M435" s="20"/>
      <c r="N435" s="18"/>
    </row>
    <row r="436">
      <c r="A436" s="17" t="str">
        <f t="shared" si="1"/>
        <v>IOP-866</v>
      </c>
      <c r="B436" s="18" t="s">
        <v>117</v>
      </c>
      <c r="C436" s="18" t="s">
        <v>118</v>
      </c>
      <c r="D436" s="18">
        <v>0.216666667</v>
      </c>
      <c r="E436" s="19">
        <v>43243.0</v>
      </c>
      <c r="F436" s="18" t="s">
        <v>81</v>
      </c>
      <c r="G436" s="18"/>
      <c r="H436" s="18" t="s">
        <v>119</v>
      </c>
      <c r="I436" s="18" t="s">
        <v>120</v>
      </c>
      <c r="J436" s="18"/>
      <c r="K436" s="20"/>
      <c r="L436" s="18"/>
      <c r="M436" s="20"/>
      <c r="N436" s="18"/>
    </row>
    <row r="437">
      <c r="A437" s="17" t="str">
        <f t="shared" si="1"/>
        <v>IV2-8</v>
      </c>
      <c r="B437" s="18" t="s">
        <v>300</v>
      </c>
      <c r="C437" s="18" t="s">
        <v>301</v>
      </c>
      <c r="D437" s="18">
        <v>0.066666667</v>
      </c>
      <c r="E437" s="19">
        <v>43245.0</v>
      </c>
      <c r="F437" s="18" t="s">
        <v>81</v>
      </c>
      <c r="G437" s="18"/>
      <c r="H437" s="18" t="s">
        <v>302</v>
      </c>
      <c r="I437" s="18" t="s">
        <v>78</v>
      </c>
      <c r="J437" s="18"/>
      <c r="K437" s="20"/>
      <c r="L437" s="18"/>
      <c r="M437" s="20"/>
      <c r="N437" s="18"/>
    </row>
    <row r="438">
      <c r="A438" s="17" t="str">
        <f t="shared" si="1"/>
        <v>PD-1636</v>
      </c>
      <c r="B438" s="18" t="s">
        <v>334</v>
      </c>
      <c r="C438" s="18" t="s">
        <v>335</v>
      </c>
      <c r="D438" s="18">
        <v>0.45</v>
      </c>
      <c r="E438" s="19">
        <v>43222.0</v>
      </c>
      <c r="F438" s="18" t="s">
        <v>81</v>
      </c>
      <c r="G438" s="18"/>
      <c r="H438" s="18" t="s">
        <v>106</v>
      </c>
      <c r="I438" s="18" t="s">
        <v>77</v>
      </c>
      <c r="J438" s="18"/>
      <c r="K438" s="20"/>
      <c r="L438" s="18"/>
      <c r="M438" s="20"/>
      <c r="N438" s="18"/>
    </row>
    <row r="439">
      <c r="A439" s="17" t="str">
        <f t="shared" si="1"/>
        <v>PD-1658</v>
      </c>
      <c r="B439" s="18" t="s">
        <v>336</v>
      </c>
      <c r="C439" s="18" t="s">
        <v>337</v>
      </c>
      <c r="D439" s="18">
        <v>0.366666667</v>
      </c>
      <c r="E439" s="19">
        <v>43227.0</v>
      </c>
      <c r="F439" s="18" t="s">
        <v>81</v>
      </c>
      <c r="G439" s="18"/>
      <c r="H439" s="18" t="s">
        <v>187</v>
      </c>
      <c r="I439" s="18" t="s">
        <v>81</v>
      </c>
      <c r="J439" s="18"/>
      <c r="K439" s="20"/>
      <c r="L439" s="18"/>
      <c r="M439" s="20"/>
      <c r="N439" s="18"/>
    </row>
    <row r="440">
      <c r="A440" s="17" t="str">
        <f t="shared" si="1"/>
        <v>PD-1604</v>
      </c>
      <c r="B440" s="18" t="s">
        <v>330</v>
      </c>
      <c r="C440" s="18" t="s">
        <v>331</v>
      </c>
      <c r="D440" s="18">
        <v>0.133333333</v>
      </c>
      <c r="E440" s="19">
        <v>43236.0</v>
      </c>
      <c r="F440" s="18" t="s">
        <v>81</v>
      </c>
      <c r="G440" s="18"/>
      <c r="H440" s="18" t="s">
        <v>106</v>
      </c>
      <c r="I440" s="18" t="s">
        <v>81</v>
      </c>
      <c r="J440" s="18"/>
      <c r="K440" s="20"/>
      <c r="L440" s="18"/>
      <c r="M440" s="20"/>
      <c r="N440" s="18"/>
    </row>
    <row r="441">
      <c r="A441" s="17" t="str">
        <f t="shared" si="1"/>
        <v>IV2-21</v>
      </c>
      <c r="B441" s="18" t="s">
        <v>338</v>
      </c>
      <c r="C441" s="18" t="s">
        <v>339</v>
      </c>
      <c r="D441" s="18">
        <v>0.05</v>
      </c>
      <c r="E441" s="19">
        <v>43238.0</v>
      </c>
      <c r="F441" s="18" t="s">
        <v>81</v>
      </c>
      <c r="G441" s="18"/>
      <c r="H441" s="18" t="s">
        <v>302</v>
      </c>
      <c r="I441" s="18" t="s">
        <v>93</v>
      </c>
      <c r="J441" s="18"/>
      <c r="K441" s="20"/>
      <c r="L441" s="18"/>
      <c r="M441" s="20"/>
      <c r="N441" s="18"/>
    </row>
    <row r="442">
      <c r="A442" s="17" t="str">
        <f t="shared" si="1"/>
        <v>PD-1680</v>
      </c>
      <c r="B442" s="18" t="s">
        <v>340</v>
      </c>
      <c r="C442" s="18" t="s">
        <v>341</v>
      </c>
      <c r="D442" s="18">
        <v>1.583333333</v>
      </c>
      <c r="E442" s="19">
        <v>43243.0</v>
      </c>
      <c r="F442" s="18" t="s">
        <v>81</v>
      </c>
      <c r="G442" s="18"/>
      <c r="H442" s="18" t="s">
        <v>88</v>
      </c>
      <c r="I442" s="18" t="s">
        <v>132</v>
      </c>
      <c r="J442" s="18"/>
      <c r="K442" s="20"/>
      <c r="L442" s="18"/>
      <c r="M442" s="20"/>
      <c r="N442" s="18"/>
    </row>
    <row r="443">
      <c r="A443" s="17" t="str">
        <f t="shared" si="1"/>
        <v>PD-1696</v>
      </c>
      <c r="B443" s="18" t="s">
        <v>342</v>
      </c>
      <c r="C443" s="18" t="s">
        <v>343</v>
      </c>
      <c r="D443" s="18">
        <v>0.616666667</v>
      </c>
      <c r="E443" s="19">
        <v>43258.0</v>
      </c>
      <c r="F443" s="18" t="s">
        <v>81</v>
      </c>
      <c r="G443" s="18"/>
      <c r="H443" s="18"/>
      <c r="I443" s="18" t="s">
        <v>78</v>
      </c>
      <c r="J443" s="18"/>
      <c r="K443" s="20"/>
      <c r="L443" s="18"/>
      <c r="M443" s="20"/>
      <c r="N443" s="18"/>
    </row>
    <row r="444">
      <c r="A444" s="17" t="str">
        <f t="shared" si="1"/>
        <v>PD-1440</v>
      </c>
      <c r="B444" s="18" t="s">
        <v>158</v>
      </c>
      <c r="C444" s="18" t="s">
        <v>159</v>
      </c>
      <c r="D444" s="18">
        <v>0.55</v>
      </c>
      <c r="E444" s="19">
        <v>43222.0</v>
      </c>
      <c r="F444" s="18" t="s">
        <v>81</v>
      </c>
      <c r="G444" s="18"/>
      <c r="H444" s="18"/>
      <c r="I444" s="18" t="s">
        <v>81</v>
      </c>
      <c r="J444" s="18"/>
      <c r="K444" s="20"/>
      <c r="L444" s="18"/>
      <c r="M444" s="20"/>
      <c r="N444" s="18"/>
    </row>
    <row r="445">
      <c r="A445" s="17" t="str">
        <f t="shared" si="1"/>
        <v>IOP-875</v>
      </c>
      <c r="B445" s="18" t="s">
        <v>123</v>
      </c>
      <c r="C445" s="18" t="s">
        <v>124</v>
      </c>
      <c r="D445" s="18">
        <v>0.916666667</v>
      </c>
      <c r="E445" s="19">
        <v>43227.0</v>
      </c>
      <c r="F445" s="18" t="s">
        <v>81</v>
      </c>
      <c r="G445" s="18"/>
      <c r="H445" s="18" t="s">
        <v>125</v>
      </c>
      <c r="I445" s="18" t="s">
        <v>120</v>
      </c>
      <c r="J445" s="18"/>
      <c r="K445" s="20"/>
      <c r="L445" s="18"/>
      <c r="M445" s="20"/>
      <c r="N445" s="18"/>
    </row>
    <row r="446">
      <c r="A446" s="17" t="str">
        <f t="shared" si="1"/>
        <v>IOP-866</v>
      </c>
      <c r="B446" s="18" t="s">
        <v>117</v>
      </c>
      <c r="C446" s="18" t="s">
        <v>118</v>
      </c>
      <c r="D446" s="18">
        <v>0.216666667</v>
      </c>
      <c r="E446" s="19">
        <v>43236.0</v>
      </c>
      <c r="F446" s="18" t="s">
        <v>81</v>
      </c>
      <c r="G446" s="18"/>
      <c r="H446" s="18" t="s">
        <v>119</v>
      </c>
      <c r="I446" s="18" t="s">
        <v>120</v>
      </c>
      <c r="J446" s="18"/>
      <c r="K446" s="20"/>
      <c r="L446" s="18"/>
      <c r="M446" s="20"/>
      <c r="N446" s="18"/>
    </row>
    <row r="447">
      <c r="A447" s="17" t="str">
        <f t="shared" si="1"/>
        <v>IV2-4</v>
      </c>
      <c r="B447" s="18" t="s">
        <v>323</v>
      </c>
      <c r="C447" s="18" t="s">
        <v>324</v>
      </c>
      <c r="D447" s="18">
        <v>2.35</v>
      </c>
      <c r="E447" s="19">
        <v>43245.0</v>
      </c>
      <c r="F447" s="18" t="s">
        <v>81</v>
      </c>
      <c r="G447" s="18" t="s">
        <v>302</v>
      </c>
      <c r="H447" s="18"/>
      <c r="I447" s="18" t="s">
        <v>81</v>
      </c>
      <c r="J447" s="18"/>
      <c r="K447" s="20"/>
      <c r="L447" s="18"/>
      <c r="M447" s="20"/>
      <c r="N447" s="18"/>
    </row>
    <row r="448">
      <c r="A448" s="17" t="str">
        <f t="shared" si="1"/>
        <v>IV2-22</v>
      </c>
      <c r="B448" s="18" t="s">
        <v>344</v>
      </c>
      <c r="C448" s="18" t="s">
        <v>345</v>
      </c>
      <c r="D448" s="18">
        <v>0.216666667</v>
      </c>
      <c r="E448" s="19">
        <v>43238.0</v>
      </c>
      <c r="F448" s="18" t="s">
        <v>81</v>
      </c>
      <c r="G448" s="18"/>
      <c r="H448" s="18" t="s">
        <v>302</v>
      </c>
      <c r="I448" s="18" t="s">
        <v>81</v>
      </c>
      <c r="J448" s="18"/>
      <c r="K448" s="20"/>
      <c r="L448" s="18"/>
      <c r="M448" s="20"/>
      <c r="N448" s="18"/>
    </row>
    <row r="449">
      <c r="A449" s="17" t="str">
        <f t="shared" si="1"/>
        <v>IV2-4</v>
      </c>
      <c r="B449" s="18" t="s">
        <v>323</v>
      </c>
      <c r="C449" s="18" t="s">
        <v>324</v>
      </c>
      <c r="D449" s="18">
        <v>0.466666667</v>
      </c>
      <c r="E449" s="19">
        <v>43243.0</v>
      </c>
      <c r="F449" s="18" t="s">
        <v>81</v>
      </c>
      <c r="G449" s="18" t="s">
        <v>302</v>
      </c>
      <c r="H449" s="18"/>
      <c r="I449" s="18" t="s">
        <v>81</v>
      </c>
      <c r="J449" s="18"/>
      <c r="K449" s="20"/>
      <c r="L449" s="18"/>
      <c r="M449" s="20"/>
      <c r="N449" s="18"/>
    </row>
    <row r="450">
      <c r="A450" s="17" t="str">
        <f t="shared" si="1"/>
        <v>PD-1625</v>
      </c>
      <c r="B450" s="18" t="s">
        <v>346</v>
      </c>
      <c r="C450" s="18" t="s">
        <v>347</v>
      </c>
      <c r="D450" s="18">
        <v>0.25</v>
      </c>
      <c r="E450" s="19">
        <v>43244.0</v>
      </c>
      <c r="F450" s="18" t="s">
        <v>81</v>
      </c>
      <c r="G450" s="18"/>
      <c r="H450" s="18" t="s">
        <v>96</v>
      </c>
      <c r="I450" s="18" t="s">
        <v>81</v>
      </c>
      <c r="J450" s="18"/>
      <c r="K450" s="20"/>
      <c r="L450" s="18"/>
      <c r="M450" s="20"/>
      <c r="N450" s="18"/>
    </row>
    <row r="451">
      <c r="A451" s="17" t="str">
        <f t="shared" si="1"/>
        <v>IOP-866</v>
      </c>
      <c r="B451" s="18" t="s">
        <v>117</v>
      </c>
      <c r="C451" s="18" t="s">
        <v>118</v>
      </c>
      <c r="D451" s="18">
        <v>0.083333333</v>
      </c>
      <c r="E451" s="19">
        <v>43249.0</v>
      </c>
      <c r="F451" s="18" t="s">
        <v>81</v>
      </c>
      <c r="G451" s="18"/>
      <c r="H451" s="18" t="s">
        <v>119</v>
      </c>
      <c r="I451" s="18" t="s">
        <v>120</v>
      </c>
      <c r="J451" s="18"/>
      <c r="K451" s="20"/>
      <c r="L451" s="18"/>
      <c r="M451" s="20"/>
      <c r="N451" s="18"/>
    </row>
    <row r="452">
      <c r="A452" s="17" t="str">
        <f t="shared" si="1"/>
        <v>PD-1601</v>
      </c>
      <c r="B452" s="18" t="s">
        <v>321</v>
      </c>
      <c r="C452" s="18" t="s">
        <v>322</v>
      </c>
      <c r="D452" s="18">
        <v>0.233333333</v>
      </c>
      <c r="E452" s="19">
        <v>43222.0</v>
      </c>
      <c r="F452" s="18" t="s">
        <v>81</v>
      </c>
      <c r="G452" s="18"/>
      <c r="H452" s="18"/>
      <c r="I452" s="18" t="s">
        <v>132</v>
      </c>
      <c r="J452" s="18"/>
      <c r="K452" s="20"/>
      <c r="L452" s="18"/>
      <c r="M452" s="20"/>
      <c r="N452" s="18"/>
    </row>
    <row r="453">
      <c r="A453" s="17" t="str">
        <f t="shared" si="1"/>
        <v>PD-1652</v>
      </c>
      <c r="B453" s="18" t="s">
        <v>305</v>
      </c>
      <c r="C453" s="18" t="s">
        <v>306</v>
      </c>
      <c r="D453" s="18">
        <v>1.716666667</v>
      </c>
      <c r="E453" s="19">
        <v>43227.0</v>
      </c>
      <c r="F453" s="18" t="s">
        <v>81</v>
      </c>
      <c r="G453" s="18"/>
      <c r="H453" s="18" t="s">
        <v>187</v>
      </c>
      <c r="I453" s="18" t="s">
        <v>81</v>
      </c>
      <c r="J453" s="18"/>
      <c r="K453" s="20"/>
      <c r="L453" s="18"/>
      <c r="M453" s="20"/>
      <c r="N453" s="18"/>
    </row>
    <row r="454">
      <c r="A454" s="17" t="str">
        <f t="shared" si="1"/>
        <v>PD-1657</v>
      </c>
      <c r="B454" s="18" t="s">
        <v>348</v>
      </c>
      <c r="C454" s="18" t="s">
        <v>349</v>
      </c>
      <c r="D454" s="18">
        <v>0.533333333</v>
      </c>
      <c r="E454" s="19">
        <v>43227.0</v>
      </c>
      <c r="F454" s="18" t="s">
        <v>81</v>
      </c>
      <c r="G454" s="18"/>
      <c r="H454" s="18" t="s">
        <v>106</v>
      </c>
      <c r="I454" s="18" t="s">
        <v>77</v>
      </c>
      <c r="J454" s="18"/>
      <c r="K454" s="20"/>
      <c r="L454" s="18"/>
      <c r="M454" s="20"/>
      <c r="N454" s="18"/>
    </row>
    <row r="455">
      <c r="A455" s="17" t="str">
        <f t="shared" si="1"/>
        <v>PD-1480</v>
      </c>
      <c r="B455" s="18" t="s">
        <v>121</v>
      </c>
      <c r="C455" s="18" t="s">
        <v>122</v>
      </c>
      <c r="D455" s="18">
        <v>1.25</v>
      </c>
      <c r="E455" s="19">
        <v>43236.0</v>
      </c>
      <c r="F455" s="18" t="s">
        <v>81</v>
      </c>
      <c r="G455" s="18"/>
      <c r="H455" s="18" t="s">
        <v>88</v>
      </c>
      <c r="I455" s="18" t="s">
        <v>78</v>
      </c>
      <c r="J455" s="18"/>
      <c r="K455" s="20"/>
      <c r="L455" s="18"/>
      <c r="M455" s="20"/>
      <c r="N455" s="18"/>
    </row>
    <row r="456">
      <c r="A456" s="17" t="str">
        <f t="shared" si="1"/>
        <v>IV2-16</v>
      </c>
      <c r="B456" s="18" t="s">
        <v>350</v>
      </c>
      <c r="C456" s="18" t="s">
        <v>351</v>
      </c>
      <c r="D456" s="18">
        <v>0.166666667</v>
      </c>
      <c r="E456" s="19">
        <v>43238.0</v>
      </c>
      <c r="F456" s="18" t="s">
        <v>81</v>
      </c>
      <c r="G456" s="18"/>
      <c r="H456" s="18" t="s">
        <v>302</v>
      </c>
      <c r="I456" s="18" t="s">
        <v>81</v>
      </c>
      <c r="J456" s="18"/>
      <c r="K456" s="20"/>
      <c r="L456" s="20"/>
      <c r="M456" s="18"/>
      <c r="N456" s="18"/>
    </row>
    <row r="457">
      <c r="A457" s="17" t="str">
        <f t="shared" si="1"/>
        <v>IOP-867</v>
      </c>
      <c r="B457" s="18" t="s">
        <v>143</v>
      </c>
      <c r="C457" s="18" t="s">
        <v>144</v>
      </c>
      <c r="D457" s="18">
        <v>0.216666667</v>
      </c>
      <c r="E457" s="19">
        <v>43242.0</v>
      </c>
      <c r="F457" s="18" t="s">
        <v>81</v>
      </c>
      <c r="G457" s="18"/>
      <c r="H457" s="18" t="s">
        <v>119</v>
      </c>
      <c r="I457" s="18" t="s">
        <v>120</v>
      </c>
      <c r="J457" s="18"/>
      <c r="K457" s="18"/>
      <c r="L457" s="20"/>
      <c r="M457" s="20"/>
      <c r="N457" s="18"/>
    </row>
    <row r="458">
      <c r="A458" s="17" t="str">
        <f t="shared" si="1"/>
        <v>PD-1681</v>
      </c>
      <c r="B458" s="18" t="s">
        <v>352</v>
      </c>
      <c r="C458" s="18" t="s">
        <v>353</v>
      </c>
      <c r="D458" s="18">
        <v>0.25</v>
      </c>
      <c r="E458" s="19">
        <v>43243.0</v>
      </c>
      <c r="F458" s="18" t="s">
        <v>81</v>
      </c>
      <c r="G458" s="18"/>
      <c r="H458" s="18" t="s">
        <v>101</v>
      </c>
      <c r="I458" s="18" t="s">
        <v>142</v>
      </c>
      <c r="J458" s="18"/>
      <c r="K458" s="20"/>
      <c r="L458" s="18"/>
      <c r="M458" s="20"/>
      <c r="N458" s="18"/>
    </row>
    <row r="459">
      <c r="A459" s="17" t="str">
        <f t="shared" si="1"/>
        <v>PD-1420</v>
      </c>
      <c r="B459" s="18" t="s">
        <v>354</v>
      </c>
      <c r="C459" s="18" t="s">
        <v>355</v>
      </c>
      <c r="D459" s="18">
        <v>0.216666667</v>
      </c>
      <c r="E459" s="19">
        <v>43244.0</v>
      </c>
      <c r="F459" s="18" t="s">
        <v>81</v>
      </c>
      <c r="G459" s="18"/>
      <c r="H459" s="18" t="s">
        <v>356</v>
      </c>
      <c r="I459" s="18" t="s">
        <v>77</v>
      </c>
      <c r="J459" s="18"/>
      <c r="K459" s="20"/>
      <c r="L459" s="18"/>
      <c r="M459" s="20"/>
      <c r="N459" s="18"/>
    </row>
    <row r="460">
      <c r="A460" s="17" t="str">
        <f t="shared" si="1"/>
        <v>PD-1679</v>
      </c>
      <c r="B460" s="18" t="s">
        <v>357</v>
      </c>
      <c r="C460" s="18" t="s">
        <v>358</v>
      </c>
      <c r="D460" s="18">
        <v>3.233333333</v>
      </c>
      <c r="E460" s="19">
        <v>43245.0</v>
      </c>
      <c r="F460" s="18" t="s">
        <v>81</v>
      </c>
      <c r="G460" s="18"/>
      <c r="H460" s="18" t="s">
        <v>187</v>
      </c>
      <c r="I460" s="18" t="s">
        <v>77</v>
      </c>
      <c r="J460" s="18"/>
      <c r="K460" s="20"/>
      <c r="L460" s="18"/>
      <c r="M460" s="20"/>
      <c r="N460" s="18"/>
    </row>
    <row r="461">
      <c r="A461" s="17" t="str">
        <f t="shared" si="1"/>
        <v>PD-1651</v>
      </c>
      <c r="B461" s="18" t="s">
        <v>294</v>
      </c>
      <c r="C461" s="18" t="s">
        <v>295</v>
      </c>
      <c r="D461" s="18">
        <v>1.066666667</v>
      </c>
      <c r="E461" s="19">
        <v>43249.0</v>
      </c>
      <c r="F461" s="18" t="s">
        <v>81</v>
      </c>
      <c r="G461" s="18"/>
      <c r="H461" s="18" t="s">
        <v>187</v>
      </c>
      <c r="I461" s="18" t="s">
        <v>81</v>
      </c>
      <c r="J461" s="18"/>
      <c r="K461" s="20"/>
      <c r="L461" s="18"/>
      <c r="M461" s="20"/>
      <c r="N461" s="18"/>
    </row>
    <row r="462">
      <c r="A462" s="17" t="str">
        <f t="shared" si="1"/>
        <v>IOP-879</v>
      </c>
      <c r="B462" s="18" t="s">
        <v>155</v>
      </c>
      <c r="C462" s="18" t="s">
        <v>156</v>
      </c>
      <c r="D462" s="18">
        <v>0.516666667</v>
      </c>
      <c r="E462" s="19">
        <v>43222.0</v>
      </c>
      <c r="F462" s="18" t="s">
        <v>81</v>
      </c>
      <c r="G462" s="18"/>
      <c r="H462" s="18" t="s">
        <v>157</v>
      </c>
      <c r="I462" s="18" t="s">
        <v>120</v>
      </c>
      <c r="J462" s="18"/>
      <c r="K462" s="20"/>
      <c r="L462" s="18"/>
      <c r="M462" s="20"/>
      <c r="N462" s="18"/>
    </row>
    <row r="463">
      <c r="A463" s="17" t="str">
        <f t="shared" si="1"/>
        <v>PD-1660</v>
      </c>
      <c r="B463" s="18" t="s">
        <v>359</v>
      </c>
      <c r="C463" s="18" t="s">
        <v>360</v>
      </c>
      <c r="D463" s="18">
        <v>0.3</v>
      </c>
      <c r="E463" s="19">
        <v>43227.0</v>
      </c>
      <c r="F463" s="18" t="s">
        <v>81</v>
      </c>
      <c r="G463" s="18"/>
      <c r="H463" s="18" t="s">
        <v>187</v>
      </c>
      <c r="I463" s="18" t="s">
        <v>81</v>
      </c>
      <c r="J463" s="18"/>
      <c r="K463" s="20"/>
      <c r="L463" s="18"/>
      <c r="M463" s="20"/>
      <c r="N463" s="18"/>
    </row>
    <row r="464">
      <c r="A464" s="17" t="str">
        <f t="shared" si="1"/>
        <v>PD-1653</v>
      </c>
      <c r="B464" s="18" t="s">
        <v>309</v>
      </c>
      <c r="C464" s="18" t="s">
        <v>310</v>
      </c>
      <c r="D464" s="18">
        <v>3.183333333</v>
      </c>
      <c r="E464" s="19">
        <v>43236.0</v>
      </c>
      <c r="F464" s="18" t="s">
        <v>81</v>
      </c>
      <c r="G464" s="18"/>
      <c r="H464" s="18" t="s">
        <v>187</v>
      </c>
      <c r="I464" s="18" t="s">
        <v>81</v>
      </c>
      <c r="J464" s="18"/>
      <c r="K464" s="20"/>
      <c r="L464" s="18"/>
      <c r="M464" s="20"/>
      <c r="N464" s="18"/>
    </row>
    <row r="465">
      <c r="A465" s="17" t="str">
        <f t="shared" si="1"/>
        <v>IV2-23</v>
      </c>
      <c r="B465" s="18" t="s">
        <v>361</v>
      </c>
      <c r="C465" s="18" t="s">
        <v>362</v>
      </c>
      <c r="D465" s="18">
        <v>0.066666667</v>
      </c>
      <c r="E465" s="19">
        <v>43238.0</v>
      </c>
      <c r="F465" s="18" t="s">
        <v>81</v>
      </c>
      <c r="G465" s="18"/>
      <c r="H465" s="18" t="s">
        <v>302</v>
      </c>
      <c r="I465" s="18" t="s">
        <v>81</v>
      </c>
      <c r="J465" s="18"/>
      <c r="K465" s="20"/>
      <c r="L465" s="20"/>
      <c r="M465" s="20"/>
      <c r="N465" s="18"/>
    </row>
    <row r="466">
      <c r="A466" s="17" t="str">
        <f t="shared" si="1"/>
        <v>IOP-866</v>
      </c>
      <c r="B466" s="18" t="s">
        <v>117</v>
      </c>
      <c r="C466" s="18" t="s">
        <v>118</v>
      </c>
      <c r="D466" s="18">
        <v>0.166666667</v>
      </c>
      <c r="E466" s="19">
        <v>43242.0</v>
      </c>
      <c r="F466" s="18" t="s">
        <v>81</v>
      </c>
      <c r="G466" s="18"/>
      <c r="H466" s="18" t="s">
        <v>119</v>
      </c>
      <c r="I466" s="18" t="s">
        <v>120</v>
      </c>
      <c r="J466" s="18"/>
      <c r="K466" s="20"/>
      <c r="L466" s="20"/>
      <c r="M466" s="20"/>
      <c r="N466" s="18"/>
    </row>
    <row r="467">
      <c r="A467" s="17" t="str">
        <f t="shared" si="1"/>
        <v>IOP-879</v>
      </c>
      <c r="B467" s="18" t="s">
        <v>155</v>
      </c>
      <c r="C467" s="18" t="s">
        <v>156</v>
      </c>
      <c r="D467" s="18">
        <v>1.366666667</v>
      </c>
      <c r="E467" s="19">
        <v>43243.0</v>
      </c>
      <c r="F467" s="18" t="s">
        <v>81</v>
      </c>
      <c r="G467" s="18"/>
      <c r="H467" s="18" t="s">
        <v>157</v>
      </c>
      <c r="I467" s="18" t="s">
        <v>120</v>
      </c>
      <c r="J467" s="18"/>
      <c r="K467" s="20"/>
      <c r="L467" s="20"/>
      <c r="M467" s="20"/>
      <c r="N467" s="18"/>
    </row>
    <row r="468">
      <c r="A468" s="17" t="str">
        <f t="shared" si="1"/>
        <v>PD-1682</v>
      </c>
      <c r="B468" s="18" t="s">
        <v>363</v>
      </c>
      <c r="C468" s="18" t="s">
        <v>364</v>
      </c>
      <c r="D468" s="18">
        <v>0.533333333</v>
      </c>
      <c r="E468" s="19">
        <v>43244.0</v>
      </c>
      <c r="F468" s="18" t="s">
        <v>81</v>
      </c>
      <c r="G468" s="18"/>
      <c r="H468" s="18"/>
      <c r="I468" s="18" t="s">
        <v>132</v>
      </c>
      <c r="J468" s="18"/>
      <c r="K468" s="20"/>
      <c r="L468" s="18"/>
      <c r="M468" s="20"/>
      <c r="N468" s="18"/>
    </row>
    <row r="469">
      <c r="A469" s="17" t="str">
        <f t="shared" si="1"/>
        <v>PD-1612</v>
      </c>
      <c r="B469" s="18" t="s">
        <v>365</v>
      </c>
      <c r="C469" s="18" t="s">
        <v>366</v>
      </c>
      <c r="D469" s="18">
        <v>0.533333333</v>
      </c>
      <c r="E469" s="19">
        <v>43249.0</v>
      </c>
      <c r="F469" s="18" t="s">
        <v>81</v>
      </c>
      <c r="G469" s="18"/>
      <c r="H469" s="18" t="s">
        <v>88</v>
      </c>
      <c r="I469" s="18" t="s">
        <v>132</v>
      </c>
      <c r="J469" s="18"/>
      <c r="K469" s="20"/>
      <c r="L469" s="20"/>
      <c r="M469" s="18"/>
      <c r="N469" s="18"/>
    </row>
    <row r="470">
      <c r="A470" s="17" t="str">
        <f t="shared" si="1"/>
        <v>PD-1584</v>
      </c>
      <c r="B470" s="18" t="s">
        <v>367</v>
      </c>
      <c r="C470" s="18" t="s">
        <v>368</v>
      </c>
      <c r="D470" s="18">
        <v>3.433333333</v>
      </c>
      <c r="E470" s="19">
        <v>43153.0</v>
      </c>
      <c r="F470" s="18" t="s">
        <v>81</v>
      </c>
      <c r="G470" s="18"/>
      <c r="H470" s="18"/>
      <c r="I470" s="18" t="s">
        <v>78</v>
      </c>
      <c r="J470" s="18"/>
      <c r="K470" s="20"/>
      <c r="L470" s="20"/>
      <c r="M470" s="18"/>
      <c r="N470" s="18"/>
    </row>
    <row r="471">
      <c r="A471" s="17" t="str">
        <f t="shared" si="1"/>
        <v>PD-1506</v>
      </c>
      <c r="B471" s="18" t="s">
        <v>270</v>
      </c>
      <c r="C471" s="18" t="s">
        <v>271</v>
      </c>
      <c r="D471" s="18">
        <v>0.283333333</v>
      </c>
      <c r="E471" s="19">
        <v>43222.0</v>
      </c>
      <c r="F471" s="18" t="s">
        <v>81</v>
      </c>
      <c r="G471" s="18"/>
      <c r="H471" s="18" t="s">
        <v>92</v>
      </c>
      <c r="I471" s="18" t="s">
        <v>93</v>
      </c>
      <c r="J471" s="18"/>
      <c r="K471" s="20"/>
      <c r="L471" s="20"/>
      <c r="M471" s="18"/>
      <c r="N471" s="18"/>
    </row>
    <row r="472">
      <c r="A472" s="17" t="str">
        <f t="shared" si="1"/>
        <v>PD-1656</v>
      </c>
      <c r="B472" s="18" t="s">
        <v>315</v>
      </c>
      <c r="C472" s="18" t="s">
        <v>316</v>
      </c>
      <c r="D472" s="18">
        <v>0.533333333</v>
      </c>
      <c r="E472" s="19">
        <v>43227.0</v>
      </c>
      <c r="F472" s="18" t="s">
        <v>81</v>
      </c>
      <c r="G472" s="18"/>
      <c r="H472" s="18" t="s">
        <v>187</v>
      </c>
      <c r="I472" s="18" t="s">
        <v>81</v>
      </c>
      <c r="J472" s="18"/>
      <c r="K472" s="20"/>
      <c r="L472" s="20"/>
      <c r="M472" s="18"/>
      <c r="N472" s="18"/>
    </row>
    <row r="473">
      <c r="A473" s="17" t="str">
        <f t="shared" si="1"/>
        <v>IOP-875</v>
      </c>
      <c r="B473" s="18" t="s">
        <v>123</v>
      </c>
      <c r="C473" s="18" t="s">
        <v>124</v>
      </c>
      <c r="D473" s="18">
        <v>0.316666667</v>
      </c>
      <c r="E473" s="19">
        <v>43236.0</v>
      </c>
      <c r="F473" s="18" t="s">
        <v>81</v>
      </c>
      <c r="G473" s="18"/>
      <c r="H473" s="18" t="s">
        <v>125</v>
      </c>
      <c r="I473" s="18" t="s">
        <v>120</v>
      </c>
      <c r="J473" s="18"/>
      <c r="K473" s="20"/>
      <c r="L473" s="20"/>
      <c r="M473" s="18"/>
      <c r="N473" s="18"/>
    </row>
    <row r="474">
      <c r="A474" s="17" t="str">
        <f t="shared" si="1"/>
        <v>IV2-24</v>
      </c>
      <c r="B474" s="18" t="s">
        <v>369</v>
      </c>
      <c r="C474" s="18" t="s">
        <v>370</v>
      </c>
      <c r="D474" s="18">
        <v>0.016666667</v>
      </c>
      <c r="E474" s="19">
        <v>43238.0</v>
      </c>
      <c r="F474" s="18" t="s">
        <v>81</v>
      </c>
      <c r="G474" s="18"/>
      <c r="H474" s="18" t="s">
        <v>302</v>
      </c>
      <c r="I474" s="18" t="s">
        <v>81</v>
      </c>
      <c r="J474" s="18"/>
      <c r="K474" s="20"/>
      <c r="L474" s="20"/>
      <c r="M474" s="18"/>
      <c r="N474" s="18"/>
    </row>
    <row r="475">
      <c r="A475" s="17" t="str">
        <f t="shared" si="1"/>
        <v>IV2-4</v>
      </c>
      <c r="B475" s="18" t="s">
        <v>323</v>
      </c>
      <c r="C475" s="18" t="s">
        <v>324</v>
      </c>
      <c r="D475" s="18">
        <v>1.85</v>
      </c>
      <c r="E475" s="19">
        <v>43242.0</v>
      </c>
      <c r="F475" s="18" t="s">
        <v>81</v>
      </c>
      <c r="G475" s="18" t="s">
        <v>302</v>
      </c>
      <c r="H475" s="18"/>
      <c r="I475" s="18" t="s">
        <v>81</v>
      </c>
      <c r="J475" s="18"/>
      <c r="K475" s="20"/>
      <c r="L475" s="20"/>
      <c r="M475" s="18"/>
      <c r="N475" s="18"/>
    </row>
    <row r="476">
      <c r="A476" s="17" t="str">
        <f t="shared" si="1"/>
        <v>PD-1473</v>
      </c>
      <c r="B476" s="18" t="s">
        <v>371</v>
      </c>
      <c r="C476" s="18" t="s">
        <v>372</v>
      </c>
      <c r="D476" s="18">
        <v>1.05</v>
      </c>
      <c r="E476" s="19">
        <v>43243.0</v>
      </c>
      <c r="F476" s="18" t="s">
        <v>81</v>
      </c>
      <c r="G476" s="18"/>
      <c r="H476" s="18" t="s">
        <v>88</v>
      </c>
      <c r="I476" s="18" t="s">
        <v>132</v>
      </c>
      <c r="J476" s="18"/>
      <c r="K476" s="20"/>
      <c r="L476" s="20"/>
      <c r="M476" s="18"/>
      <c r="N476" s="18"/>
    </row>
    <row r="477">
      <c r="A477" s="17" t="str">
        <f t="shared" si="1"/>
        <v>IV2-17</v>
      </c>
      <c r="B477" s="18" t="s">
        <v>373</v>
      </c>
      <c r="C477" s="18" t="s">
        <v>374</v>
      </c>
      <c r="D477" s="18">
        <v>0.166666667</v>
      </c>
      <c r="E477" s="19">
        <v>43244.0</v>
      </c>
      <c r="F477" s="18" t="s">
        <v>81</v>
      </c>
      <c r="G477" s="18"/>
      <c r="H477" s="18" t="s">
        <v>302</v>
      </c>
      <c r="I477" s="18" t="s">
        <v>81</v>
      </c>
      <c r="J477" s="18"/>
      <c r="K477" s="20"/>
      <c r="L477" s="20"/>
      <c r="M477" s="18"/>
      <c r="N477" s="18"/>
    </row>
    <row r="478">
      <c r="A478" s="17" t="str">
        <f t="shared" si="1"/>
        <v>PD-1507</v>
      </c>
      <c r="B478" s="18" t="s">
        <v>114</v>
      </c>
      <c r="C478" s="18" t="s">
        <v>115</v>
      </c>
      <c r="D478" s="18">
        <v>0.516666667</v>
      </c>
      <c r="E478" s="19">
        <v>43249.0</v>
      </c>
      <c r="F478" s="18" t="s">
        <v>81</v>
      </c>
      <c r="G478" s="18"/>
      <c r="H478" s="18"/>
      <c r="I478" s="18" t="s">
        <v>116</v>
      </c>
      <c r="J478" s="18"/>
      <c r="K478" s="20"/>
      <c r="L478" s="20"/>
      <c r="M478" s="18"/>
      <c r="N478" s="18"/>
    </row>
    <row r="479">
      <c r="A479" s="17" t="str">
        <f t="shared" si="1"/>
        <v>PD-1625</v>
      </c>
      <c r="B479" s="18" t="s">
        <v>346</v>
      </c>
      <c r="C479" s="18" t="s">
        <v>347</v>
      </c>
      <c r="D479" s="18">
        <v>0.266666667</v>
      </c>
      <c r="E479" s="19">
        <v>43222.0</v>
      </c>
      <c r="F479" s="18" t="s">
        <v>81</v>
      </c>
      <c r="G479" s="18"/>
      <c r="H479" s="18" t="s">
        <v>96</v>
      </c>
      <c r="I479" s="18" t="s">
        <v>81</v>
      </c>
      <c r="J479" s="18"/>
      <c r="K479" s="20"/>
      <c r="L479" s="18"/>
      <c r="M479" s="20"/>
      <c r="N479" s="18"/>
    </row>
    <row r="480">
      <c r="A480" s="17" t="str">
        <f t="shared" si="1"/>
        <v>PD-1625</v>
      </c>
      <c r="B480" s="18" t="s">
        <v>346</v>
      </c>
      <c r="C480" s="18" t="s">
        <v>347</v>
      </c>
      <c r="D480" s="18">
        <v>2.05</v>
      </c>
      <c r="E480" s="19">
        <v>43227.0</v>
      </c>
      <c r="F480" s="18" t="s">
        <v>81</v>
      </c>
      <c r="G480" s="18"/>
      <c r="H480" s="18" t="s">
        <v>96</v>
      </c>
      <c r="I480" s="18" t="s">
        <v>81</v>
      </c>
      <c r="J480" s="18"/>
      <c r="K480" s="20"/>
      <c r="L480" s="18"/>
      <c r="M480" s="20"/>
      <c r="N480" s="18"/>
    </row>
    <row r="481">
      <c r="A481" s="17" t="str">
        <f t="shared" si="1"/>
        <v>IOP-879</v>
      </c>
      <c r="B481" s="18" t="s">
        <v>155</v>
      </c>
      <c r="C481" s="18" t="s">
        <v>156</v>
      </c>
      <c r="D481" s="18">
        <v>1.15</v>
      </c>
      <c r="E481" s="19">
        <v>43236.0</v>
      </c>
      <c r="F481" s="18" t="s">
        <v>81</v>
      </c>
      <c r="G481" s="18"/>
      <c r="H481" s="18" t="s">
        <v>157</v>
      </c>
      <c r="I481" s="18" t="s">
        <v>120</v>
      </c>
      <c r="J481" s="18"/>
      <c r="K481" s="20"/>
      <c r="L481" s="18"/>
      <c r="M481" s="20"/>
      <c r="N481" s="18"/>
    </row>
    <row r="482">
      <c r="A482" s="17" t="str">
        <f t="shared" si="1"/>
        <v>IV2-25</v>
      </c>
      <c r="B482" s="18" t="s">
        <v>375</v>
      </c>
      <c r="C482" s="18" t="s">
        <v>376</v>
      </c>
      <c r="D482" s="18">
        <v>0.033333333</v>
      </c>
      <c r="E482" s="19">
        <v>43238.0</v>
      </c>
      <c r="F482" s="18" t="s">
        <v>81</v>
      </c>
      <c r="G482" s="18"/>
      <c r="H482" s="18" t="s">
        <v>302</v>
      </c>
      <c r="I482" s="18" t="s">
        <v>81</v>
      </c>
      <c r="J482" s="18"/>
      <c r="K482" s="20"/>
      <c r="L482" s="18"/>
      <c r="M482" s="20"/>
      <c r="N482" s="18"/>
    </row>
    <row r="483">
      <c r="A483" s="17" t="str">
        <f t="shared" si="1"/>
        <v>PD-1440</v>
      </c>
      <c r="B483" s="18" t="s">
        <v>158</v>
      </c>
      <c r="C483" s="18" t="s">
        <v>159</v>
      </c>
      <c r="D483" s="18">
        <v>0.316666667</v>
      </c>
      <c r="E483" s="19">
        <v>43242.0</v>
      </c>
      <c r="F483" s="18" t="s">
        <v>81</v>
      </c>
      <c r="G483" s="18"/>
      <c r="H483" s="18"/>
      <c r="I483" s="18" t="s">
        <v>81</v>
      </c>
      <c r="J483" s="18"/>
      <c r="K483" s="20"/>
      <c r="L483" s="18"/>
      <c r="M483" s="20"/>
      <c r="N483" s="18"/>
    </row>
    <row r="484">
      <c r="A484" s="17" t="str">
        <f t="shared" si="1"/>
        <v>PD-1612</v>
      </c>
      <c r="B484" s="18" t="s">
        <v>365</v>
      </c>
      <c r="C484" s="18" t="s">
        <v>366</v>
      </c>
      <c r="D484" s="18">
        <v>1.7</v>
      </c>
      <c r="E484" s="19">
        <v>43243.0</v>
      </c>
      <c r="F484" s="18" t="s">
        <v>81</v>
      </c>
      <c r="G484" s="18"/>
      <c r="H484" s="18" t="s">
        <v>88</v>
      </c>
      <c r="I484" s="18" t="s">
        <v>132</v>
      </c>
      <c r="J484" s="18"/>
      <c r="K484" s="20"/>
      <c r="L484" s="18"/>
      <c r="M484" s="20"/>
      <c r="N484" s="18"/>
    </row>
    <row r="485">
      <c r="A485" s="17" t="str">
        <f t="shared" si="1"/>
        <v>PD-1693</v>
      </c>
      <c r="B485" s="18" t="s">
        <v>327</v>
      </c>
      <c r="C485" s="18" t="s">
        <v>328</v>
      </c>
      <c r="D485" s="18">
        <v>3.75</v>
      </c>
      <c r="E485" s="19">
        <v>43249.0</v>
      </c>
      <c r="F485" s="18" t="s">
        <v>81</v>
      </c>
      <c r="G485" s="18"/>
      <c r="H485" s="18" t="s">
        <v>88</v>
      </c>
      <c r="I485" s="18" t="s">
        <v>89</v>
      </c>
      <c r="J485" s="18"/>
      <c r="K485" s="20"/>
      <c r="L485" s="18"/>
      <c r="M485" s="20"/>
      <c r="N485" s="18"/>
    </row>
    <row r="486">
      <c r="A486" s="17" t="str">
        <f t="shared" si="1"/>
        <v>PD-1595</v>
      </c>
      <c r="B486" s="18" t="s">
        <v>104</v>
      </c>
      <c r="C486" s="18" t="s">
        <v>105</v>
      </c>
      <c r="D486" s="18">
        <v>1.316666667</v>
      </c>
      <c r="E486" s="19">
        <v>43236.0</v>
      </c>
      <c r="F486" s="18" t="s">
        <v>81</v>
      </c>
      <c r="G486" s="18"/>
      <c r="H486" s="18" t="s">
        <v>106</v>
      </c>
      <c r="I486" s="18" t="s">
        <v>81</v>
      </c>
      <c r="J486" s="18"/>
      <c r="K486" s="20"/>
      <c r="L486" s="18"/>
      <c r="M486" s="20"/>
      <c r="N486" s="18"/>
    </row>
    <row r="487">
      <c r="A487" s="17" t="str">
        <f t="shared" si="1"/>
        <v>IV2-28</v>
      </c>
      <c r="B487" s="18" t="s">
        <v>377</v>
      </c>
      <c r="C487" s="18" t="s">
        <v>378</v>
      </c>
      <c r="D487" s="18">
        <v>0.166666667</v>
      </c>
      <c r="E487" s="19">
        <v>43238.0</v>
      </c>
      <c r="F487" s="18" t="s">
        <v>81</v>
      </c>
      <c r="G487" s="18"/>
      <c r="H487" s="18" t="s">
        <v>302</v>
      </c>
      <c r="I487" s="18" t="s">
        <v>81</v>
      </c>
      <c r="J487" s="18"/>
      <c r="K487" s="20"/>
      <c r="L487" s="18"/>
      <c r="M487" s="20"/>
      <c r="N487" s="18"/>
    </row>
    <row r="488">
      <c r="A488" s="17" t="str">
        <f t="shared" si="1"/>
        <v>PD-1678</v>
      </c>
      <c r="B488" s="18" t="s">
        <v>379</v>
      </c>
      <c r="C488" s="18" t="s">
        <v>380</v>
      </c>
      <c r="D488" s="18">
        <v>0.166666667</v>
      </c>
      <c r="E488" s="19">
        <v>43242.0</v>
      </c>
      <c r="F488" s="18" t="s">
        <v>81</v>
      </c>
      <c r="G488" s="18"/>
      <c r="H488" s="18" t="s">
        <v>96</v>
      </c>
      <c r="I488" s="18" t="s">
        <v>81</v>
      </c>
      <c r="J488" s="18"/>
      <c r="K488" s="20"/>
      <c r="L488" s="18"/>
      <c r="M488" s="20"/>
      <c r="N488" s="18"/>
    </row>
    <row r="489">
      <c r="A489" s="17" t="str">
        <f t="shared" si="1"/>
        <v>IOP-875</v>
      </c>
      <c r="B489" s="18" t="s">
        <v>123</v>
      </c>
      <c r="C489" s="18" t="s">
        <v>124</v>
      </c>
      <c r="D489" s="18">
        <v>0.666666667</v>
      </c>
      <c r="E489" s="19">
        <v>43243.0</v>
      </c>
      <c r="F489" s="18" t="s">
        <v>81</v>
      </c>
      <c r="G489" s="18"/>
      <c r="H489" s="18" t="s">
        <v>125</v>
      </c>
      <c r="I489" s="18" t="s">
        <v>120</v>
      </c>
      <c r="J489" s="18"/>
      <c r="K489" s="20"/>
      <c r="L489" s="18"/>
      <c r="M489" s="20"/>
      <c r="N489" s="18"/>
    </row>
    <row r="490">
      <c r="A490" s="17" t="str">
        <f t="shared" si="1"/>
        <v>IV2-18</v>
      </c>
      <c r="B490" s="18" t="s">
        <v>381</v>
      </c>
      <c r="C490" s="18" t="s">
        <v>382</v>
      </c>
      <c r="D490" s="18">
        <v>0.233333333</v>
      </c>
      <c r="E490" s="19">
        <v>43244.0</v>
      </c>
      <c r="F490" s="18" t="s">
        <v>81</v>
      </c>
      <c r="G490" s="18"/>
      <c r="H490" s="18" t="s">
        <v>302</v>
      </c>
      <c r="I490" s="18" t="s">
        <v>81</v>
      </c>
      <c r="J490" s="18"/>
      <c r="K490" s="20"/>
      <c r="L490" s="18"/>
      <c r="M490" s="20"/>
      <c r="N490" s="18"/>
    </row>
    <row r="491">
      <c r="A491" s="17" t="str">
        <f t="shared" si="1"/>
        <v>IOP-875</v>
      </c>
      <c r="B491" s="18" t="s">
        <v>123</v>
      </c>
      <c r="C491" s="18" t="s">
        <v>124</v>
      </c>
      <c r="D491" s="18">
        <v>0.25</v>
      </c>
      <c r="E491" s="19">
        <v>43249.0</v>
      </c>
      <c r="F491" s="18" t="s">
        <v>81</v>
      </c>
      <c r="G491" s="18"/>
      <c r="H491" s="18" t="s">
        <v>125</v>
      </c>
      <c r="I491" s="18" t="s">
        <v>120</v>
      </c>
      <c r="J491" s="18"/>
      <c r="K491" s="20"/>
      <c r="L491" s="18"/>
      <c r="M491" s="20"/>
      <c r="N491" s="18"/>
    </row>
    <row r="492">
      <c r="A492" s="17" t="str">
        <f t="shared" si="1"/>
        <v>IOP-867</v>
      </c>
      <c r="B492" s="18" t="s">
        <v>143</v>
      </c>
      <c r="C492" s="18" t="s">
        <v>144</v>
      </c>
      <c r="D492" s="18">
        <v>0.183333333</v>
      </c>
      <c r="E492" s="19">
        <v>43251.0</v>
      </c>
      <c r="F492" s="18" t="s">
        <v>81</v>
      </c>
      <c r="G492" s="18"/>
      <c r="H492" s="18" t="s">
        <v>119</v>
      </c>
      <c r="I492" s="18" t="s">
        <v>120</v>
      </c>
      <c r="J492" s="18"/>
      <c r="K492" s="20"/>
      <c r="L492" s="18"/>
      <c r="M492" s="20"/>
      <c r="N492" s="18"/>
    </row>
    <row r="493">
      <c r="A493" s="17" t="str">
        <f t="shared" si="1"/>
        <v>IOP-867</v>
      </c>
      <c r="B493" s="18" t="s">
        <v>143</v>
      </c>
      <c r="C493" s="18" t="s">
        <v>144</v>
      </c>
      <c r="D493" s="18">
        <v>0.083333333</v>
      </c>
      <c r="E493" s="19">
        <v>43255.0</v>
      </c>
      <c r="F493" s="18" t="s">
        <v>81</v>
      </c>
      <c r="G493" s="18"/>
      <c r="H493" s="18" t="s">
        <v>119</v>
      </c>
      <c r="I493" s="18" t="s">
        <v>120</v>
      </c>
      <c r="J493" s="18"/>
      <c r="K493" s="20"/>
      <c r="L493" s="18"/>
      <c r="M493" s="20"/>
      <c r="N493" s="18"/>
    </row>
    <row r="494">
      <c r="A494" s="17" t="str">
        <f t="shared" si="1"/>
        <v>IOP-834</v>
      </c>
      <c r="B494" s="18" t="s">
        <v>258</v>
      </c>
      <c r="C494" s="18" t="s">
        <v>259</v>
      </c>
      <c r="D494" s="18">
        <v>0.833333333</v>
      </c>
      <c r="E494" s="19">
        <v>43153.0</v>
      </c>
      <c r="F494" s="18" t="s">
        <v>81</v>
      </c>
      <c r="G494" s="18"/>
      <c r="H494" s="18"/>
      <c r="I494" s="18" t="s">
        <v>116</v>
      </c>
      <c r="J494" s="18"/>
      <c r="K494" s="20"/>
      <c r="L494" s="20"/>
      <c r="M494" s="20"/>
      <c r="N494" s="18"/>
    </row>
    <row r="495">
      <c r="A495" s="17" t="str">
        <f t="shared" si="1"/>
        <v>IV2-19</v>
      </c>
      <c r="B495" s="18" t="s">
        <v>383</v>
      </c>
      <c r="C495" s="18" t="s">
        <v>384</v>
      </c>
      <c r="D495" s="18">
        <v>0.333333333</v>
      </c>
      <c r="E495" s="19">
        <v>43238.0</v>
      </c>
      <c r="F495" s="18" t="s">
        <v>81</v>
      </c>
      <c r="G495" s="18"/>
      <c r="H495" s="18" t="s">
        <v>302</v>
      </c>
      <c r="I495" s="18" t="s">
        <v>81</v>
      </c>
      <c r="J495" s="18"/>
      <c r="K495" s="20"/>
      <c r="L495" s="20"/>
      <c r="M495" s="20"/>
      <c r="N495" s="18"/>
    </row>
    <row r="496">
      <c r="A496" s="17" t="str">
        <f t="shared" si="1"/>
        <v>PD-1601</v>
      </c>
      <c r="B496" s="18" t="s">
        <v>321</v>
      </c>
      <c r="C496" s="18" t="s">
        <v>322</v>
      </c>
      <c r="D496" s="18">
        <v>2.05</v>
      </c>
      <c r="E496" s="19">
        <v>43242.0</v>
      </c>
      <c r="F496" s="18" t="s">
        <v>81</v>
      </c>
      <c r="G496" s="18"/>
      <c r="H496" s="18"/>
      <c r="I496" s="18" t="s">
        <v>132</v>
      </c>
      <c r="J496" s="18"/>
      <c r="K496" s="20"/>
      <c r="L496" s="20"/>
      <c r="M496" s="20"/>
      <c r="N496" s="18"/>
    </row>
    <row r="497">
      <c r="A497" s="17" t="str">
        <f t="shared" si="1"/>
        <v>IV2-20</v>
      </c>
      <c r="B497" s="18" t="s">
        <v>385</v>
      </c>
      <c r="C497" s="18" t="s">
        <v>386</v>
      </c>
      <c r="D497" s="18">
        <v>0.133333333</v>
      </c>
      <c r="E497" s="19">
        <v>43244.0</v>
      </c>
      <c r="F497" s="18" t="s">
        <v>81</v>
      </c>
      <c r="G497" s="18"/>
      <c r="H497" s="18" t="s">
        <v>302</v>
      </c>
      <c r="I497" s="18" t="s">
        <v>78</v>
      </c>
      <c r="J497" s="18"/>
      <c r="K497" s="20"/>
      <c r="L497" s="20"/>
      <c r="M497" s="20"/>
      <c r="N497" s="18"/>
    </row>
    <row r="498">
      <c r="A498" s="17" t="str">
        <f t="shared" si="1"/>
        <v>PD-1694</v>
      </c>
      <c r="B498" s="18" t="s">
        <v>298</v>
      </c>
      <c r="C498" s="18" t="s">
        <v>299</v>
      </c>
      <c r="D498" s="18">
        <v>1.816666667</v>
      </c>
      <c r="E498" s="19">
        <v>43249.0</v>
      </c>
      <c r="F498" s="18" t="s">
        <v>81</v>
      </c>
      <c r="G498" s="18"/>
      <c r="H498" s="18" t="s">
        <v>88</v>
      </c>
      <c r="I498" s="18" t="s">
        <v>89</v>
      </c>
      <c r="J498" s="18"/>
      <c r="K498" s="20"/>
      <c r="L498" s="20"/>
      <c r="M498" s="20"/>
      <c r="N498" s="18"/>
    </row>
    <row r="499">
      <c r="A499" s="17" t="str">
        <f t="shared" si="1"/>
        <v>IOP-866</v>
      </c>
      <c r="B499" s="18" t="s">
        <v>117</v>
      </c>
      <c r="C499" s="18" t="s">
        <v>118</v>
      </c>
      <c r="D499" s="18">
        <v>0.133333333</v>
      </c>
      <c r="E499" s="19">
        <v>43251.0</v>
      </c>
      <c r="F499" s="18" t="s">
        <v>81</v>
      </c>
      <c r="G499" s="18"/>
      <c r="H499" s="18" t="s">
        <v>119</v>
      </c>
      <c r="I499" s="18" t="s">
        <v>120</v>
      </c>
      <c r="J499" s="18"/>
      <c r="K499" s="20"/>
      <c r="L499" s="20"/>
      <c r="M499" s="20"/>
      <c r="N499" s="18"/>
    </row>
    <row r="500">
      <c r="A500" s="17" t="str">
        <f t="shared" si="1"/>
        <v>PD-1581</v>
      </c>
      <c r="B500" s="18" t="s">
        <v>145</v>
      </c>
      <c r="C500" s="18" t="s">
        <v>146</v>
      </c>
      <c r="D500" s="18">
        <v>0.166666667</v>
      </c>
      <c r="E500" s="19">
        <v>43238.0</v>
      </c>
      <c r="F500" s="18" t="s">
        <v>81</v>
      </c>
      <c r="G500" s="18"/>
      <c r="H500" s="18"/>
      <c r="I500" s="18" t="s">
        <v>81</v>
      </c>
      <c r="J500" s="18"/>
      <c r="K500" s="20"/>
      <c r="L500" s="20"/>
      <c r="M500" s="20"/>
      <c r="N500" s="18"/>
    </row>
    <row r="501">
      <c r="A501" s="17" t="str">
        <f t="shared" si="1"/>
        <v>IOP-875</v>
      </c>
      <c r="B501" s="18" t="s">
        <v>123</v>
      </c>
      <c r="C501" s="18" t="s">
        <v>124</v>
      </c>
      <c r="D501" s="18">
        <v>0.216666667</v>
      </c>
      <c r="E501" s="19">
        <v>43242.0</v>
      </c>
      <c r="F501" s="18" t="s">
        <v>81</v>
      </c>
      <c r="G501" s="18"/>
      <c r="H501" s="18" t="s">
        <v>125</v>
      </c>
      <c r="I501" s="18" t="s">
        <v>120</v>
      </c>
      <c r="J501" s="18"/>
      <c r="K501" s="20"/>
      <c r="L501" s="20"/>
      <c r="M501" s="20"/>
      <c r="N501" s="18"/>
    </row>
    <row r="502">
      <c r="A502" s="17" t="str">
        <f t="shared" si="1"/>
        <v>IV2-8</v>
      </c>
      <c r="B502" s="18" t="s">
        <v>300</v>
      </c>
      <c r="C502" s="18" t="s">
        <v>301</v>
      </c>
      <c r="D502" s="18">
        <v>0.483333333</v>
      </c>
      <c r="E502" s="19">
        <v>43244.0</v>
      </c>
      <c r="F502" s="18" t="s">
        <v>81</v>
      </c>
      <c r="G502" s="18"/>
      <c r="H502" s="18" t="s">
        <v>302</v>
      </c>
      <c r="I502" s="18" t="s">
        <v>78</v>
      </c>
      <c r="J502" s="18"/>
      <c r="K502" s="20"/>
      <c r="L502" s="20"/>
      <c r="M502" s="20"/>
      <c r="N502" s="18"/>
    </row>
    <row r="503">
      <c r="A503" s="17" t="str">
        <f t="shared" si="1"/>
        <v>PD-1273</v>
      </c>
      <c r="B503" s="18" t="s">
        <v>387</v>
      </c>
      <c r="C503" s="18" t="s">
        <v>388</v>
      </c>
      <c r="D503" s="18">
        <v>0.85</v>
      </c>
      <c r="E503" s="19">
        <v>43251.0</v>
      </c>
      <c r="F503" s="18" t="s">
        <v>81</v>
      </c>
      <c r="G503" s="18"/>
      <c r="H503" s="18" t="s">
        <v>88</v>
      </c>
      <c r="I503" s="18" t="s">
        <v>77</v>
      </c>
      <c r="J503" s="18"/>
      <c r="K503" s="20"/>
      <c r="L503" s="18"/>
      <c r="M503" s="20"/>
      <c r="N503" s="18"/>
    </row>
    <row r="504">
      <c r="A504" s="17" t="str">
        <f t="shared" si="1"/>
        <v>IOP-866</v>
      </c>
      <c r="B504" s="18" t="s">
        <v>117</v>
      </c>
      <c r="C504" s="18" t="s">
        <v>118</v>
      </c>
      <c r="D504" s="18">
        <v>0.166666667</v>
      </c>
      <c r="E504" s="19">
        <v>43255.0</v>
      </c>
      <c r="F504" s="18" t="s">
        <v>81</v>
      </c>
      <c r="G504" s="18"/>
      <c r="H504" s="18" t="s">
        <v>119</v>
      </c>
      <c r="I504" s="18" t="s">
        <v>120</v>
      </c>
      <c r="J504" s="18"/>
      <c r="K504" s="20"/>
      <c r="L504" s="18"/>
      <c r="M504" s="20"/>
      <c r="N504" s="18"/>
    </row>
    <row r="505">
      <c r="A505" s="17" t="str">
        <f t="shared" si="1"/>
        <v>IV2-10</v>
      </c>
      <c r="B505" s="18" t="s">
        <v>389</v>
      </c>
      <c r="C505" s="18" t="s">
        <v>390</v>
      </c>
      <c r="D505" s="18">
        <v>0.066666667</v>
      </c>
      <c r="E505" s="19">
        <v>43238.0</v>
      </c>
      <c r="F505" s="18" t="s">
        <v>81</v>
      </c>
      <c r="G505" s="18"/>
      <c r="H505" s="18" t="s">
        <v>302</v>
      </c>
      <c r="I505" s="18" t="s">
        <v>81</v>
      </c>
      <c r="J505" s="18"/>
      <c r="K505" s="20"/>
      <c r="L505" s="18"/>
      <c r="M505" s="20"/>
      <c r="N505" s="18"/>
    </row>
    <row r="506">
      <c r="A506" s="17" t="str">
        <f t="shared" si="1"/>
        <v>IV2-9</v>
      </c>
      <c r="B506" s="18" t="s">
        <v>391</v>
      </c>
      <c r="C506" s="18" t="s">
        <v>392</v>
      </c>
      <c r="D506" s="18">
        <v>0.116666667</v>
      </c>
      <c r="E506" s="19">
        <v>43244.0</v>
      </c>
      <c r="F506" s="18" t="s">
        <v>81</v>
      </c>
      <c r="G506" s="18"/>
      <c r="H506" s="18" t="s">
        <v>302</v>
      </c>
      <c r="I506" s="18" t="s">
        <v>81</v>
      </c>
      <c r="J506" s="18"/>
      <c r="K506" s="20"/>
      <c r="L506" s="18"/>
      <c r="M506" s="20"/>
      <c r="N506" s="18"/>
    </row>
    <row r="507">
      <c r="A507" s="17" t="str">
        <f t="shared" si="1"/>
        <v>PD-1612</v>
      </c>
      <c r="B507" s="18" t="s">
        <v>365</v>
      </c>
      <c r="C507" s="18" t="s">
        <v>366</v>
      </c>
      <c r="D507" s="18">
        <v>0.25</v>
      </c>
      <c r="E507" s="19">
        <v>43251.0</v>
      </c>
      <c r="F507" s="18" t="s">
        <v>81</v>
      </c>
      <c r="G507" s="18"/>
      <c r="H507" s="18" t="s">
        <v>88</v>
      </c>
      <c r="I507" s="18" t="s">
        <v>132</v>
      </c>
      <c r="J507" s="18"/>
      <c r="K507" s="20"/>
      <c r="L507" s="18"/>
      <c r="M507" s="20"/>
      <c r="N507" s="18"/>
    </row>
    <row r="508">
      <c r="A508" s="17" t="str">
        <f t="shared" si="1"/>
        <v>IV2-4</v>
      </c>
      <c r="B508" s="18" t="s">
        <v>323</v>
      </c>
      <c r="C508" s="18" t="s">
        <v>324</v>
      </c>
      <c r="D508" s="18">
        <v>1.383333333</v>
      </c>
      <c r="E508" s="19">
        <v>43255.0</v>
      </c>
      <c r="F508" s="18" t="s">
        <v>81</v>
      </c>
      <c r="G508" s="18" t="s">
        <v>302</v>
      </c>
      <c r="H508" s="18"/>
      <c r="I508" s="18" t="s">
        <v>81</v>
      </c>
      <c r="J508" s="18"/>
      <c r="K508" s="20"/>
      <c r="L508" s="18"/>
      <c r="M508" s="20"/>
      <c r="N508" s="18"/>
    </row>
    <row r="509">
      <c r="A509" s="17" t="str">
        <f t="shared" si="1"/>
        <v>IV2-11</v>
      </c>
      <c r="B509" s="18" t="s">
        <v>393</v>
      </c>
      <c r="C509" s="18" t="s">
        <v>394</v>
      </c>
      <c r="D509" s="18">
        <v>0.133333333</v>
      </c>
      <c r="E509" s="19">
        <v>43238.0</v>
      </c>
      <c r="F509" s="18" t="s">
        <v>81</v>
      </c>
      <c r="G509" s="18"/>
      <c r="H509" s="18" t="s">
        <v>302</v>
      </c>
      <c r="I509" s="18" t="s">
        <v>81</v>
      </c>
      <c r="J509" s="18"/>
      <c r="K509" s="20"/>
      <c r="L509" s="18"/>
      <c r="M509" s="20"/>
      <c r="N509" s="18"/>
    </row>
    <row r="510">
      <c r="A510" s="17" t="str">
        <f t="shared" si="1"/>
        <v>IV2-5</v>
      </c>
      <c r="B510" s="18" t="s">
        <v>395</v>
      </c>
      <c r="C510" s="18" t="s">
        <v>396</v>
      </c>
      <c r="D510" s="18">
        <v>0.233333333</v>
      </c>
      <c r="E510" s="19">
        <v>43244.0</v>
      </c>
      <c r="F510" s="18" t="s">
        <v>81</v>
      </c>
      <c r="G510" s="18"/>
      <c r="H510" s="18" t="s">
        <v>302</v>
      </c>
      <c r="I510" s="18" t="s">
        <v>81</v>
      </c>
      <c r="J510" s="18"/>
      <c r="K510" s="20"/>
      <c r="L510" s="18"/>
      <c r="M510" s="20"/>
      <c r="N510" s="18"/>
    </row>
    <row r="511">
      <c r="A511" s="17" t="str">
        <f t="shared" si="1"/>
        <v>PD-1613</v>
      </c>
      <c r="B511" s="18" t="s">
        <v>397</v>
      </c>
      <c r="C511" s="18" t="s">
        <v>398</v>
      </c>
      <c r="D511" s="18">
        <v>1.116666667</v>
      </c>
      <c r="E511" s="19">
        <v>43251.0</v>
      </c>
      <c r="F511" s="18" t="s">
        <v>81</v>
      </c>
      <c r="G511" s="18"/>
      <c r="H511" s="18" t="s">
        <v>88</v>
      </c>
      <c r="I511" s="18" t="s">
        <v>132</v>
      </c>
      <c r="J511" s="18"/>
      <c r="K511" s="20"/>
      <c r="L511" s="18"/>
      <c r="M511" s="20"/>
      <c r="N511" s="18"/>
    </row>
    <row r="512">
      <c r="A512" s="17" t="str">
        <f t="shared" si="1"/>
        <v>PD-1327</v>
      </c>
      <c r="B512" s="18" t="s">
        <v>205</v>
      </c>
      <c r="C512" s="18" t="s">
        <v>206</v>
      </c>
      <c r="D512" s="18">
        <v>0.616666667</v>
      </c>
      <c r="E512" s="19">
        <v>43255.0</v>
      </c>
      <c r="F512" s="18" t="s">
        <v>81</v>
      </c>
      <c r="G512" s="18"/>
      <c r="H512" s="18"/>
      <c r="I512" s="18" t="s">
        <v>77</v>
      </c>
      <c r="J512" s="18"/>
      <c r="K512" s="20"/>
      <c r="L512" s="18"/>
      <c r="M512" s="20"/>
      <c r="N512" s="18"/>
    </row>
    <row r="513">
      <c r="A513" s="17" t="str">
        <f t="shared" si="1"/>
        <v>IV2-6</v>
      </c>
      <c r="B513" s="18" t="s">
        <v>399</v>
      </c>
      <c r="C513" s="18" t="s">
        <v>400</v>
      </c>
      <c r="D513" s="18">
        <v>0.133333333</v>
      </c>
      <c r="E513" s="19">
        <v>43238.0</v>
      </c>
      <c r="F513" s="18" t="s">
        <v>81</v>
      </c>
      <c r="G513" s="18"/>
      <c r="H513" s="18" t="s">
        <v>302</v>
      </c>
      <c r="I513" s="18" t="s">
        <v>81</v>
      </c>
      <c r="J513" s="18"/>
      <c r="K513" s="20"/>
      <c r="L513" s="18"/>
      <c r="M513" s="20"/>
      <c r="N513" s="18"/>
    </row>
    <row r="514">
      <c r="A514" s="17" t="str">
        <f t="shared" si="1"/>
        <v>IV2-21</v>
      </c>
      <c r="B514" s="18" t="s">
        <v>338</v>
      </c>
      <c r="C514" s="18" t="s">
        <v>339</v>
      </c>
      <c r="D514" s="18">
        <v>1.166666667</v>
      </c>
      <c r="E514" s="19">
        <v>43251.0</v>
      </c>
      <c r="F514" s="18" t="s">
        <v>81</v>
      </c>
      <c r="G514" s="18"/>
      <c r="H514" s="18" t="s">
        <v>302</v>
      </c>
      <c r="I514" s="18" t="s">
        <v>93</v>
      </c>
      <c r="J514" s="18"/>
      <c r="K514" s="20"/>
      <c r="L514" s="18"/>
      <c r="M514" s="20"/>
      <c r="N514" s="18"/>
    </row>
    <row r="515">
      <c r="A515" s="17" t="str">
        <f t="shared" si="1"/>
        <v>IOP-867</v>
      </c>
      <c r="B515" s="18" t="s">
        <v>143</v>
      </c>
      <c r="C515" s="18" t="s">
        <v>144</v>
      </c>
      <c r="D515" s="18">
        <v>0.233333333</v>
      </c>
      <c r="E515" s="19">
        <v>43252.0</v>
      </c>
      <c r="F515" s="18" t="s">
        <v>81</v>
      </c>
      <c r="G515" s="18"/>
      <c r="H515" s="18" t="s">
        <v>119</v>
      </c>
      <c r="I515" s="18" t="s">
        <v>120</v>
      </c>
      <c r="J515" s="18"/>
      <c r="K515" s="20"/>
      <c r="L515" s="18"/>
      <c r="M515" s="20"/>
      <c r="N515" s="18"/>
    </row>
    <row r="516">
      <c r="A516" s="17" t="str">
        <f t="shared" si="1"/>
        <v>PD-1343</v>
      </c>
      <c r="B516" s="18" t="s">
        <v>401</v>
      </c>
      <c r="C516" s="18" t="s">
        <v>402</v>
      </c>
      <c r="D516" s="18">
        <v>0.4</v>
      </c>
      <c r="E516" s="19">
        <v>43255.0</v>
      </c>
      <c r="F516" s="18" t="s">
        <v>81</v>
      </c>
      <c r="G516" s="18"/>
      <c r="H516" s="18" t="s">
        <v>96</v>
      </c>
      <c r="I516" s="18" t="s">
        <v>81</v>
      </c>
      <c r="J516" s="18"/>
      <c r="K516" s="20"/>
      <c r="L516" s="18"/>
      <c r="M516" s="20"/>
      <c r="N516" s="18"/>
    </row>
    <row r="517">
      <c r="A517" s="17" t="str">
        <f t="shared" si="1"/>
        <v>IOP-867</v>
      </c>
      <c r="B517" s="18" t="s">
        <v>143</v>
      </c>
      <c r="C517" s="18" t="s">
        <v>144</v>
      </c>
      <c r="D517" s="18">
        <v>0.166666667</v>
      </c>
      <c r="E517" s="19">
        <v>43237.0</v>
      </c>
      <c r="F517" s="18" t="s">
        <v>81</v>
      </c>
      <c r="G517" s="18"/>
      <c r="H517" s="18" t="s">
        <v>119</v>
      </c>
      <c r="I517" s="18" t="s">
        <v>120</v>
      </c>
      <c r="J517" s="18"/>
      <c r="K517" s="20"/>
      <c r="L517" s="18"/>
      <c r="M517" s="20"/>
      <c r="N517" s="18"/>
    </row>
    <row r="518">
      <c r="A518" s="17" t="str">
        <f t="shared" si="1"/>
        <v>IV2-7</v>
      </c>
      <c r="B518" s="18" t="s">
        <v>403</v>
      </c>
      <c r="C518" s="18" t="s">
        <v>404</v>
      </c>
      <c r="D518" s="18">
        <v>0.166666667</v>
      </c>
      <c r="E518" s="19">
        <v>43238.0</v>
      </c>
      <c r="F518" s="18" t="s">
        <v>81</v>
      </c>
      <c r="G518" s="18"/>
      <c r="H518" s="18" t="s">
        <v>302</v>
      </c>
      <c r="I518" s="18" t="s">
        <v>81</v>
      </c>
      <c r="J518" s="18"/>
      <c r="K518" s="20"/>
      <c r="L518" s="18"/>
      <c r="M518" s="20"/>
      <c r="N518" s="18"/>
    </row>
    <row r="519">
      <c r="A519" s="17" t="str">
        <f t="shared" si="1"/>
        <v>PD-1679</v>
      </c>
      <c r="B519" s="18" t="s">
        <v>357</v>
      </c>
      <c r="C519" s="18" t="s">
        <v>358</v>
      </c>
      <c r="D519" s="18">
        <v>0.366666667</v>
      </c>
      <c r="E519" s="19">
        <v>43242.0</v>
      </c>
      <c r="F519" s="18" t="s">
        <v>81</v>
      </c>
      <c r="G519" s="18"/>
      <c r="H519" s="18" t="s">
        <v>187</v>
      </c>
      <c r="I519" s="18" t="s">
        <v>77</v>
      </c>
      <c r="J519" s="18"/>
      <c r="K519" s="20"/>
      <c r="L519" s="18"/>
      <c r="M519" s="20"/>
      <c r="N519" s="18"/>
    </row>
    <row r="520">
      <c r="A520" s="17" t="str">
        <f t="shared" si="1"/>
        <v>IV2-12</v>
      </c>
      <c r="B520" s="18" t="s">
        <v>405</v>
      </c>
      <c r="C520" s="18" t="s">
        <v>406</v>
      </c>
      <c r="D520" s="18">
        <v>0.35</v>
      </c>
      <c r="E520" s="19">
        <v>43244.0</v>
      </c>
      <c r="F520" s="18" t="s">
        <v>81</v>
      </c>
      <c r="G520" s="18"/>
      <c r="H520" s="18" t="s">
        <v>302</v>
      </c>
      <c r="I520" s="18" t="s">
        <v>81</v>
      </c>
      <c r="J520" s="18"/>
      <c r="K520" s="20"/>
      <c r="L520" s="18"/>
      <c r="M520" s="20"/>
      <c r="N520" s="18"/>
    </row>
    <row r="521">
      <c r="A521" s="17" t="str">
        <f t="shared" si="1"/>
        <v>IOP-23</v>
      </c>
      <c r="B521" s="18" t="s">
        <v>407</v>
      </c>
      <c r="C521" s="18" t="s">
        <v>408</v>
      </c>
      <c r="D521" s="18">
        <v>0.416666667</v>
      </c>
      <c r="E521" s="19">
        <v>43251.0</v>
      </c>
      <c r="F521" s="18" t="s">
        <v>81</v>
      </c>
      <c r="G521" s="18"/>
      <c r="H521" s="18"/>
      <c r="I521" s="18" t="s">
        <v>190</v>
      </c>
      <c r="J521" s="18"/>
      <c r="K521" s="20"/>
      <c r="L521" s="18"/>
      <c r="M521" s="20"/>
      <c r="N521" s="18"/>
    </row>
    <row r="522">
      <c r="A522" s="17" t="str">
        <f t="shared" si="1"/>
        <v>IOP-866</v>
      </c>
      <c r="B522" s="18" t="s">
        <v>117</v>
      </c>
      <c r="C522" s="18" t="s">
        <v>118</v>
      </c>
      <c r="D522" s="18">
        <v>0.133333333</v>
      </c>
      <c r="E522" s="19">
        <v>43252.0</v>
      </c>
      <c r="F522" s="18" t="s">
        <v>81</v>
      </c>
      <c r="G522" s="18"/>
      <c r="H522" s="18" t="s">
        <v>119</v>
      </c>
      <c r="I522" s="18" t="s">
        <v>120</v>
      </c>
      <c r="J522" s="18"/>
      <c r="K522" s="20"/>
      <c r="L522" s="20"/>
      <c r="M522" s="18"/>
      <c r="N522" s="18"/>
    </row>
    <row r="523">
      <c r="A523" s="17" t="str">
        <f t="shared" si="1"/>
        <v>PD-1530</v>
      </c>
      <c r="B523" s="18" t="s">
        <v>251</v>
      </c>
      <c r="C523" s="18" t="s">
        <v>252</v>
      </c>
      <c r="D523" s="18">
        <v>0.85</v>
      </c>
      <c r="E523" s="19">
        <v>43255.0</v>
      </c>
      <c r="F523" s="18" t="s">
        <v>81</v>
      </c>
      <c r="G523" s="18"/>
      <c r="H523" s="18" t="s">
        <v>253</v>
      </c>
      <c r="I523" s="18" t="s">
        <v>93</v>
      </c>
      <c r="J523" s="18"/>
      <c r="K523" s="20"/>
      <c r="L523" s="20"/>
      <c r="M523" s="18"/>
      <c r="N523" s="18"/>
    </row>
    <row r="524">
      <c r="A524" s="17" t="str">
        <f t="shared" si="1"/>
        <v>IOP-875</v>
      </c>
      <c r="B524" s="18" t="s">
        <v>123</v>
      </c>
      <c r="C524" s="18" t="s">
        <v>124</v>
      </c>
      <c r="D524" s="18">
        <v>0.733333333</v>
      </c>
      <c r="E524" s="19">
        <v>43237.0</v>
      </c>
      <c r="F524" s="18" t="s">
        <v>81</v>
      </c>
      <c r="G524" s="18"/>
      <c r="H524" s="18" t="s">
        <v>125</v>
      </c>
      <c r="I524" s="18" t="s">
        <v>120</v>
      </c>
      <c r="J524" s="18"/>
      <c r="K524" s="20"/>
      <c r="L524" s="20"/>
      <c r="M524" s="18"/>
      <c r="N524" s="18"/>
    </row>
    <row r="525">
      <c r="A525" s="17" t="str">
        <f t="shared" si="1"/>
        <v>PD-1502</v>
      </c>
      <c r="B525" s="18" t="s">
        <v>99</v>
      </c>
      <c r="C525" s="18" t="s">
        <v>100</v>
      </c>
      <c r="D525" s="18">
        <v>0.116666667</v>
      </c>
      <c r="E525" s="19">
        <v>43238.0</v>
      </c>
      <c r="F525" s="18" t="s">
        <v>81</v>
      </c>
      <c r="G525" s="18"/>
      <c r="H525" s="18" t="s">
        <v>101</v>
      </c>
      <c r="I525" s="18" t="s">
        <v>93</v>
      </c>
      <c r="J525" s="18"/>
      <c r="K525" s="20"/>
      <c r="L525" s="20"/>
      <c r="M525" s="18"/>
      <c r="N525" s="18"/>
    </row>
    <row r="526">
      <c r="A526" s="17" t="str">
        <f t="shared" si="1"/>
        <v>PD-1473</v>
      </c>
      <c r="B526" s="18" t="s">
        <v>371</v>
      </c>
      <c r="C526" s="18" t="s">
        <v>372</v>
      </c>
      <c r="D526" s="18">
        <v>0.216666667</v>
      </c>
      <c r="E526" s="19">
        <v>43242.0</v>
      </c>
      <c r="F526" s="18" t="s">
        <v>81</v>
      </c>
      <c r="G526" s="18"/>
      <c r="H526" s="18" t="s">
        <v>88</v>
      </c>
      <c r="I526" s="18" t="s">
        <v>132</v>
      </c>
      <c r="J526" s="18"/>
      <c r="K526" s="20"/>
      <c r="L526" s="20"/>
      <c r="M526" s="18"/>
      <c r="N526" s="18"/>
    </row>
    <row r="527">
      <c r="A527" s="17" t="str">
        <f t="shared" si="1"/>
        <v>IV2-13</v>
      </c>
      <c r="B527" s="18" t="s">
        <v>409</v>
      </c>
      <c r="C527" s="18" t="s">
        <v>410</v>
      </c>
      <c r="D527" s="18">
        <v>0.066666667</v>
      </c>
      <c r="E527" s="19">
        <v>43244.0</v>
      </c>
      <c r="F527" s="18" t="s">
        <v>81</v>
      </c>
      <c r="G527" s="18"/>
      <c r="H527" s="18" t="s">
        <v>302</v>
      </c>
      <c r="I527" s="18" t="s">
        <v>81</v>
      </c>
      <c r="J527" s="18"/>
      <c r="K527" s="20"/>
      <c r="L527" s="20"/>
      <c r="M527" s="18"/>
      <c r="N527" s="18"/>
    </row>
    <row r="528">
      <c r="A528" s="17" t="str">
        <f t="shared" si="1"/>
        <v>PD-1653</v>
      </c>
      <c r="B528" s="18" t="s">
        <v>309</v>
      </c>
      <c r="C528" s="18" t="s">
        <v>310</v>
      </c>
      <c r="D528" s="18">
        <v>0.116666667</v>
      </c>
      <c r="E528" s="19">
        <v>43251.0</v>
      </c>
      <c r="F528" s="18" t="s">
        <v>81</v>
      </c>
      <c r="G528" s="18"/>
      <c r="H528" s="18" t="s">
        <v>187</v>
      </c>
      <c r="I528" s="18" t="s">
        <v>81</v>
      </c>
      <c r="J528" s="18"/>
      <c r="K528" s="20"/>
      <c r="L528" s="20"/>
      <c r="M528" s="18"/>
      <c r="N528" s="18"/>
    </row>
    <row r="529">
      <c r="A529" s="17" t="str">
        <f t="shared" si="1"/>
        <v>PD-1695</v>
      </c>
      <c r="B529" s="18" t="s">
        <v>411</v>
      </c>
      <c r="C529" s="18" t="s">
        <v>412</v>
      </c>
      <c r="D529" s="18">
        <v>0.466666667</v>
      </c>
      <c r="E529" s="19">
        <v>43252.0</v>
      </c>
      <c r="F529" s="18" t="s">
        <v>81</v>
      </c>
      <c r="G529" s="18"/>
      <c r="H529" s="18" t="s">
        <v>187</v>
      </c>
      <c r="I529" s="18" t="s">
        <v>81</v>
      </c>
      <c r="J529" s="18"/>
      <c r="K529" s="20"/>
      <c r="L529" s="20"/>
      <c r="M529" s="18"/>
      <c r="N529" s="18"/>
    </row>
    <row r="530">
      <c r="A530" s="17" t="str">
        <f t="shared" si="1"/>
        <v>PD-1650</v>
      </c>
      <c r="B530" s="18" t="s">
        <v>185</v>
      </c>
      <c r="C530" s="18" t="s">
        <v>186</v>
      </c>
      <c r="D530" s="18">
        <v>0.266666667</v>
      </c>
      <c r="E530" s="19">
        <v>43255.0</v>
      </c>
      <c r="F530" s="18" t="s">
        <v>81</v>
      </c>
      <c r="G530" s="18" t="s">
        <v>187</v>
      </c>
      <c r="H530" s="18"/>
      <c r="I530" s="18" t="s">
        <v>77</v>
      </c>
      <c r="J530" s="18"/>
      <c r="K530" s="20"/>
      <c r="L530" s="20"/>
      <c r="M530" s="18"/>
      <c r="N530" s="18"/>
    </row>
    <row r="531">
      <c r="A531" s="17" t="str">
        <f t="shared" si="1"/>
        <v>PD-1590</v>
      </c>
      <c r="B531" s="18" t="s">
        <v>296</v>
      </c>
      <c r="C531" s="18" t="s">
        <v>297</v>
      </c>
      <c r="D531" s="18">
        <v>3.35</v>
      </c>
      <c r="E531" s="19">
        <v>43258.0</v>
      </c>
      <c r="F531" s="18" t="s">
        <v>81</v>
      </c>
      <c r="G531" s="18"/>
      <c r="H531" s="18"/>
      <c r="I531" s="18" t="s">
        <v>81</v>
      </c>
      <c r="J531" s="18"/>
      <c r="K531" s="20"/>
      <c r="L531" s="20"/>
      <c r="M531" s="18"/>
      <c r="N531" s="18"/>
    </row>
    <row r="532">
      <c r="A532" s="17" t="str">
        <f t="shared" si="1"/>
        <v>IOP-867</v>
      </c>
      <c r="B532" s="18" t="s">
        <v>143</v>
      </c>
      <c r="C532" s="18" t="s">
        <v>144</v>
      </c>
      <c r="D532" s="18">
        <v>0.3</v>
      </c>
      <c r="E532" s="19">
        <v>43235.0</v>
      </c>
      <c r="F532" s="18" t="s">
        <v>81</v>
      </c>
      <c r="G532" s="18"/>
      <c r="H532" s="18" t="s">
        <v>119</v>
      </c>
      <c r="I532" s="18" t="s">
        <v>120</v>
      </c>
      <c r="J532" s="18"/>
      <c r="K532" s="20"/>
      <c r="L532" s="20"/>
      <c r="M532" s="18"/>
      <c r="N532" s="18"/>
    </row>
    <row r="533">
      <c r="A533" s="17" t="str">
        <f t="shared" si="1"/>
        <v>PD-1604</v>
      </c>
      <c r="B533" s="18" t="s">
        <v>330</v>
      </c>
      <c r="C533" s="18" t="s">
        <v>331</v>
      </c>
      <c r="D533" s="18">
        <v>0.216666667</v>
      </c>
      <c r="E533" s="19">
        <v>43237.0</v>
      </c>
      <c r="F533" s="18" t="s">
        <v>81</v>
      </c>
      <c r="G533" s="18"/>
      <c r="H533" s="18" t="s">
        <v>106</v>
      </c>
      <c r="I533" s="18" t="s">
        <v>81</v>
      </c>
      <c r="J533" s="18"/>
      <c r="K533" s="20"/>
      <c r="L533" s="20"/>
      <c r="M533" s="18"/>
      <c r="N533" s="18"/>
    </row>
    <row r="534">
      <c r="A534" s="17" t="str">
        <f t="shared" si="1"/>
        <v>IV2-14</v>
      </c>
      <c r="B534" s="18" t="s">
        <v>413</v>
      </c>
      <c r="C534" s="18" t="s">
        <v>414</v>
      </c>
      <c r="D534" s="18">
        <v>0.133333333</v>
      </c>
      <c r="E534" s="19">
        <v>43238.0</v>
      </c>
      <c r="F534" s="18" t="s">
        <v>81</v>
      </c>
      <c r="G534" s="18"/>
      <c r="H534" s="18" t="s">
        <v>302</v>
      </c>
      <c r="I534" s="18" t="s">
        <v>81</v>
      </c>
      <c r="J534" s="18"/>
      <c r="K534" s="20"/>
      <c r="L534" s="20"/>
      <c r="M534" s="18"/>
      <c r="N534" s="18"/>
    </row>
    <row r="535">
      <c r="A535" s="17" t="str">
        <f t="shared" si="1"/>
        <v>PD-1691</v>
      </c>
      <c r="B535" s="18" t="s">
        <v>415</v>
      </c>
      <c r="C535" s="18" t="s">
        <v>416</v>
      </c>
      <c r="D535" s="18">
        <v>0.883333333</v>
      </c>
      <c r="E535" s="19">
        <v>43244.0</v>
      </c>
      <c r="F535" s="18" t="s">
        <v>81</v>
      </c>
      <c r="G535" s="18"/>
      <c r="H535" s="18" t="s">
        <v>96</v>
      </c>
      <c r="I535" s="18" t="s">
        <v>81</v>
      </c>
      <c r="J535" s="18"/>
      <c r="K535" s="20"/>
      <c r="L535" s="20"/>
      <c r="M535" s="18"/>
      <c r="N535" s="18"/>
    </row>
    <row r="536">
      <c r="A536" s="17" t="str">
        <f t="shared" si="1"/>
        <v>PD-1654</v>
      </c>
      <c r="B536" s="18" t="s">
        <v>311</v>
      </c>
      <c r="C536" s="18" t="s">
        <v>312</v>
      </c>
      <c r="D536" s="18">
        <v>0.25</v>
      </c>
      <c r="E536" s="19">
        <v>43251.0</v>
      </c>
      <c r="F536" s="18" t="s">
        <v>81</v>
      </c>
      <c r="G536" s="18"/>
      <c r="H536" s="18" t="s">
        <v>187</v>
      </c>
      <c r="I536" s="18" t="s">
        <v>81</v>
      </c>
      <c r="J536" s="18"/>
      <c r="K536" s="20"/>
      <c r="L536" s="20"/>
      <c r="M536" s="20"/>
      <c r="N536" s="18"/>
    </row>
    <row r="537">
      <c r="A537" s="17" t="str">
        <f t="shared" si="1"/>
        <v>IOP-875</v>
      </c>
      <c r="B537" s="18" t="s">
        <v>123</v>
      </c>
      <c r="C537" s="18" t="s">
        <v>124</v>
      </c>
      <c r="D537" s="18">
        <v>0.05</v>
      </c>
      <c r="E537" s="19">
        <v>43252.0</v>
      </c>
      <c r="F537" s="18" t="s">
        <v>81</v>
      </c>
      <c r="G537" s="18"/>
      <c r="H537" s="18" t="s">
        <v>125</v>
      </c>
      <c r="I537" s="18" t="s">
        <v>120</v>
      </c>
      <c r="J537" s="18"/>
      <c r="K537" s="20"/>
      <c r="L537" s="18"/>
      <c r="M537" s="20"/>
      <c r="N537" s="18"/>
    </row>
    <row r="538">
      <c r="A538" s="17" t="str">
        <f t="shared" si="1"/>
        <v>IV2-12</v>
      </c>
      <c r="B538" s="18" t="s">
        <v>405</v>
      </c>
      <c r="C538" s="18" t="s">
        <v>406</v>
      </c>
      <c r="D538" s="18">
        <v>0.283333333</v>
      </c>
      <c r="E538" s="19">
        <v>43255.0</v>
      </c>
      <c r="F538" s="18" t="s">
        <v>81</v>
      </c>
      <c r="G538" s="18"/>
      <c r="H538" s="18" t="s">
        <v>302</v>
      </c>
      <c r="I538" s="18" t="s">
        <v>81</v>
      </c>
      <c r="J538" s="18"/>
      <c r="K538" s="20"/>
      <c r="L538" s="18"/>
      <c r="M538" s="20"/>
      <c r="N538" s="18"/>
    </row>
    <row r="539">
      <c r="A539" s="17" t="str">
        <f t="shared" si="1"/>
        <v>PD-1691</v>
      </c>
      <c r="B539" s="18" t="s">
        <v>415</v>
      </c>
      <c r="C539" s="18" t="s">
        <v>416</v>
      </c>
      <c r="D539" s="18">
        <v>0.466666667</v>
      </c>
      <c r="E539" s="19">
        <v>43258.0</v>
      </c>
      <c r="F539" s="18" t="s">
        <v>81</v>
      </c>
      <c r="G539" s="18"/>
      <c r="H539" s="18" t="s">
        <v>96</v>
      </c>
      <c r="I539" s="18" t="s">
        <v>81</v>
      </c>
      <c r="J539" s="18"/>
      <c r="K539" s="20"/>
      <c r="L539" s="18"/>
      <c r="M539" s="20"/>
      <c r="N539" s="18"/>
    </row>
    <row r="540">
      <c r="A540" s="17" t="str">
        <f t="shared" si="1"/>
        <v>IOP-867</v>
      </c>
      <c r="B540" s="18" t="s">
        <v>143</v>
      </c>
      <c r="C540" s="18" t="s">
        <v>144</v>
      </c>
      <c r="D540" s="18">
        <v>0.216666667</v>
      </c>
      <c r="E540" s="19">
        <v>43234.0</v>
      </c>
      <c r="F540" s="18" t="s">
        <v>81</v>
      </c>
      <c r="G540" s="18"/>
      <c r="H540" s="18" t="s">
        <v>119</v>
      </c>
      <c r="I540" s="18" t="s">
        <v>120</v>
      </c>
      <c r="J540" s="18"/>
      <c r="K540" s="20"/>
      <c r="L540" s="18"/>
      <c r="M540" s="20"/>
      <c r="N540" s="18"/>
    </row>
    <row r="541">
      <c r="A541" s="17" t="str">
        <f t="shared" si="1"/>
        <v>IOP-866</v>
      </c>
      <c r="B541" s="18" t="s">
        <v>117</v>
      </c>
      <c r="C541" s="18" t="s">
        <v>118</v>
      </c>
      <c r="D541" s="18">
        <v>0.233333333</v>
      </c>
      <c r="E541" s="19">
        <v>43235.0</v>
      </c>
      <c r="F541" s="18" t="s">
        <v>81</v>
      </c>
      <c r="G541" s="18"/>
      <c r="H541" s="18" t="s">
        <v>119</v>
      </c>
      <c r="I541" s="18" t="s">
        <v>120</v>
      </c>
      <c r="J541" s="18"/>
      <c r="K541" s="20"/>
      <c r="L541" s="18"/>
      <c r="M541" s="20"/>
      <c r="N541" s="18"/>
    </row>
    <row r="542">
      <c r="A542" s="17" t="str">
        <f t="shared" si="1"/>
        <v>IOP-866</v>
      </c>
      <c r="B542" s="18" t="s">
        <v>117</v>
      </c>
      <c r="C542" s="18" t="s">
        <v>118</v>
      </c>
      <c r="D542" s="18">
        <v>0.183333333</v>
      </c>
      <c r="E542" s="19">
        <v>43237.0</v>
      </c>
      <c r="F542" s="18" t="s">
        <v>81</v>
      </c>
      <c r="G542" s="18"/>
      <c r="H542" s="18" t="s">
        <v>119</v>
      </c>
      <c r="I542" s="18" t="s">
        <v>120</v>
      </c>
      <c r="J542" s="18"/>
      <c r="K542" s="20"/>
      <c r="L542" s="18"/>
      <c r="M542" s="20"/>
      <c r="N542" s="18"/>
    </row>
    <row r="543">
      <c r="A543" s="17" t="str">
        <f t="shared" si="1"/>
        <v>IV2-15</v>
      </c>
      <c r="B543" s="18" t="s">
        <v>417</v>
      </c>
      <c r="C543" s="18" t="s">
        <v>418</v>
      </c>
      <c r="D543" s="18">
        <v>0.216666667</v>
      </c>
      <c r="E543" s="19">
        <v>43238.0</v>
      </c>
      <c r="F543" s="18" t="s">
        <v>81</v>
      </c>
      <c r="G543" s="18"/>
      <c r="H543" s="18" t="s">
        <v>302</v>
      </c>
      <c r="I543" s="18" t="s">
        <v>81</v>
      </c>
      <c r="J543" s="18"/>
      <c r="K543" s="20"/>
      <c r="L543" s="20"/>
      <c r="M543" s="20"/>
      <c r="N543" s="18"/>
    </row>
    <row r="544">
      <c r="A544" s="17" t="str">
        <f t="shared" si="1"/>
        <v>PD-1612</v>
      </c>
      <c r="B544" s="18" t="s">
        <v>365</v>
      </c>
      <c r="C544" s="18" t="s">
        <v>366</v>
      </c>
      <c r="D544" s="18">
        <v>1.566666667</v>
      </c>
      <c r="E544" s="19">
        <v>43244.0</v>
      </c>
      <c r="F544" s="18" t="s">
        <v>81</v>
      </c>
      <c r="G544" s="18"/>
      <c r="H544" s="18" t="s">
        <v>88</v>
      </c>
      <c r="I544" s="18" t="s">
        <v>132</v>
      </c>
      <c r="J544" s="18"/>
      <c r="K544" s="20"/>
      <c r="L544" s="20"/>
      <c r="M544" s="20"/>
      <c r="N544" s="18"/>
    </row>
    <row r="545">
      <c r="A545" s="17" t="str">
        <f t="shared" si="1"/>
        <v>PD-1655</v>
      </c>
      <c r="B545" s="18" t="s">
        <v>313</v>
      </c>
      <c r="C545" s="18" t="s">
        <v>314</v>
      </c>
      <c r="D545" s="18">
        <v>0.05</v>
      </c>
      <c r="E545" s="19">
        <v>43251.0</v>
      </c>
      <c r="F545" s="18" t="s">
        <v>81</v>
      </c>
      <c r="G545" s="18"/>
      <c r="H545" s="18" t="s">
        <v>187</v>
      </c>
      <c r="I545" s="18" t="s">
        <v>81</v>
      </c>
      <c r="J545" s="18"/>
      <c r="K545" s="20"/>
      <c r="L545" s="20"/>
      <c r="M545" s="20"/>
      <c r="N545" s="18"/>
    </row>
    <row r="546">
      <c r="A546" s="17" t="str">
        <f t="shared" si="1"/>
        <v>IV2-21</v>
      </c>
      <c r="B546" s="18" t="s">
        <v>338</v>
      </c>
      <c r="C546" s="18" t="s">
        <v>339</v>
      </c>
      <c r="D546" s="18">
        <v>0.95</v>
      </c>
      <c r="E546" s="19">
        <v>43252.0</v>
      </c>
      <c r="F546" s="18" t="s">
        <v>81</v>
      </c>
      <c r="G546" s="18"/>
      <c r="H546" s="18" t="s">
        <v>302</v>
      </c>
      <c r="I546" s="18" t="s">
        <v>93</v>
      </c>
      <c r="J546" s="18"/>
      <c r="K546" s="20"/>
      <c r="L546" s="20"/>
      <c r="M546" s="20"/>
      <c r="N546" s="18"/>
    </row>
    <row r="547">
      <c r="A547" s="17" t="str">
        <f t="shared" si="1"/>
        <v>IOP-875</v>
      </c>
      <c r="B547" s="18" t="s">
        <v>123</v>
      </c>
      <c r="C547" s="18" t="s">
        <v>124</v>
      </c>
      <c r="D547" s="18">
        <v>0.633333333</v>
      </c>
      <c r="E547" s="19">
        <v>43255.0</v>
      </c>
      <c r="F547" s="18" t="s">
        <v>81</v>
      </c>
      <c r="G547" s="18"/>
      <c r="H547" s="18" t="s">
        <v>125</v>
      </c>
      <c r="I547" s="18" t="s">
        <v>120</v>
      </c>
      <c r="J547" s="18"/>
      <c r="K547" s="20"/>
      <c r="L547" s="20"/>
      <c r="M547" s="20"/>
      <c r="N547" s="18"/>
    </row>
    <row r="548">
      <c r="A548" s="17" t="str">
        <f t="shared" si="1"/>
        <v>PD-1613</v>
      </c>
      <c r="B548" s="18" t="s">
        <v>397</v>
      </c>
      <c r="C548" s="18" t="s">
        <v>398</v>
      </c>
      <c r="D548" s="18">
        <v>0.2</v>
      </c>
      <c r="E548" s="19">
        <v>43258.0</v>
      </c>
      <c r="F548" s="18" t="s">
        <v>81</v>
      </c>
      <c r="G548" s="18"/>
      <c r="H548" s="18" t="s">
        <v>88</v>
      </c>
      <c r="I548" s="18" t="s">
        <v>132</v>
      </c>
      <c r="J548" s="18"/>
      <c r="K548" s="20"/>
      <c r="L548" s="20"/>
      <c r="M548" s="20"/>
      <c r="N548" s="18"/>
    </row>
    <row r="549">
      <c r="A549" s="17" t="str">
        <f t="shared" si="1"/>
        <v>PD-1653</v>
      </c>
      <c r="B549" s="18" t="s">
        <v>309</v>
      </c>
      <c r="C549" s="18" t="s">
        <v>310</v>
      </c>
      <c r="D549" s="18">
        <v>2.5</v>
      </c>
      <c r="E549" s="19">
        <v>43238.0</v>
      </c>
      <c r="F549" s="18" t="s">
        <v>81</v>
      </c>
      <c r="G549" s="18"/>
      <c r="H549" s="18" t="s">
        <v>187</v>
      </c>
      <c r="I549" s="18" t="s">
        <v>81</v>
      </c>
      <c r="J549" s="18"/>
      <c r="K549" s="20"/>
      <c r="L549" s="20"/>
      <c r="M549" s="20"/>
      <c r="N549" s="18"/>
    </row>
    <row r="550">
      <c r="A550" s="17" t="str">
        <f t="shared" si="1"/>
        <v>PD-1604</v>
      </c>
      <c r="B550" s="18" t="s">
        <v>330</v>
      </c>
      <c r="C550" s="18" t="s">
        <v>331</v>
      </c>
      <c r="D550" s="18">
        <v>0.316666667</v>
      </c>
      <c r="E550" s="19">
        <v>43234.0</v>
      </c>
      <c r="F550" s="18" t="s">
        <v>81</v>
      </c>
      <c r="G550" s="18"/>
      <c r="H550" s="18" t="s">
        <v>106</v>
      </c>
      <c r="I550" s="18" t="s">
        <v>81</v>
      </c>
      <c r="J550" s="18"/>
      <c r="K550" s="20"/>
      <c r="L550" s="20"/>
      <c r="M550" s="20"/>
      <c r="N550" s="18"/>
    </row>
    <row r="551">
      <c r="A551" s="17" t="str">
        <f t="shared" si="1"/>
        <v>PD-1480</v>
      </c>
      <c r="B551" s="18" t="s">
        <v>121</v>
      </c>
      <c r="C551" s="18" t="s">
        <v>122</v>
      </c>
      <c r="D551" s="18">
        <v>2.433333333</v>
      </c>
      <c r="E551" s="19">
        <v>43235.0</v>
      </c>
      <c r="F551" s="18" t="s">
        <v>81</v>
      </c>
      <c r="G551" s="18"/>
      <c r="H551" s="18" t="s">
        <v>88</v>
      </c>
      <c r="I551" s="18" t="s">
        <v>78</v>
      </c>
      <c r="J551" s="18"/>
      <c r="K551" s="20"/>
      <c r="L551" s="20"/>
      <c r="M551" s="20"/>
      <c r="N551" s="18"/>
    </row>
    <row r="552">
      <c r="A552" s="17" t="str">
        <f t="shared" si="1"/>
        <v>PD-1653</v>
      </c>
      <c r="B552" s="18" t="s">
        <v>309</v>
      </c>
      <c r="C552" s="18" t="s">
        <v>310</v>
      </c>
      <c r="D552" s="18">
        <v>3.816666667</v>
      </c>
      <c r="E552" s="19">
        <v>43237.0</v>
      </c>
      <c r="F552" s="18" t="s">
        <v>81</v>
      </c>
      <c r="G552" s="18"/>
      <c r="H552" s="18" t="s">
        <v>187</v>
      </c>
      <c r="I552" s="18" t="s">
        <v>81</v>
      </c>
      <c r="J552" s="18"/>
      <c r="K552" s="20"/>
      <c r="L552" s="20"/>
      <c r="M552" s="20"/>
      <c r="N552" s="18"/>
    </row>
    <row r="553">
      <c r="A553" s="17" t="str">
        <f t="shared" si="1"/>
        <v>PD-1659</v>
      </c>
      <c r="B553" s="18" t="s">
        <v>332</v>
      </c>
      <c r="C553" s="18" t="s">
        <v>333</v>
      </c>
      <c r="D553" s="18">
        <v>0.116666667</v>
      </c>
      <c r="E553" s="19">
        <v>43251.0</v>
      </c>
      <c r="F553" s="18" t="s">
        <v>81</v>
      </c>
      <c r="G553" s="18"/>
      <c r="H553" s="18" t="s">
        <v>187</v>
      </c>
      <c r="I553" s="18" t="s">
        <v>81</v>
      </c>
      <c r="J553" s="18"/>
      <c r="K553" s="20"/>
      <c r="L553" s="20"/>
      <c r="M553" s="20"/>
      <c r="N553" s="18"/>
    </row>
    <row r="554">
      <c r="A554" s="17" t="str">
        <f t="shared" si="1"/>
        <v>IV2-11</v>
      </c>
      <c r="B554" s="18" t="s">
        <v>393</v>
      </c>
      <c r="C554" s="18" t="s">
        <v>394</v>
      </c>
      <c r="D554" s="18">
        <v>1.083333333</v>
      </c>
      <c r="E554" s="19">
        <v>43252.0</v>
      </c>
      <c r="F554" s="18" t="s">
        <v>81</v>
      </c>
      <c r="G554" s="18"/>
      <c r="H554" s="18" t="s">
        <v>302</v>
      </c>
      <c r="I554" s="18" t="s">
        <v>81</v>
      </c>
      <c r="J554" s="18"/>
      <c r="K554" s="20"/>
      <c r="L554" s="20"/>
      <c r="M554" s="20"/>
      <c r="N554" s="18"/>
    </row>
    <row r="555">
      <c r="A555" s="17" t="str">
        <f t="shared" si="1"/>
        <v>PD-1590</v>
      </c>
      <c r="B555" s="18" t="s">
        <v>296</v>
      </c>
      <c r="C555" s="18" t="s">
        <v>297</v>
      </c>
      <c r="D555" s="18">
        <v>2.166666667</v>
      </c>
      <c r="E555" s="19">
        <v>43255.0</v>
      </c>
      <c r="F555" s="18" t="s">
        <v>81</v>
      </c>
      <c r="G555" s="18"/>
      <c r="H555" s="18"/>
      <c r="I555" s="18" t="s">
        <v>81</v>
      </c>
      <c r="J555" s="18"/>
      <c r="K555" s="20"/>
      <c r="L555" s="20"/>
      <c r="M555" s="20"/>
      <c r="N555" s="18"/>
    </row>
    <row r="556">
      <c r="A556" s="17" t="str">
        <f t="shared" si="1"/>
        <v>PD-1473</v>
      </c>
      <c r="B556" s="18" t="s">
        <v>371</v>
      </c>
      <c r="C556" s="18" t="s">
        <v>372</v>
      </c>
      <c r="D556" s="18">
        <v>0.133333333</v>
      </c>
      <c r="E556" s="19">
        <v>43258.0</v>
      </c>
      <c r="F556" s="18" t="s">
        <v>81</v>
      </c>
      <c r="G556" s="18"/>
      <c r="H556" s="18" t="s">
        <v>88</v>
      </c>
      <c r="I556" s="18" t="s">
        <v>132</v>
      </c>
      <c r="J556" s="18"/>
      <c r="K556" s="20"/>
      <c r="L556" s="20"/>
      <c r="M556" s="20"/>
      <c r="N556" s="18"/>
    </row>
    <row r="557">
      <c r="A557" s="17" t="str">
        <f t="shared" si="1"/>
        <v>IOP-866</v>
      </c>
      <c r="B557" s="18" t="s">
        <v>117</v>
      </c>
      <c r="C557" s="18" t="s">
        <v>118</v>
      </c>
      <c r="D557" s="18">
        <v>0.116666667</v>
      </c>
      <c r="E557" s="19">
        <v>43234.0</v>
      </c>
      <c r="F557" s="18" t="s">
        <v>81</v>
      </c>
      <c r="G557" s="18"/>
      <c r="H557" s="18" t="s">
        <v>119</v>
      </c>
      <c r="I557" s="18" t="s">
        <v>120</v>
      </c>
      <c r="J557" s="18"/>
      <c r="K557" s="20"/>
      <c r="L557" s="20"/>
      <c r="M557" s="20"/>
      <c r="N557" s="18"/>
    </row>
    <row r="558">
      <c r="A558" s="17" t="str">
        <f t="shared" si="1"/>
        <v>PD-1440</v>
      </c>
      <c r="B558" s="18" t="s">
        <v>158</v>
      </c>
      <c r="C558" s="18" t="s">
        <v>159</v>
      </c>
      <c r="D558" s="18">
        <v>0.166666667</v>
      </c>
      <c r="E558" s="19">
        <v>43235.0</v>
      </c>
      <c r="F558" s="18" t="s">
        <v>81</v>
      </c>
      <c r="G558" s="18"/>
      <c r="H558" s="18"/>
      <c r="I558" s="18" t="s">
        <v>81</v>
      </c>
      <c r="J558" s="18"/>
      <c r="K558" s="20"/>
      <c r="L558" s="20"/>
      <c r="M558" s="20"/>
      <c r="N558" s="18"/>
    </row>
    <row r="559">
      <c r="A559" s="17" t="str">
        <f t="shared" si="1"/>
        <v>PD-1660</v>
      </c>
      <c r="B559" s="18" t="s">
        <v>359</v>
      </c>
      <c r="C559" s="18" t="s">
        <v>360</v>
      </c>
      <c r="D559" s="18">
        <v>0.166666667</v>
      </c>
      <c r="E559" s="19">
        <v>43251.0</v>
      </c>
      <c r="F559" s="18" t="s">
        <v>81</v>
      </c>
      <c r="G559" s="18"/>
      <c r="H559" s="18" t="s">
        <v>187</v>
      </c>
      <c r="I559" s="18" t="s">
        <v>81</v>
      </c>
      <c r="J559" s="18"/>
      <c r="K559" s="20"/>
      <c r="L559" s="20"/>
      <c r="M559" s="20"/>
      <c r="N559" s="18"/>
    </row>
    <row r="560">
      <c r="A560" s="17" t="str">
        <f t="shared" si="1"/>
        <v>IV2-6</v>
      </c>
      <c r="B560" s="18" t="s">
        <v>399</v>
      </c>
      <c r="C560" s="18" t="s">
        <v>400</v>
      </c>
      <c r="D560" s="18">
        <v>1.3</v>
      </c>
      <c r="E560" s="19">
        <v>43252.0</v>
      </c>
      <c r="F560" s="18" t="s">
        <v>81</v>
      </c>
      <c r="G560" s="18"/>
      <c r="H560" s="18" t="s">
        <v>302</v>
      </c>
      <c r="I560" s="18" t="s">
        <v>81</v>
      </c>
      <c r="J560" s="18"/>
      <c r="K560" s="20"/>
      <c r="L560" s="20"/>
      <c r="M560" s="20"/>
      <c r="N560" s="18"/>
    </row>
    <row r="561">
      <c r="A561" s="17" t="str">
        <f t="shared" si="1"/>
        <v>IOP-879</v>
      </c>
      <c r="B561" s="18" t="s">
        <v>155</v>
      </c>
      <c r="C561" s="18" t="s">
        <v>156</v>
      </c>
      <c r="D561" s="18">
        <v>0.666666667</v>
      </c>
      <c r="E561" s="19">
        <v>43255.0</v>
      </c>
      <c r="F561" s="18" t="s">
        <v>81</v>
      </c>
      <c r="G561" s="18"/>
      <c r="H561" s="18" t="s">
        <v>157</v>
      </c>
      <c r="I561" s="18" t="s">
        <v>120</v>
      </c>
      <c r="J561" s="18"/>
      <c r="K561" s="20"/>
      <c r="L561" s="20"/>
      <c r="M561" s="20"/>
      <c r="N561" s="18"/>
    </row>
    <row r="562">
      <c r="A562" s="17" t="str">
        <f t="shared" si="1"/>
        <v>IOP-867</v>
      </c>
      <c r="B562" s="18" t="s">
        <v>143</v>
      </c>
      <c r="C562" s="18" t="s">
        <v>144</v>
      </c>
      <c r="D562" s="18">
        <v>0.183333333</v>
      </c>
      <c r="E562" s="19">
        <v>43259.0</v>
      </c>
      <c r="F562" s="18" t="s">
        <v>81</v>
      </c>
      <c r="G562" s="18"/>
      <c r="H562" s="18" t="s">
        <v>119</v>
      </c>
      <c r="I562" s="18" t="s">
        <v>120</v>
      </c>
      <c r="J562" s="18"/>
      <c r="K562" s="20"/>
      <c r="L562" s="20"/>
      <c r="M562" s="20"/>
      <c r="N562" s="18"/>
    </row>
    <row r="563">
      <c r="A563" s="17" t="str">
        <f t="shared" si="1"/>
        <v>PD-1656</v>
      </c>
      <c r="B563" s="18" t="s">
        <v>315</v>
      </c>
      <c r="C563" s="18" t="s">
        <v>316</v>
      </c>
      <c r="D563" s="18">
        <v>6.75</v>
      </c>
      <c r="E563" s="19">
        <v>43234.0</v>
      </c>
      <c r="F563" s="18" t="s">
        <v>81</v>
      </c>
      <c r="G563" s="18"/>
      <c r="H563" s="18" t="s">
        <v>187</v>
      </c>
      <c r="I563" s="18" t="s">
        <v>81</v>
      </c>
      <c r="J563" s="18"/>
      <c r="K563" s="20"/>
      <c r="L563" s="20"/>
      <c r="M563" s="20"/>
      <c r="N563" s="18"/>
    </row>
    <row r="564">
      <c r="A564" s="17" t="str">
        <f t="shared" si="1"/>
        <v>IOP-875</v>
      </c>
      <c r="B564" s="18" t="s">
        <v>123</v>
      </c>
      <c r="C564" s="18" t="s">
        <v>124</v>
      </c>
      <c r="D564" s="18">
        <v>0.366666667</v>
      </c>
      <c r="E564" s="19">
        <v>43234.0</v>
      </c>
      <c r="F564" s="18" t="s">
        <v>81</v>
      </c>
      <c r="G564" s="18"/>
      <c r="H564" s="18" t="s">
        <v>125</v>
      </c>
      <c r="I564" s="18" t="s">
        <v>120</v>
      </c>
      <c r="J564" s="18"/>
      <c r="K564" s="20"/>
      <c r="L564" s="20"/>
      <c r="M564" s="20"/>
      <c r="N564" s="18"/>
    </row>
    <row r="565">
      <c r="A565" s="17" t="str">
        <f t="shared" si="1"/>
        <v>PD-1660</v>
      </c>
      <c r="B565" s="18" t="s">
        <v>359</v>
      </c>
      <c r="C565" s="18" t="s">
        <v>360</v>
      </c>
      <c r="D565" s="18">
        <v>0.216666667</v>
      </c>
      <c r="E565" s="19">
        <v>43235.0</v>
      </c>
      <c r="F565" s="18" t="s">
        <v>81</v>
      </c>
      <c r="G565" s="18"/>
      <c r="H565" s="18" t="s">
        <v>187</v>
      </c>
      <c r="I565" s="18" t="s">
        <v>81</v>
      </c>
      <c r="J565" s="18"/>
      <c r="K565" s="20"/>
      <c r="L565" s="20"/>
      <c r="M565" s="20"/>
      <c r="N565" s="18"/>
    </row>
    <row r="566">
      <c r="A566" s="17" t="str">
        <f t="shared" si="1"/>
        <v>IV2-19</v>
      </c>
      <c r="B566" s="18" t="s">
        <v>383</v>
      </c>
      <c r="C566" s="18" t="s">
        <v>384</v>
      </c>
      <c r="D566" s="18">
        <v>3.233333333</v>
      </c>
      <c r="E566" s="19">
        <v>43251.0</v>
      </c>
      <c r="F566" s="18" t="s">
        <v>81</v>
      </c>
      <c r="G566" s="18"/>
      <c r="H566" s="18" t="s">
        <v>302</v>
      </c>
      <c r="I566" s="18" t="s">
        <v>81</v>
      </c>
      <c r="J566" s="18"/>
      <c r="K566" s="20"/>
      <c r="L566" s="20"/>
      <c r="M566" s="20"/>
      <c r="N566" s="18"/>
    </row>
    <row r="567">
      <c r="A567" s="17" t="str">
        <f t="shared" si="1"/>
        <v>PD-1590</v>
      </c>
      <c r="B567" s="18" t="s">
        <v>296</v>
      </c>
      <c r="C567" s="18" t="s">
        <v>297</v>
      </c>
      <c r="D567" s="18">
        <v>3.8</v>
      </c>
      <c r="E567" s="19">
        <v>43252.0</v>
      </c>
      <c r="F567" s="18" t="s">
        <v>81</v>
      </c>
      <c r="G567" s="18"/>
      <c r="H567" s="18"/>
      <c r="I567" s="18" t="s">
        <v>81</v>
      </c>
      <c r="J567" s="18"/>
      <c r="K567" s="20"/>
      <c r="L567" s="20"/>
      <c r="M567" s="20"/>
      <c r="N567" s="18"/>
    </row>
    <row r="568">
      <c r="A568" s="17" t="str">
        <f t="shared" si="1"/>
        <v>IV2-19</v>
      </c>
      <c r="B568" s="18" t="s">
        <v>383</v>
      </c>
      <c r="C568" s="18" t="s">
        <v>384</v>
      </c>
      <c r="D568" s="18">
        <v>0.083333333</v>
      </c>
      <c r="E568" s="19">
        <v>43255.0</v>
      </c>
      <c r="F568" s="18" t="s">
        <v>81</v>
      </c>
      <c r="G568" s="18"/>
      <c r="H568" s="18" t="s">
        <v>302</v>
      </c>
      <c r="I568" s="18" t="s">
        <v>81</v>
      </c>
      <c r="J568" s="18"/>
      <c r="K568" s="20"/>
      <c r="L568" s="20"/>
      <c r="M568" s="20"/>
      <c r="N568" s="18"/>
    </row>
    <row r="569">
      <c r="A569" s="17" t="str">
        <f t="shared" si="1"/>
        <v>IOP-866</v>
      </c>
      <c r="B569" s="18" t="s">
        <v>117</v>
      </c>
      <c r="C569" s="18" t="s">
        <v>118</v>
      </c>
      <c r="D569" s="18">
        <v>0.066666667</v>
      </c>
      <c r="E569" s="19">
        <v>43259.0</v>
      </c>
      <c r="F569" s="18" t="s">
        <v>81</v>
      </c>
      <c r="G569" s="18"/>
      <c r="H569" s="18" t="s">
        <v>119</v>
      </c>
      <c r="I569" s="18" t="s">
        <v>120</v>
      </c>
      <c r="J569" s="18"/>
      <c r="K569" s="20"/>
      <c r="L569" s="18"/>
      <c r="M569" s="20"/>
      <c r="N569" s="18"/>
    </row>
    <row r="570">
      <c r="A570" s="17" t="str">
        <f t="shared" si="1"/>
        <v>PD-1662</v>
      </c>
      <c r="B570" s="18" t="s">
        <v>419</v>
      </c>
      <c r="C570" s="18" t="s">
        <v>420</v>
      </c>
      <c r="D570" s="18">
        <v>0.083333333</v>
      </c>
      <c r="E570" s="19">
        <v>43234.0</v>
      </c>
      <c r="F570" s="18" t="s">
        <v>81</v>
      </c>
      <c r="G570" s="18"/>
      <c r="H570" s="18" t="s">
        <v>167</v>
      </c>
      <c r="I570" s="18" t="s">
        <v>93</v>
      </c>
      <c r="J570" s="18"/>
      <c r="K570" s="20"/>
      <c r="L570" s="20"/>
      <c r="M570" s="20"/>
      <c r="N570" s="18"/>
    </row>
    <row r="571">
      <c r="A571" s="17" t="str">
        <f t="shared" si="1"/>
        <v>PD-1473</v>
      </c>
      <c r="B571" s="18" t="s">
        <v>371</v>
      </c>
      <c r="C571" s="18" t="s">
        <v>372</v>
      </c>
      <c r="D571" s="18">
        <v>1.55</v>
      </c>
      <c r="E571" s="19">
        <v>43235.0</v>
      </c>
      <c r="F571" s="18" t="s">
        <v>81</v>
      </c>
      <c r="G571" s="18"/>
      <c r="H571" s="18" t="s">
        <v>88</v>
      </c>
      <c r="I571" s="18" t="s">
        <v>132</v>
      </c>
      <c r="J571" s="18"/>
      <c r="K571" s="20"/>
      <c r="L571" s="20"/>
      <c r="M571" s="20"/>
      <c r="N571" s="18"/>
    </row>
    <row r="572">
      <c r="A572" s="17" t="str">
        <f t="shared" si="1"/>
        <v>PD-1595</v>
      </c>
      <c r="B572" s="18" t="s">
        <v>104</v>
      </c>
      <c r="C572" s="18" t="s">
        <v>105</v>
      </c>
      <c r="D572" s="18">
        <v>3.016666667</v>
      </c>
      <c r="E572" s="19">
        <v>43237.0</v>
      </c>
      <c r="F572" s="18" t="s">
        <v>81</v>
      </c>
      <c r="G572" s="18"/>
      <c r="H572" s="18" t="s">
        <v>106</v>
      </c>
      <c r="I572" s="18" t="s">
        <v>81</v>
      </c>
      <c r="J572" s="18"/>
      <c r="K572" s="20"/>
      <c r="L572" s="20"/>
      <c r="M572" s="20"/>
      <c r="N572" s="18"/>
    </row>
    <row r="573">
      <c r="A573" s="17" t="str">
        <f t="shared" si="1"/>
        <v>IOP-867</v>
      </c>
      <c r="B573" s="18" t="s">
        <v>143</v>
      </c>
      <c r="C573" s="18" t="s">
        <v>144</v>
      </c>
      <c r="D573" s="18">
        <v>0.083333333</v>
      </c>
      <c r="E573" s="19">
        <v>43248.0</v>
      </c>
      <c r="F573" s="18" t="s">
        <v>81</v>
      </c>
      <c r="G573" s="18"/>
      <c r="H573" s="18" t="s">
        <v>119</v>
      </c>
      <c r="I573" s="18" t="s">
        <v>120</v>
      </c>
      <c r="J573" s="18"/>
      <c r="K573" s="20"/>
      <c r="L573" s="20"/>
      <c r="M573" s="20"/>
      <c r="N573" s="18"/>
    </row>
    <row r="574">
      <c r="A574" s="17" t="str">
        <f t="shared" si="1"/>
        <v>IV2-4</v>
      </c>
      <c r="B574" s="18" t="s">
        <v>323</v>
      </c>
      <c r="C574" s="18" t="s">
        <v>324</v>
      </c>
      <c r="D574" s="18">
        <v>0.1</v>
      </c>
      <c r="E574" s="19">
        <v>43252.0</v>
      </c>
      <c r="F574" s="18" t="s">
        <v>81</v>
      </c>
      <c r="G574" s="18" t="s">
        <v>302</v>
      </c>
      <c r="H574" s="18"/>
      <c r="I574" s="18" t="s">
        <v>81</v>
      </c>
      <c r="J574" s="18"/>
      <c r="K574" s="20"/>
      <c r="L574" s="20"/>
      <c r="M574" s="20"/>
      <c r="N574" s="18"/>
    </row>
    <row r="575">
      <c r="A575" s="17" t="str">
        <f t="shared" si="1"/>
        <v>PD-1612</v>
      </c>
      <c r="B575" s="18" t="s">
        <v>365</v>
      </c>
      <c r="C575" s="18" t="s">
        <v>366</v>
      </c>
      <c r="D575" s="18">
        <v>0.05</v>
      </c>
      <c r="E575" s="19">
        <v>43255.0</v>
      </c>
      <c r="F575" s="18" t="s">
        <v>81</v>
      </c>
      <c r="G575" s="18"/>
      <c r="H575" s="18" t="s">
        <v>88</v>
      </c>
      <c r="I575" s="18" t="s">
        <v>132</v>
      </c>
      <c r="J575" s="18"/>
      <c r="K575" s="20"/>
      <c r="L575" s="20"/>
      <c r="M575" s="20"/>
      <c r="N575" s="18"/>
    </row>
    <row r="576">
      <c r="A576" s="17" t="str">
        <f t="shared" si="1"/>
        <v>PD-1590</v>
      </c>
      <c r="B576" s="18" t="s">
        <v>296</v>
      </c>
      <c r="C576" s="18" t="s">
        <v>297</v>
      </c>
      <c r="D576" s="18">
        <v>0.483333333</v>
      </c>
      <c r="E576" s="19">
        <v>43259.0</v>
      </c>
      <c r="F576" s="18" t="s">
        <v>81</v>
      </c>
      <c r="G576" s="18"/>
      <c r="H576" s="18"/>
      <c r="I576" s="18" t="s">
        <v>81</v>
      </c>
      <c r="J576" s="18"/>
      <c r="K576" s="20"/>
      <c r="L576" s="20"/>
      <c r="M576" s="20"/>
      <c r="N576" s="18"/>
    </row>
    <row r="577">
      <c r="A577" s="17" t="str">
        <f t="shared" si="1"/>
        <v>PD-1440</v>
      </c>
      <c r="B577" s="18" t="s">
        <v>158</v>
      </c>
      <c r="C577" s="18" t="s">
        <v>159</v>
      </c>
      <c r="D577" s="18">
        <v>0.116666667</v>
      </c>
      <c r="E577" s="19">
        <v>43234.0</v>
      </c>
      <c r="F577" s="18" t="s">
        <v>81</v>
      </c>
      <c r="G577" s="18"/>
      <c r="H577" s="18"/>
      <c r="I577" s="18" t="s">
        <v>81</v>
      </c>
      <c r="J577" s="18"/>
      <c r="K577" s="20"/>
      <c r="L577" s="20"/>
      <c r="M577" s="20"/>
      <c r="N577" s="18"/>
    </row>
    <row r="578">
      <c r="A578" s="17" t="str">
        <f t="shared" si="1"/>
        <v>PD-1653</v>
      </c>
      <c r="B578" s="18" t="s">
        <v>309</v>
      </c>
      <c r="C578" s="18" t="s">
        <v>310</v>
      </c>
      <c r="D578" s="18">
        <v>2.5</v>
      </c>
      <c r="E578" s="19">
        <v>43235.0</v>
      </c>
      <c r="F578" s="18" t="s">
        <v>81</v>
      </c>
      <c r="G578" s="18"/>
      <c r="H578" s="18" t="s">
        <v>187</v>
      </c>
      <c r="I578" s="18" t="s">
        <v>81</v>
      </c>
      <c r="J578" s="18"/>
      <c r="K578" s="20"/>
      <c r="L578" s="20"/>
      <c r="M578" s="20"/>
      <c r="N578" s="18"/>
    </row>
    <row r="579">
      <c r="A579" s="17" t="str">
        <f t="shared" si="1"/>
        <v>IOP-866</v>
      </c>
      <c r="B579" s="18" t="s">
        <v>117</v>
      </c>
      <c r="C579" s="18" t="s">
        <v>118</v>
      </c>
      <c r="D579" s="18">
        <v>0.25</v>
      </c>
      <c r="E579" s="19">
        <v>43248.0</v>
      </c>
      <c r="F579" s="18" t="s">
        <v>81</v>
      </c>
      <c r="G579" s="18"/>
      <c r="H579" s="18" t="s">
        <v>119</v>
      </c>
      <c r="I579" s="18" t="s">
        <v>120</v>
      </c>
      <c r="J579" s="18"/>
      <c r="K579" s="20"/>
      <c r="L579" s="20"/>
      <c r="M579" s="20"/>
      <c r="N579" s="18"/>
    </row>
    <row r="580">
      <c r="A580" s="17" t="str">
        <f t="shared" si="1"/>
        <v>PD-1613</v>
      </c>
      <c r="B580" s="18" t="s">
        <v>397</v>
      </c>
      <c r="C580" s="18" t="s">
        <v>398</v>
      </c>
      <c r="D580" s="18">
        <v>0.083333333</v>
      </c>
      <c r="E580" s="19">
        <v>43255.0</v>
      </c>
      <c r="F580" s="18" t="s">
        <v>81</v>
      </c>
      <c r="G580" s="18"/>
      <c r="H580" s="18" t="s">
        <v>88</v>
      </c>
      <c r="I580" s="18" t="s">
        <v>132</v>
      </c>
      <c r="J580" s="18"/>
      <c r="K580" s="20"/>
      <c r="L580" s="20"/>
      <c r="M580" s="20"/>
      <c r="N580" s="18"/>
    </row>
    <row r="581">
      <c r="A581" s="17" t="str">
        <f t="shared" si="1"/>
        <v>PD-1694</v>
      </c>
      <c r="B581" s="18" t="s">
        <v>298</v>
      </c>
      <c r="C581" s="18" t="s">
        <v>299</v>
      </c>
      <c r="D581" s="18">
        <v>0.15</v>
      </c>
      <c r="E581" s="19">
        <v>43259.0</v>
      </c>
      <c r="F581" s="18" t="s">
        <v>81</v>
      </c>
      <c r="G581" s="18"/>
      <c r="H581" s="18" t="s">
        <v>88</v>
      </c>
      <c r="I581" s="18" t="s">
        <v>89</v>
      </c>
      <c r="J581" s="18"/>
      <c r="K581" s="20"/>
      <c r="L581" s="20"/>
      <c r="M581" s="20"/>
      <c r="N581" s="18"/>
    </row>
    <row r="582">
      <c r="A582" s="17" t="str">
        <f t="shared" si="1"/>
        <v>PD-1571</v>
      </c>
      <c r="B582" s="18" t="s">
        <v>140</v>
      </c>
      <c r="C582" s="18" t="s">
        <v>141</v>
      </c>
      <c r="D582" s="18">
        <v>1.233333333</v>
      </c>
      <c r="E582" s="19">
        <v>43153.0</v>
      </c>
      <c r="F582" s="18" t="s">
        <v>81</v>
      </c>
      <c r="G582" s="18"/>
      <c r="H582" s="18"/>
      <c r="I582" s="18" t="s">
        <v>142</v>
      </c>
      <c r="J582" s="18"/>
      <c r="K582" s="20"/>
      <c r="L582" s="20"/>
      <c r="M582" s="20"/>
      <c r="N582" s="18"/>
    </row>
    <row r="583">
      <c r="A583" s="17" t="str">
        <f t="shared" si="1"/>
        <v>IOP-875</v>
      </c>
      <c r="B583" s="18" t="s">
        <v>123</v>
      </c>
      <c r="C583" s="18" t="s">
        <v>124</v>
      </c>
      <c r="D583" s="18">
        <v>0.483333333</v>
      </c>
      <c r="E583" s="19">
        <v>43153.0</v>
      </c>
      <c r="F583" s="18" t="s">
        <v>81</v>
      </c>
      <c r="G583" s="18"/>
      <c r="H583" s="18" t="s">
        <v>125</v>
      </c>
      <c r="I583" s="18" t="s">
        <v>120</v>
      </c>
      <c r="J583" s="18"/>
      <c r="K583" s="20"/>
      <c r="L583" s="20"/>
      <c r="M583" s="20"/>
      <c r="N583" s="18"/>
    </row>
    <row r="584">
      <c r="A584" s="17" t="str">
        <f t="shared" si="1"/>
        <v>IOP-867</v>
      </c>
      <c r="B584" s="18" t="s">
        <v>143</v>
      </c>
      <c r="C584" s="18" t="s">
        <v>144</v>
      </c>
      <c r="D584" s="18">
        <v>0.116666667</v>
      </c>
      <c r="E584" s="19">
        <v>43231.0</v>
      </c>
      <c r="F584" s="18" t="s">
        <v>81</v>
      </c>
      <c r="G584" s="18"/>
      <c r="H584" s="18" t="s">
        <v>119</v>
      </c>
      <c r="I584" s="18" t="s">
        <v>120</v>
      </c>
      <c r="J584" s="18"/>
      <c r="K584" s="20"/>
      <c r="L584" s="20"/>
      <c r="M584" s="20"/>
      <c r="N584" s="18"/>
    </row>
    <row r="585">
      <c r="A585" s="17" t="str">
        <f t="shared" si="1"/>
        <v>PD-1663</v>
      </c>
      <c r="B585" s="18" t="s">
        <v>421</v>
      </c>
      <c r="C585" s="18" t="s">
        <v>422</v>
      </c>
      <c r="D585" s="18">
        <v>0.2</v>
      </c>
      <c r="E585" s="19">
        <v>43234.0</v>
      </c>
      <c r="F585" s="18" t="s">
        <v>81</v>
      </c>
      <c r="G585" s="18"/>
      <c r="H585" s="18" t="s">
        <v>167</v>
      </c>
      <c r="I585" s="18" t="s">
        <v>81</v>
      </c>
      <c r="J585" s="18"/>
      <c r="K585" s="20"/>
      <c r="L585" s="20"/>
      <c r="M585" s="20"/>
      <c r="N585" s="18"/>
    </row>
    <row r="586">
      <c r="A586" s="17" t="str">
        <f t="shared" si="1"/>
        <v>PD-1658</v>
      </c>
      <c r="B586" s="18" t="s">
        <v>336</v>
      </c>
      <c r="C586" s="18" t="s">
        <v>337</v>
      </c>
      <c r="D586" s="18">
        <v>0.95</v>
      </c>
      <c r="E586" s="19">
        <v>43235.0</v>
      </c>
      <c r="F586" s="18" t="s">
        <v>81</v>
      </c>
      <c r="G586" s="18"/>
      <c r="H586" s="18" t="s">
        <v>187</v>
      </c>
      <c r="I586" s="18" t="s">
        <v>81</v>
      </c>
      <c r="J586" s="18"/>
      <c r="K586" s="20"/>
      <c r="L586" s="20"/>
      <c r="M586" s="20"/>
      <c r="N586" s="18"/>
    </row>
    <row r="587">
      <c r="A587" s="17" t="str">
        <f t="shared" si="1"/>
        <v>IV2-4</v>
      </c>
      <c r="B587" s="18" t="s">
        <v>323</v>
      </c>
      <c r="C587" s="18" t="s">
        <v>324</v>
      </c>
      <c r="D587" s="18">
        <v>1.483333333</v>
      </c>
      <c r="E587" s="19">
        <v>43248.0</v>
      </c>
      <c r="F587" s="18" t="s">
        <v>81</v>
      </c>
      <c r="G587" s="18" t="s">
        <v>302</v>
      </c>
      <c r="H587" s="18"/>
      <c r="I587" s="18" t="s">
        <v>81</v>
      </c>
      <c r="J587" s="18"/>
      <c r="K587" s="20"/>
      <c r="L587" s="20"/>
      <c r="M587" s="20"/>
      <c r="N587" s="18"/>
    </row>
    <row r="588">
      <c r="A588" s="17" t="str">
        <f t="shared" si="1"/>
        <v>IOP-867</v>
      </c>
      <c r="B588" s="18" t="s">
        <v>143</v>
      </c>
      <c r="C588" s="18" t="s">
        <v>144</v>
      </c>
      <c r="D588" s="18">
        <v>0.1</v>
      </c>
      <c r="E588" s="19">
        <v>43221.0</v>
      </c>
      <c r="F588" s="18" t="s">
        <v>81</v>
      </c>
      <c r="G588" s="18"/>
      <c r="H588" s="18" t="s">
        <v>119</v>
      </c>
      <c r="I588" s="18" t="s">
        <v>120</v>
      </c>
      <c r="J588" s="18"/>
      <c r="K588" s="20"/>
      <c r="L588" s="20"/>
      <c r="M588" s="20"/>
      <c r="N588" s="18"/>
    </row>
    <row r="589">
      <c r="A589" s="17" t="str">
        <f t="shared" si="1"/>
        <v>IOP-866</v>
      </c>
      <c r="B589" s="18" t="s">
        <v>117</v>
      </c>
      <c r="C589" s="18" t="s">
        <v>118</v>
      </c>
      <c r="D589" s="18">
        <v>0.066666667</v>
      </c>
      <c r="E589" s="19">
        <v>43229.0</v>
      </c>
      <c r="F589" s="18" t="s">
        <v>81</v>
      </c>
      <c r="G589" s="18"/>
      <c r="H589" s="18" t="s">
        <v>119</v>
      </c>
      <c r="I589" s="18" t="s">
        <v>120</v>
      </c>
      <c r="J589" s="18"/>
      <c r="K589" s="20"/>
      <c r="L589" s="20"/>
      <c r="M589" s="20"/>
      <c r="N589" s="18"/>
    </row>
    <row r="590">
      <c r="A590" s="17" t="str">
        <f t="shared" si="1"/>
        <v>IOP-866</v>
      </c>
      <c r="B590" s="18" t="s">
        <v>117</v>
      </c>
      <c r="C590" s="18" t="s">
        <v>118</v>
      </c>
      <c r="D590" s="18">
        <v>0.066666667</v>
      </c>
      <c r="E590" s="19">
        <v>43231.0</v>
      </c>
      <c r="F590" s="18" t="s">
        <v>81</v>
      </c>
      <c r="G590" s="18"/>
      <c r="H590" s="18" t="s">
        <v>119</v>
      </c>
      <c r="I590" s="18" t="s">
        <v>120</v>
      </c>
      <c r="J590" s="18"/>
      <c r="K590" s="20"/>
      <c r="L590" s="20"/>
      <c r="M590" s="20"/>
      <c r="N590" s="18"/>
    </row>
    <row r="591">
      <c r="A591" s="17" t="str">
        <f t="shared" si="1"/>
        <v>PD-1647</v>
      </c>
      <c r="B591" s="18" t="s">
        <v>307</v>
      </c>
      <c r="C591" s="18" t="s">
        <v>308</v>
      </c>
      <c r="D591" s="18">
        <v>0.166666667</v>
      </c>
      <c r="E591" s="19">
        <v>43234.0</v>
      </c>
      <c r="F591" s="18" t="s">
        <v>81</v>
      </c>
      <c r="G591" s="18"/>
      <c r="H591" s="18"/>
      <c r="I591" s="18" t="s">
        <v>89</v>
      </c>
      <c r="J591" s="18"/>
      <c r="K591" s="20"/>
      <c r="L591" s="20"/>
      <c r="M591" s="20"/>
      <c r="N591" s="18"/>
    </row>
    <row r="592">
      <c r="A592" s="17" t="str">
        <f t="shared" si="1"/>
        <v>PD-1473</v>
      </c>
      <c r="B592" s="18" t="s">
        <v>371</v>
      </c>
      <c r="C592" s="18" t="s">
        <v>372</v>
      </c>
      <c r="D592" s="18">
        <v>0.75</v>
      </c>
      <c r="E592" s="19">
        <v>43259.0</v>
      </c>
      <c r="F592" s="18" t="s">
        <v>81</v>
      </c>
      <c r="G592" s="18"/>
      <c r="H592" s="18" t="s">
        <v>88</v>
      </c>
      <c r="I592" s="18" t="s">
        <v>132</v>
      </c>
      <c r="J592" s="18"/>
      <c r="K592" s="20"/>
      <c r="L592" s="20"/>
      <c r="M592" s="20"/>
      <c r="N592" s="18"/>
    </row>
    <row r="593">
      <c r="A593" s="17" t="str">
        <f t="shared" si="1"/>
        <v>PD-1613</v>
      </c>
      <c r="B593" s="18" t="s">
        <v>397</v>
      </c>
      <c r="C593" s="18" t="s">
        <v>398</v>
      </c>
      <c r="D593" s="18">
        <v>1.283333333</v>
      </c>
      <c r="E593" s="19">
        <v>43259.0</v>
      </c>
      <c r="F593" s="18" t="s">
        <v>81</v>
      </c>
      <c r="G593" s="18"/>
      <c r="H593" s="18" t="s">
        <v>88</v>
      </c>
      <c r="I593" s="18" t="s">
        <v>132</v>
      </c>
      <c r="J593" s="18"/>
      <c r="K593" s="20"/>
      <c r="L593" s="20"/>
      <c r="M593" s="20"/>
      <c r="N593" s="18"/>
    </row>
    <row r="594">
      <c r="A594" s="17" t="str">
        <f t="shared" si="1"/>
        <v>IV2-19</v>
      </c>
      <c r="B594" s="18" t="s">
        <v>383</v>
      </c>
      <c r="C594" s="18" t="s">
        <v>384</v>
      </c>
      <c r="D594" s="18">
        <v>0.916666667</v>
      </c>
      <c r="E594" s="19">
        <v>43262.0</v>
      </c>
      <c r="F594" s="18" t="s">
        <v>81</v>
      </c>
      <c r="G594" s="18"/>
      <c r="H594" s="18" t="s">
        <v>302</v>
      </c>
      <c r="I594" s="18" t="s">
        <v>81</v>
      </c>
      <c r="J594" s="18"/>
      <c r="K594" s="20"/>
      <c r="L594" s="20"/>
      <c r="M594" s="20"/>
      <c r="N594" s="18"/>
    </row>
    <row r="595">
      <c r="A595" s="17" t="str">
        <f t="shared" si="1"/>
        <v>PD-1636</v>
      </c>
      <c r="B595" s="18" t="s">
        <v>334</v>
      </c>
      <c r="C595" s="18" t="s">
        <v>335</v>
      </c>
      <c r="D595" s="18">
        <v>3.65</v>
      </c>
      <c r="E595" s="19">
        <v>43221.0</v>
      </c>
      <c r="F595" s="18" t="s">
        <v>81</v>
      </c>
      <c r="G595" s="18"/>
      <c r="H595" s="18" t="s">
        <v>106</v>
      </c>
      <c r="I595" s="18" t="s">
        <v>77</v>
      </c>
      <c r="J595" s="18"/>
      <c r="K595" s="20"/>
      <c r="L595" s="20"/>
      <c r="M595" s="20"/>
      <c r="N595" s="18"/>
    </row>
    <row r="596">
      <c r="A596" s="17" t="str">
        <f t="shared" si="1"/>
        <v>IOP-866</v>
      </c>
      <c r="B596" s="18" t="s">
        <v>117</v>
      </c>
      <c r="C596" s="18" t="s">
        <v>118</v>
      </c>
      <c r="D596" s="18">
        <v>0.083333333</v>
      </c>
      <c r="E596" s="19">
        <v>43224.0</v>
      </c>
      <c r="F596" s="18" t="s">
        <v>81</v>
      </c>
      <c r="G596" s="18"/>
      <c r="H596" s="18" t="s">
        <v>119</v>
      </c>
      <c r="I596" s="18" t="s">
        <v>120</v>
      </c>
      <c r="J596" s="18"/>
      <c r="K596" s="20"/>
      <c r="L596" s="20"/>
      <c r="M596" s="20"/>
      <c r="N596" s="18"/>
    </row>
    <row r="597">
      <c r="A597" s="17" t="str">
        <f t="shared" si="1"/>
        <v>PD-1656</v>
      </c>
      <c r="B597" s="18" t="s">
        <v>315</v>
      </c>
      <c r="C597" s="18" t="s">
        <v>316</v>
      </c>
      <c r="D597" s="18">
        <v>7.766666667</v>
      </c>
      <c r="E597" s="19">
        <v>43229.0</v>
      </c>
      <c r="F597" s="18" t="s">
        <v>81</v>
      </c>
      <c r="G597" s="18"/>
      <c r="H597" s="18" t="s">
        <v>187</v>
      </c>
      <c r="I597" s="18" t="s">
        <v>81</v>
      </c>
      <c r="J597" s="18"/>
      <c r="K597" s="20"/>
      <c r="L597" s="20"/>
      <c r="M597" s="20"/>
      <c r="N597" s="18"/>
    </row>
    <row r="598">
      <c r="A598" s="17" t="str">
        <f t="shared" si="1"/>
        <v>PD-1473</v>
      </c>
      <c r="B598" s="18" t="s">
        <v>371</v>
      </c>
      <c r="C598" s="18" t="s">
        <v>372</v>
      </c>
      <c r="D598" s="18">
        <v>0.116666667</v>
      </c>
      <c r="E598" s="19">
        <v>43231.0</v>
      </c>
      <c r="F598" s="18" t="s">
        <v>81</v>
      </c>
      <c r="G598" s="18"/>
      <c r="H598" s="18" t="s">
        <v>88</v>
      </c>
      <c r="I598" s="18" t="s">
        <v>132</v>
      </c>
      <c r="J598" s="18"/>
      <c r="K598" s="20"/>
      <c r="L598" s="20"/>
      <c r="M598" s="20"/>
      <c r="N598" s="18"/>
    </row>
    <row r="599">
      <c r="A599" s="17" t="str">
        <f t="shared" si="1"/>
        <v>IV2-12</v>
      </c>
      <c r="B599" s="18" t="s">
        <v>405</v>
      </c>
      <c r="C599" s="18" t="s">
        <v>406</v>
      </c>
      <c r="D599" s="18">
        <v>1.466666667</v>
      </c>
      <c r="E599" s="19">
        <v>43248.0</v>
      </c>
      <c r="F599" s="18" t="s">
        <v>81</v>
      </c>
      <c r="G599" s="18"/>
      <c r="H599" s="18" t="s">
        <v>302</v>
      </c>
      <c r="I599" s="18" t="s">
        <v>81</v>
      </c>
      <c r="J599" s="18"/>
      <c r="K599" s="20"/>
      <c r="L599" s="20"/>
      <c r="M599" s="20"/>
      <c r="N599" s="18"/>
    </row>
    <row r="600">
      <c r="A600" s="17" t="str">
        <f t="shared" si="1"/>
        <v>IV2-19</v>
      </c>
      <c r="B600" s="18" t="s">
        <v>383</v>
      </c>
      <c r="C600" s="18" t="s">
        <v>384</v>
      </c>
      <c r="D600" s="18">
        <v>0.1</v>
      </c>
      <c r="E600" s="19">
        <v>43259.0</v>
      </c>
      <c r="F600" s="18" t="s">
        <v>81</v>
      </c>
      <c r="G600" s="18"/>
      <c r="H600" s="18" t="s">
        <v>302</v>
      </c>
      <c r="I600" s="18" t="s">
        <v>81</v>
      </c>
      <c r="J600" s="18"/>
      <c r="K600" s="20"/>
      <c r="L600" s="20"/>
      <c r="M600" s="20"/>
      <c r="N600" s="18"/>
    </row>
    <row r="601">
      <c r="A601" s="17" t="str">
        <f t="shared" si="1"/>
        <v>PD-1327</v>
      </c>
      <c r="B601" s="18" t="s">
        <v>205</v>
      </c>
      <c r="C601" s="18" t="s">
        <v>206</v>
      </c>
      <c r="D601" s="18">
        <v>0.266666667</v>
      </c>
      <c r="E601" s="19">
        <v>43262.0</v>
      </c>
      <c r="F601" s="18" t="s">
        <v>81</v>
      </c>
      <c r="G601" s="18"/>
      <c r="H601" s="18"/>
      <c r="I601" s="18" t="s">
        <v>77</v>
      </c>
      <c r="J601" s="18"/>
      <c r="K601" s="20"/>
      <c r="L601" s="20"/>
      <c r="M601" s="20"/>
      <c r="N601" s="18"/>
    </row>
    <row r="602">
      <c r="A602" s="17" t="str">
        <f t="shared" si="1"/>
        <v>PD-1572</v>
      </c>
      <c r="B602" s="18" t="s">
        <v>147</v>
      </c>
      <c r="C602" s="18" t="s">
        <v>148</v>
      </c>
      <c r="D602" s="18">
        <v>0.35</v>
      </c>
      <c r="E602" s="19">
        <v>43153.0</v>
      </c>
      <c r="F602" s="18" t="s">
        <v>81</v>
      </c>
      <c r="G602" s="18"/>
      <c r="H602" s="18"/>
      <c r="I602" s="18" t="s">
        <v>142</v>
      </c>
      <c r="J602" s="18"/>
      <c r="K602" s="20"/>
      <c r="L602" s="20"/>
      <c r="M602" s="20"/>
      <c r="N602" s="18"/>
    </row>
    <row r="603">
      <c r="A603" s="17" t="str">
        <f t="shared" si="1"/>
        <v>IOP-866</v>
      </c>
      <c r="B603" s="18" t="s">
        <v>117</v>
      </c>
      <c r="C603" s="18" t="s">
        <v>118</v>
      </c>
      <c r="D603" s="18">
        <v>0.1</v>
      </c>
      <c r="E603" s="19">
        <v>43221.0</v>
      </c>
      <c r="F603" s="18" t="s">
        <v>81</v>
      </c>
      <c r="G603" s="18"/>
      <c r="H603" s="18" t="s">
        <v>119</v>
      </c>
      <c r="I603" s="18" t="s">
        <v>120</v>
      </c>
      <c r="J603" s="18"/>
      <c r="K603" s="20"/>
      <c r="L603" s="20"/>
      <c r="M603" s="20"/>
      <c r="N603" s="18"/>
    </row>
    <row r="604">
      <c r="A604" s="17" t="str">
        <f t="shared" si="1"/>
        <v>PD-1554</v>
      </c>
      <c r="B604" s="18" t="s">
        <v>102</v>
      </c>
      <c r="C604" s="18" t="s">
        <v>103</v>
      </c>
      <c r="D604" s="18">
        <v>0.683333333</v>
      </c>
      <c r="E604" s="19">
        <v>43153.0</v>
      </c>
      <c r="F604" s="18" t="s">
        <v>81</v>
      </c>
      <c r="G604" s="18"/>
      <c r="H604" s="18" t="s">
        <v>88</v>
      </c>
      <c r="I604" s="18" t="s">
        <v>93</v>
      </c>
      <c r="J604" s="18"/>
      <c r="K604" s="20"/>
      <c r="L604" s="20"/>
      <c r="M604" s="20"/>
      <c r="N604" s="18"/>
    </row>
    <row r="605">
      <c r="A605" s="17" t="str">
        <f t="shared" si="1"/>
        <v>PD-1604</v>
      </c>
      <c r="B605" s="18" t="s">
        <v>330</v>
      </c>
      <c r="C605" s="18" t="s">
        <v>331</v>
      </c>
      <c r="D605" s="18">
        <v>0.183333333</v>
      </c>
      <c r="E605" s="19">
        <v>43224.0</v>
      </c>
      <c r="F605" s="18" t="s">
        <v>81</v>
      </c>
      <c r="G605" s="18"/>
      <c r="H605" s="18" t="s">
        <v>106</v>
      </c>
      <c r="I605" s="18" t="s">
        <v>81</v>
      </c>
      <c r="J605" s="18"/>
      <c r="K605" s="20"/>
      <c r="L605" s="20"/>
      <c r="M605" s="20"/>
      <c r="N605" s="18"/>
    </row>
    <row r="606">
      <c r="A606" s="17" t="str">
        <f t="shared" si="1"/>
        <v>PD-1327</v>
      </c>
      <c r="B606" s="18" t="s">
        <v>205</v>
      </c>
      <c r="C606" s="18" t="s">
        <v>206</v>
      </c>
      <c r="D606" s="18">
        <v>0.333333333</v>
      </c>
      <c r="E606" s="19">
        <v>43229.0</v>
      </c>
      <c r="F606" s="18" t="s">
        <v>81</v>
      </c>
      <c r="G606" s="18"/>
      <c r="H606" s="18"/>
      <c r="I606" s="18" t="s">
        <v>77</v>
      </c>
      <c r="J606" s="18"/>
      <c r="K606" s="20"/>
      <c r="L606" s="20"/>
      <c r="M606" s="20"/>
      <c r="N606" s="18"/>
    </row>
    <row r="607">
      <c r="A607" s="17" t="str">
        <f t="shared" si="1"/>
        <v>PD-1639</v>
      </c>
      <c r="B607" s="18" t="s">
        <v>423</v>
      </c>
      <c r="C607" s="18" t="s">
        <v>424</v>
      </c>
      <c r="D607" s="18">
        <v>0.066666667</v>
      </c>
      <c r="E607" s="19">
        <v>43231.0</v>
      </c>
      <c r="F607" s="18" t="s">
        <v>81</v>
      </c>
      <c r="G607" s="18"/>
      <c r="H607" s="18"/>
      <c r="I607" s="18" t="s">
        <v>132</v>
      </c>
      <c r="J607" s="18"/>
      <c r="K607" s="20"/>
      <c r="L607" s="20"/>
      <c r="M607" s="20"/>
      <c r="N607" s="18"/>
    </row>
    <row r="608">
      <c r="A608" s="17" t="str">
        <f t="shared" si="1"/>
        <v>PD-1507</v>
      </c>
      <c r="B608" s="18" t="s">
        <v>114</v>
      </c>
      <c r="C608" s="18" t="s">
        <v>115</v>
      </c>
      <c r="D608" s="18">
        <v>0.916666667</v>
      </c>
      <c r="E608" s="19">
        <v>43248.0</v>
      </c>
      <c r="F608" s="18" t="s">
        <v>81</v>
      </c>
      <c r="G608" s="18"/>
      <c r="H608" s="18"/>
      <c r="I608" s="18" t="s">
        <v>116</v>
      </c>
      <c r="J608" s="18"/>
      <c r="K608" s="20"/>
      <c r="L608" s="20"/>
      <c r="M608" s="20"/>
      <c r="N608" s="18"/>
    </row>
    <row r="609">
      <c r="A609" s="17" t="str">
        <f t="shared" si="1"/>
        <v>PD-1530</v>
      </c>
      <c r="B609" s="18" t="s">
        <v>251</v>
      </c>
      <c r="C609" s="18" t="s">
        <v>252</v>
      </c>
      <c r="D609" s="18">
        <v>0.783333333</v>
      </c>
      <c r="E609" s="19">
        <v>43153.0</v>
      </c>
      <c r="F609" s="18" t="s">
        <v>81</v>
      </c>
      <c r="G609" s="18"/>
      <c r="H609" s="18" t="s">
        <v>253</v>
      </c>
      <c r="I609" s="18" t="s">
        <v>93</v>
      </c>
      <c r="J609" s="18"/>
      <c r="K609" s="20"/>
      <c r="L609" s="20"/>
      <c r="M609" s="20"/>
      <c r="N609" s="18"/>
    </row>
    <row r="610">
      <c r="A610" s="17" t="str">
        <f t="shared" si="1"/>
        <v>IOP-917</v>
      </c>
      <c r="B610" s="18" t="s">
        <v>425</v>
      </c>
      <c r="C610" s="18" t="s">
        <v>426</v>
      </c>
      <c r="D610" s="18">
        <v>0.15</v>
      </c>
      <c r="E610" s="19">
        <v>43221.0</v>
      </c>
      <c r="F610" s="18" t="s">
        <v>81</v>
      </c>
      <c r="G610" s="18"/>
      <c r="H610" s="18"/>
      <c r="I610" s="18" t="s">
        <v>132</v>
      </c>
      <c r="J610" s="18"/>
      <c r="K610" s="20"/>
      <c r="L610" s="20"/>
      <c r="M610" s="20"/>
      <c r="N610" s="18"/>
    </row>
    <row r="611">
      <c r="A611" s="17" t="str">
        <f t="shared" si="1"/>
        <v>PD-1656</v>
      </c>
      <c r="B611" s="18" t="s">
        <v>315</v>
      </c>
      <c r="C611" s="18" t="s">
        <v>316</v>
      </c>
      <c r="D611" s="18">
        <v>7.283333333</v>
      </c>
      <c r="E611" s="19">
        <v>43231.0</v>
      </c>
      <c r="F611" s="18" t="s">
        <v>81</v>
      </c>
      <c r="G611" s="18"/>
      <c r="H611" s="18" t="s">
        <v>187</v>
      </c>
      <c r="I611" s="18" t="s">
        <v>81</v>
      </c>
      <c r="J611" s="18"/>
      <c r="K611" s="20"/>
      <c r="L611" s="20"/>
      <c r="M611" s="20"/>
      <c r="N611" s="18"/>
    </row>
    <row r="612">
      <c r="A612" s="17" t="str">
        <f t="shared" si="1"/>
        <v>PD-1635</v>
      </c>
      <c r="B612" s="18" t="s">
        <v>427</v>
      </c>
      <c r="C612" s="18" t="s">
        <v>428</v>
      </c>
      <c r="D612" s="18">
        <v>3.1</v>
      </c>
      <c r="E612" s="19">
        <v>43221.0</v>
      </c>
      <c r="F612" s="18" t="s">
        <v>81</v>
      </c>
      <c r="G612" s="18"/>
      <c r="H612" s="18" t="s">
        <v>106</v>
      </c>
      <c r="I612" s="18" t="s">
        <v>77</v>
      </c>
      <c r="J612" s="18"/>
      <c r="K612" s="20"/>
      <c r="L612" s="20"/>
      <c r="M612" s="20"/>
      <c r="N612" s="18"/>
    </row>
    <row r="613">
      <c r="A613" s="17" t="str">
        <f t="shared" si="1"/>
        <v>PD-1657</v>
      </c>
      <c r="B613" s="18" t="s">
        <v>348</v>
      </c>
      <c r="C613" s="18" t="s">
        <v>349</v>
      </c>
      <c r="D613" s="18">
        <v>1.833333333</v>
      </c>
      <c r="E613" s="19">
        <v>43224.0</v>
      </c>
      <c r="F613" s="18" t="s">
        <v>81</v>
      </c>
      <c r="G613" s="18"/>
      <c r="H613" s="18" t="s">
        <v>106</v>
      </c>
      <c r="I613" s="18" t="s">
        <v>77</v>
      </c>
      <c r="J613" s="18"/>
      <c r="K613" s="20"/>
      <c r="L613" s="20"/>
      <c r="M613" s="20"/>
      <c r="N613" s="18"/>
    </row>
    <row r="614">
      <c r="A614" s="17" t="str">
        <f t="shared" si="1"/>
        <v>PD-1440</v>
      </c>
      <c r="B614" s="18" t="s">
        <v>158</v>
      </c>
      <c r="C614" s="18" t="s">
        <v>159</v>
      </c>
      <c r="D614" s="18">
        <v>0.8</v>
      </c>
      <c r="E614" s="19">
        <v>43248.0</v>
      </c>
      <c r="F614" s="18" t="s">
        <v>81</v>
      </c>
      <c r="G614" s="18"/>
      <c r="H614" s="18"/>
      <c r="I614" s="18" t="s">
        <v>81</v>
      </c>
      <c r="J614" s="18"/>
      <c r="K614" s="20"/>
      <c r="L614" s="20"/>
      <c r="M614" s="20"/>
      <c r="N614" s="18"/>
    </row>
    <row r="615">
      <c r="A615" s="17" t="str">
        <f t="shared" si="1"/>
        <v>IV2-8</v>
      </c>
      <c r="B615" s="18" t="s">
        <v>300</v>
      </c>
      <c r="C615" s="18" t="s">
        <v>301</v>
      </c>
      <c r="D615" s="18">
        <v>0.633333333</v>
      </c>
      <c r="E615" s="19">
        <v>43262.0</v>
      </c>
      <c r="F615" s="18" t="s">
        <v>81</v>
      </c>
      <c r="G615" s="18"/>
      <c r="H615" s="18" t="s">
        <v>302</v>
      </c>
      <c r="I615" s="18" t="s">
        <v>78</v>
      </c>
      <c r="J615" s="18"/>
      <c r="K615" s="20"/>
      <c r="L615" s="20"/>
      <c r="M615" s="20"/>
      <c r="N615" s="18"/>
    </row>
    <row r="616">
      <c r="A616" s="17" t="str">
        <f t="shared" si="1"/>
        <v>PD-1632</v>
      </c>
      <c r="B616" s="18" t="s">
        <v>325</v>
      </c>
      <c r="C616" s="18" t="s">
        <v>326</v>
      </c>
      <c r="D616" s="18">
        <v>0.7</v>
      </c>
      <c r="E616" s="19">
        <v>43221.0</v>
      </c>
      <c r="F616" s="18" t="s">
        <v>81</v>
      </c>
      <c r="G616" s="18"/>
      <c r="H616" s="18" t="s">
        <v>106</v>
      </c>
      <c r="I616" s="18" t="s">
        <v>77</v>
      </c>
      <c r="J616" s="18"/>
      <c r="K616" s="20"/>
      <c r="L616" s="20"/>
      <c r="M616" s="20"/>
      <c r="N616" s="18"/>
    </row>
    <row r="617">
      <c r="A617" s="17" t="str">
        <f t="shared" si="1"/>
        <v>PD-1440</v>
      </c>
      <c r="B617" s="18" t="s">
        <v>158</v>
      </c>
      <c r="C617" s="18" t="s">
        <v>159</v>
      </c>
      <c r="D617" s="18">
        <v>0.25</v>
      </c>
      <c r="E617" s="19">
        <v>43224.0</v>
      </c>
      <c r="F617" s="18" t="s">
        <v>81</v>
      </c>
      <c r="G617" s="18"/>
      <c r="H617" s="18"/>
      <c r="I617" s="18" t="s">
        <v>81</v>
      </c>
      <c r="J617" s="18"/>
      <c r="K617" s="20"/>
      <c r="L617" s="20"/>
      <c r="M617" s="20"/>
      <c r="N617" s="18"/>
    </row>
    <row r="618">
      <c r="A618" s="17" t="str">
        <f t="shared" si="1"/>
        <v>PD-1612</v>
      </c>
      <c r="B618" s="18" t="s">
        <v>365</v>
      </c>
      <c r="C618" s="18" t="s">
        <v>366</v>
      </c>
      <c r="D618" s="18">
        <v>2.916666667</v>
      </c>
      <c r="E618" s="19">
        <v>43248.0</v>
      </c>
      <c r="F618" s="18" t="s">
        <v>81</v>
      </c>
      <c r="G618" s="18"/>
      <c r="H618" s="18" t="s">
        <v>88</v>
      </c>
      <c r="I618" s="18" t="s">
        <v>132</v>
      </c>
      <c r="J618" s="18"/>
      <c r="K618" s="20"/>
      <c r="L618" s="20"/>
      <c r="M618" s="20"/>
      <c r="N618" s="18"/>
    </row>
    <row r="619">
      <c r="A619" s="17" t="str">
        <f t="shared" si="1"/>
        <v>IOP-867</v>
      </c>
      <c r="B619" s="18" t="s">
        <v>143</v>
      </c>
      <c r="C619" s="18" t="s">
        <v>144</v>
      </c>
      <c r="D619" s="18">
        <v>0.2</v>
      </c>
      <c r="E619" s="19">
        <v>43257.0</v>
      </c>
      <c r="F619" s="18" t="s">
        <v>81</v>
      </c>
      <c r="G619" s="18"/>
      <c r="H619" s="18" t="s">
        <v>119</v>
      </c>
      <c r="I619" s="18" t="s">
        <v>120</v>
      </c>
      <c r="J619" s="18"/>
      <c r="K619" s="20"/>
      <c r="L619" s="20"/>
      <c r="M619" s="20"/>
      <c r="N619" s="18"/>
    </row>
    <row r="620">
      <c r="A620" s="17" t="str">
        <f t="shared" si="1"/>
        <v>IOP-867</v>
      </c>
      <c r="B620" s="18" t="s">
        <v>143</v>
      </c>
      <c r="C620" s="18" t="s">
        <v>144</v>
      </c>
      <c r="D620" s="18">
        <v>0.2</v>
      </c>
      <c r="E620" s="19">
        <v>43260.0</v>
      </c>
      <c r="F620" s="18" t="s">
        <v>81</v>
      </c>
      <c r="G620" s="18"/>
      <c r="H620" s="18" t="s">
        <v>119</v>
      </c>
      <c r="I620" s="18" t="s">
        <v>120</v>
      </c>
      <c r="J620" s="18"/>
      <c r="K620" s="20"/>
      <c r="L620" s="20"/>
      <c r="M620" s="20"/>
      <c r="N620" s="18"/>
    </row>
    <row r="621">
      <c r="A621" s="17" t="str">
        <f t="shared" si="1"/>
        <v>PD-1637</v>
      </c>
      <c r="B621" s="18" t="s">
        <v>429</v>
      </c>
      <c r="C621" s="18" t="s">
        <v>430</v>
      </c>
      <c r="D621" s="18">
        <v>0.183333333</v>
      </c>
      <c r="E621" s="19">
        <v>43221.0</v>
      </c>
      <c r="F621" s="18" t="s">
        <v>81</v>
      </c>
      <c r="G621" s="18"/>
      <c r="H621" s="18"/>
      <c r="I621" s="18" t="s">
        <v>81</v>
      </c>
      <c r="J621" s="18"/>
      <c r="K621" s="20"/>
      <c r="L621" s="20"/>
      <c r="M621" s="20"/>
      <c r="N621" s="18"/>
    </row>
    <row r="622">
      <c r="A622" s="17" t="str">
        <f t="shared" si="1"/>
        <v>PD-1650</v>
      </c>
      <c r="B622" s="18" t="s">
        <v>185</v>
      </c>
      <c r="C622" s="18" t="s">
        <v>186</v>
      </c>
      <c r="D622" s="18">
        <v>0.216666667</v>
      </c>
      <c r="E622" s="19">
        <v>43224.0</v>
      </c>
      <c r="F622" s="18" t="s">
        <v>81</v>
      </c>
      <c r="G622" s="18" t="s">
        <v>187</v>
      </c>
      <c r="H622" s="18"/>
      <c r="I622" s="18" t="s">
        <v>77</v>
      </c>
      <c r="J622" s="18"/>
      <c r="K622" s="20"/>
      <c r="L622" s="20"/>
      <c r="M622" s="20"/>
      <c r="N622" s="18"/>
    </row>
    <row r="623">
      <c r="A623" s="17" t="str">
        <f t="shared" si="1"/>
        <v>IOP-866</v>
      </c>
      <c r="B623" s="18" t="s">
        <v>117</v>
      </c>
      <c r="C623" s="18" t="s">
        <v>118</v>
      </c>
      <c r="D623" s="18">
        <v>0.183333333</v>
      </c>
      <c r="E623" s="19">
        <v>43257.0</v>
      </c>
      <c r="F623" s="18" t="s">
        <v>81</v>
      </c>
      <c r="G623" s="18"/>
      <c r="H623" s="18" t="s">
        <v>119</v>
      </c>
      <c r="I623" s="18" t="s">
        <v>120</v>
      </c>
      <c r="J623" s="18"/>
      <c r="K623" s="20"/>
      <c r="L623" s="20"/>
      <c r="M623" s="20"/>
      <c r="N623" s="18"/>
    </row>
    <row r="624">
      <c r="A624" s="17" t="str">
        <f t="shared" si="1"/>
        <v>IOP-866</v>
      </c>
      <c r="B624" s="18" t="s">
        <v>117</v>
      </c>
      <c r="C624" s="18" t="s">
        <v>118</v>
      </c>
      <c r="D624" s="18">
        <v>0.083333333</v>
      </c>
      <c r="E624" s="19">
        <v>43260.0</v>
      </c>
      <c r="F624" s="18" t="s">
        <v>81</v>
      </c>
      <c r="G624" s="18"/>
      <c r="H624" s="18" t="s">
        <v>119</v>
      </c>
      <c r="I624" s="18" t="s">
        <v>120</v>
      </c>
      <c r="J624" s="18"/>
      <c r="K624" s="20"/>
      <c r="L624" s="20"/>
      <c r="M624" s="20"/>
      <c r="N624" s="18"/>
    </row>
    <row r="625">
      <c r="A625" s="17" t="str">
        <f t="shared" si="1"/>
        <v>PD-1694</v>
      </c>
      <c r="B625" s="18" t="s">
        <v>298</v>
      </c>
      <c r="C625" s="18" t="s">
        <v>299</v>
      </c>
      <c r="D625" s="18">
        <v>0.85</v>
      </c>
      <c r="E625" s="19">
        <v>43257.0</v>
      </c>
      <c r="F625" s="18" t="s">
        <v>81</v>
      </c>
      <c r="G625" s="18"/>
      <c r="H625" s="18" t="s">
        <v>88</v>
      </c>
      <c r="I625" s="18" t="s">
        <v>89</v>
      </c>
      <c r="J625" s="18"/>
      <c r="K625" s="20"/>
      <c r="L625" s="20"/>
      <c r="M625" s="20"/>
      <c r="N625" s="18"/>
    </row>
    <row r="626">
      <c r="A626" s="17" t="str">
        <f t="shared" si="1"/>
        <v>IOP-934</v>
      </c>
      <c r="B626" s="18" t="s">
        <v>431</v>
      </c>
      <c r="C626" s="18" t="s">
        <v>432</v>
      </c>
      <c r="D626" s="18">
        <v>0.333333333</v>
      </c>
      <c r="E626" s="19">
        <v>43260.0</v>
      </c>
      <c r="F626" s="18" t="s">
        <v>81</v>
      </c>
      <c r="G626" s="18"/>
      <c r="H626" s="18"/>
      <c r="I626" s="18" t="s">
        <v>116</v>
      </c>
      <c r="J626" s="18"/>
      <c r="K626" s="20"/>
      <c r="L626" s="20"/>
      <c r="M626" s="20"/>
      <c r="N626" s="18"/>
    </row>
    <row r="627">
      <c r="A627" s="17" t="str">
        <f t="shared" si="1"/>
        <v>IV2-6</v>
      </c>
      <c r="B627" s="18" t="s">
        <v>399</v>
      </c>
      <c r="C627" s="18" t="s">
        <v>400</v>
      </c>
      <c r="D627" s="18">
        <v>0.633333333</v>
      </c>
      <c r="E627" s="19">
        <v>43257.0</v>
      </c>
      <c r="F627" s="18" t="s">
        <v>81</v>
      </c>
      <c r="G627" s="18"/>
      <c r="H627" s="18" t="s">
        <v>302</v>
      </c>
      <c r="I627" s="18" t="s">
        <v>81</v>
      </c>
      <c r="J627" s="18"/>
      <c r="K627" s="20"/>
      <c r="L627" s="20"/>
      <c r="M627" s="20"/>
      <c r="N627" s="18"/>
    </row>
    <row r="628">
      <c r="A628" s="17" t="str">
        <f t="shared" si="1"/>
        <v>PD-1613</v>
      </c>
      <c r="B628" s="18" t="s">
        <v>397</v>
      </c>
      <c r="C628" s="18" t="s">
        <v>398</v>
      </c>
      <c r="D628" s="18">
        <v>0.066666667</v>
      </c>
      <c r="E628" s="19">
        <v>43260.0</v>
      </c>
      <c r="F628" s="18" t="s">
        <v>81</v>
      </c>
      <c r="G628" s="18"/>
      <c r="H628" s="18" t="s">
        <v>88</v>
      </c>
      <c r="I628" s="18" t="s">
        <v>132</v>
      </c>
      <c r="J628" s="18"/>
      <c r="K628" s="20"/>
      <c r="L628" s="20"/>
      <c r="M628" s="20"/>
      <c r="N628" s="18"/>
    </row>
    <row r="629">
      <c r="A629" s="17" t="str">
        <f t="shared" si="1"/>
        <v>IOP-867</v>
      </c>
      <c r="B629" s="18" t="s">
        <v>143</v>
      </c>
      <c r="C629" s="18" t="s">
        <v>144</v>
      </c>
      <c r="D629" s="18">
        <v>0.133333333</v>
      </c>
      <c r="E629" s="19">
        <v>43250.0</v>
      </c>
      <c r="F629" s="18" t="s">
        <v>81</v>
      </c>
      <c r="G629" s="18"/>
      <c r="H629" s="18" t="s">
        <v>119</v>
      </c>
      <c r="I629" s="18" t="s">
        <v>120</v>
      </c>
      <c r="J629" s="18"/>
      <c r="K629" s="20"/>
      <c r="L629" s="20"/>
      <c r="M629" s="20"/>
      <c r="N629" s="18"/>
    </row>
    <row r="630">
      <c r="A630" s="17" t="str">
        <f t="shared" si="1"/>
        <v>PD-1590</v>
      </c>
      <c r="B630" s="18" t="s">
        <v>296</v>
      </c>
      <c r="C630" s="18" t="s">
        <v>297</v>
      </c>
      <c r="D630" s="18">
        <v>2.05</v>
      </c>
      <c r="E630" s="19">
        <v>43257.0</v>
      </c>
      <c r="F630" s="18" t="s">
        <v>81</v>
      </c>
      <c r="G630" s="18"/>
      <c r="H630" s="18"/>
      <c r="I630" s="18" t="s">
        <v>81</v>
      </c>
      <c r="J630" s="18"/>
      <c r="K630" s="20"/>
      <c r="L630" s="20"/>
      <c r="M630" s="20"/>
      <c r="N630" s="18"/>
    </row>
    <row r="631">
      <c r="A631" s="17" t="str">
        <f t="shared" si="1"/>
        <v>IOP-867</v>
      </c>
      <c r="B631" s="18" t="s">
        <v>143</v>
      </c>
      <c r="C631" s="18" t="s">
        <v>144</v>
      </c>
      <c r="D631" s="18">
        <v>0.1</v>
      </c>
      <c r="E631" s="19">
        <v>43262.0</v>
      </c>
      <c r="F631" s="18" t="s">
        <v>81</v>
      </c>
      <c r="G631" s="18"/>
      <c r="H631" s="18" t="s">
        <v>119</v>
      </c>
      <c r="I631" s="18" t="s">
        <v>120</v>
      </c>
      <c r="J631" s="18"/>
      <c r="K631" s="20"/>
      <c r="L631" s="20"/>
      <c r="M631" s="20"/>
      <c r="N631" s="18"/>
    </row>
    <row r="632">
      <c r="A632" s="17" t="str">
        <f t="shared" si="1"/>
        <v>IOP-866</v>
      </c>
      <c r="B632" s="18" t="s">
        <v>117</v>
      </c>
      <c r="C632" s="18" t="s">
        <v>118</v>
      </c>
      <c r="D632" s="18">
        <v>0.166666667</v>
      </c>
      <c r="E632" s="19">
        <v>43250.0</v>
      </c>
      <c r="F632" s="18" t="s">
        <v>81</v>
      </c>
      <c r="G632" s="18"/>
      <c r="H632" s="18" t="s">
        <v>119</v>
      </c>
      <c r="I632" s="18" t="s">
        <v>120</v>
      </c>
      <c r="J632" s="18"/>
      <c r="K632" s="20"/>
      <c r="L632" s="20"/>
      <c r="M632" s="20"/>
      <c r="N632" s="18"/>
    </row>
    <row r="633">
      <c r="A633" s="17" t="str">
        <f t="shared" si="1"/>
        <v>PD-1652</v>
      </c>
      <c r="B633" s="18" t="s">
        <v>305</v>
      </c>
      <c r="C633" s="18" t="s">
        <v>306</v>
      </c>
      <c r="D633" s="18">
        <v>0.883333333</v>
      </c>
      <c r="E633" s="19">
        <v>43250.0</v>
      </c>
      <c r="F633" s="18" t="s">
        <v>81</v>
      </c>
      <c r="G633" s="18"/>
      <c r="H633" s="18" t="s">
        <v>187</v>
      </c>
      <c r="I633" s="18" t="s">
        <v>81</v>
      </c>
      <c r="J633" s="18"/>
      <c r="K633" s="20"/>
      <c r="L633" s="20"/>
      <c r="M633" s="20"/>
      <c r="N633" s="18"/>
    </row>
    <row r="634">
      <c r="A634" s="17" t="str">
        <f t="shared" si="1"/>
        <v>PD-1613</v>
      </c>
      <c r="B634" s="18" t="s">
        <v>397</v>
      </c>
      <c r="C634" s="18" t="s">
        <v>398</v>
      </c>
      <c r="D634" s="18">
        <v>0.583333333</v>
      </c>
      <c r="E634" s="19">
        <v>43257.0</v>
      </c>
      <c r="F634" s="18" t="s">
        <v>81</v>
      </c>
      <c r="G634" s="18"/>
      <c r="H634" s="18" t="s">
        <v>88</v>
      </c>
      <c r="I634" s="18" t="s">
        <v>132</v>
      </c>
      <c r="J634" s="18"/>
      <c r="K634" s="20"/>
      <c r="L634" s="20"/>
      <c r="M634" s="20"/>
      <c r="N634" s="18"/>
    </row>
    <row r="635">
      <c r="A635" s="17" t="str">
        <f t="shared" si="1"/>
        <v>PD-1590</v>
      </c>
      <c r="B635" s="18" t="s">
        <v>296</v>
      </c>
      <c r="C635" s="18" t="s">
        <v>297</v>
      </c>
      <c r="D635" s="18">
        <v>0.933333333</v>
      </c>
      <c r="E635" s="19">
        <v>43260.0</v>
      </c>
      <c r="F635" s="18" t="s">
        <v>81</v>
      </c>
      <c r="G635" s="18"/>
      <c r="H635" s="18"/>
      <c r="I635" s="18" t="s">
        <v>81</v>
      </c>
      <c r="J635" s="18"/>
      <c r="K635" s="20"/>
      <c r="L635" s="20"/>
      <c r="M635" s="20"/>
      <c r="N635" s="18"/>
    </row>
    <row r="636">
      <c r="A636" s="17" t="str">
        <f t="shared" si="1"/>
        <v>IOP-866</v>
      </c>
      <c r="B636" s="18" t="s">
        <v>117</v>
      </c>
      <c r="C636" s="18" t="s">
        <v>118</v>
      </c>
      <c r="D636" s="18">
        <v>0.15</v>
      </c>
      <c r="E636" s="19">
        <v>43262.0</v>
      </c>
      <c r="F636" s="18" t="s">
        <v>81</v>
      </c>
      <c r="G636" s="18"/>
      <c r="H636" s="18" t="s">
        <v>119</v>
      </c>
      <c r="I636" s="18" t="s">
        <v>120</v>
      </c>
      <c r="J636" s="18"/>
      <c r="K636" s="20"/>
      <c r="L636" s="20"/>
      <c r="M636" s="20"/>
      <c r="N636" s="18"/>
    </row>
    <row r="637">
      <c r="A637" s="17" t="str">
        <f t="shared" si="1"/>
        <v>IOP-866</v>
      </c>
      <c r="B637" s="18" t="s">
        <v>117</v>
      </c>
      <c r="C637" s="18" t="s">
        <v>118</v>
      </c>
      <c r="D637" s="18">
        <v>0.133333333</v>
      </c>
      <c r="E637" s="19">
        <v>43263.0</v>
      </c>
      <c r="F637" s="18" t="s">
        <v>81</v>
      </c>
      <c r="G637" s="18"/>
      <c r="H637" s="18" t="s">
        <v>119</v>
      </c>
      <c r="I637" s="18" t="s">
        <v>120</v>
      </c>
      <c r="J637" s="18"/>
      <c r="K637" s="20"/>
      <c r="L637" s="20"/>
      <c r="M637" s="20"/>
      <c r="N637" s="18"/>
    </row>
    <row r="638">
      <c r="A638" s="17" t="str">
        <f t="shared" si="1"/>
        <v>IOP-875</v>
      </c>
      <c r="B638" s="18" t="s">
        <v>123</v>
      </c>
      <c r="C638" s="18" t="s">
        <v>124</v>
      </c>
      <c r="D638" s="18">
        <v>1.516666667</v>
      </c>
      <c r="E638" s="19">
        <v>43250.0</v>
      </c>
      <c r="F638" s="18" t="s">
        <v>81</v>
      </c>
      <c r="G638" s="18"/>
      <c r="H638" s="18" t="s">
        <v>125</v>
      </c>
      <c r="I638" s="18" t="s">
        <v>120</v>
      </c>
      <c r="J638" s="18"/>
      <c r="K638" s="20"/>
      <c r="L638" s="20"/>
      <c r="M638" s="20"/>
      <c r="N638" s="18"/>
    </row>
    <row r="639">
      <c r="A639" s="17" t="str">
        <f t="shared" si="1"/>
        <v>IOP-875</v>
      </c>
      <c r="B639" s="18" t="s">
        <v>123</v>
      </c>
      <c r="C639" s="18" t="s">
        <v>124</v>
      </c>
      <c r="D639" s="18">
        <v>1.15</v>
      </c>
      <c r="E639" s="19">
        <v>43257.0</v>
      </c>
      <c r="F639" s="18" t="s">
        <v>81</v>
      </c>
      <c r="G639" s="18"/>
      <c r="H639" s="18" t="s">
        <v>125</v>
      </c>
      <c r="I639" s="18" t="s">
        <v>120</v>
      </c>
      <c r="J639" s="18"/>
      <c r="K639" s="20"/>
      <c r="L639" s="20"/>
      <c r="M639" s="20"/>
      <c r="N639" s="18"/>
    </row>
    <row r="640">
      <c r="A640" s="17" t="str">
        <f t="shared" si="1"/>
        <v>IV2-19</v>
      </c>
      <c r="B640" s="18" t="s">
        <v>383</v>
      </c>
      <c r="C640" s="18" t="s">
        <v>384</v>
      </c>
      <c r="D640" s="18">
        <v>0.183333333</v>
      </c>
      <c r="E640" s="19">
        <v>43260.0</v>
      </c>
      <c r="F640" s="18" t="s">
        <v>81</v>
      </c>
      <c r="G640" s="18"/>
      <c r="H640" s="18" t="s">
        <v>302</v>
      </c>
      <c r="I640" s="18" t="s">
        <v>81</v>
      </c>
      <c r="J640" s="18"/>
      <c r="K640" s="20"/>
      <c r="L640" s="20"/>
      <c r="M640" s="20"/>
      <c r="N640" s="18"/>
    </row>
    <row r="641">
      <c r="A641" s="17" t="str">
        <f t="shared" si="1"/>
        <v>PD-1613</v>
      </c>
      <c r="B641" s="18" t="s">
        <v>397</v>
      </c>
      <c r="C641" s="18" t="s">
        <v>398</v>
      </c>
      <c r="D641" s="18">
        <v>0.433333333</v>
      </c>
      <c r="E641" s="19">
        <v>43262.0</v>
      </c>
      <c r="F641" s="18" t="s">
        <v>81</v>
      </c>
      <c r="G641" s="18"/>
      <c r="H641" s="18" t="s">
        <v>88</v>
      </c>
      <c r="I641" s="18" t="s">
        <v>132</v>
      </c>
      <c r="J641" s="18"/>
      <c r="K641" s="20"/>
      <c r="L641" s="20"/>
      <c r="M641" s="20"/>
      <c r="N641" s="18"/>
    </row>
    <row r="642">
      <c r="A642" s="17" t="str">
        <f t="shared" si="1"/>
        <v>PD-1612</v>
      </c>
      <c r="B642" s="18" t="s">
        <v>365</v>
      </c>
      <c r="C642" s="18" t="s">
        <v>366</v>
      </c>
      <c r="D642" s="18">
        <v>5.533333333</v>
      </c>
      <c r="E642" s="19">
        <v>43250.0</v>
      </c>
      <c r="F642" s="18" t="s">
        <v>81</v>
      </c>
      <c r="G642" s="18"/>
      <c r="H642" s="18" t="s">
        <v>88</v>
      </c>
      <c r="I642" s="18" t="s">
        <v>132</v>
      </c>
      <c r="J642" s="18"/>
      <c r="K642" s="20"/>
      <c r="L642" s="20"/>
      <c r="M642" s="20"/>
      <c r="N642" s="18"/>
    </row>
    <row r="643">
      <c r="A643" s="17" t="str">
        <f t="shared" si="1"/>
        <v>PD-1612</v>
      </c>
      <c r="B643" s="18" t="s">
        <v>365</v>
      </c>
      <c r="C643" s="18" t="s">
        <v>366</v>
      </c>
      <c r="D643" s="18">
        <v>2.066666667</v>
      </c>
      <c r="E643" s="19">
        <v>43257.0</v>
      </c>
      <c r="F643" s="18" t="s">
        <v>81</v>
      </c>
      <c r="G643" s="18"/>
      <c r="H643" s="18" t="s">
        <v>88</v>
      </c>
      <c r="I643" s="18" t="s">
        <v>132</v>
      </c>
      <c r="J643" s="18"/>
      <c r="K643" s="20"/>
      <c r="L643" s="20"/>
      <c r="M643" s="20"/>
      <c r="N643" s="18"/>
    </row>
    <row r="644">
      <c r="A644" s="17" t="str">
        <f t="shared" si="1"/>
        <v>PD-1691</v>
      </c>
      <c r="B644" s="18" t="s">
        <v>415</v>
      </c>
      <c r="C644" s="18" t="s">
        <v>416</v>
      </c>
      <c r="D644" s="18">
        <v>2.116666667</v>
      </c>
      <c r="E644" s="19">
        <v>43260.0</v>
      </c>
      <c r="F644" s="18" t="s">
        <v>81</v>
      </c>
      <c r="G644" s="18"/>
      <c r="H644" s="18" t="s">
        <v>96</v>
      </c>
      <c r="I644" s="18" t="s">
        <v>81</v>
      </c>
      <c r="J644" s="18"/>
      <c r="K644" s="20"/>
      <c r="L644" s="20"/>
      <c r="M644" s="20"/>
      <c r="N644" s="18"/>
    </row>
    <row r="645">
      <c r="A645" s="17" t="str">
        <f t="shared" si="1"/>
        <v>PD-1691</v>
      </c>
      <c r="B645" s="18" t="s">
        <v>415</v>
      </c>
      <c r="C645" s="18" t="s">
        <v>416</v>
      </c>
      <c r="D645" s="18">
        <v>0.1</v>
      </c>
      <c r="E645" s="19">
        <v>43262.0</v>
      </c>
      <c r="F645" s="18" t="s">
        <v>81</v>
      </c>
      <c r="G645" s="18"/>
      <c r="H645" s="18" t="s">
        <v>96</v>
      </c>
      <c r="I645" s="18" t="s">
        <v>81</v>
      </c>
      <c r="J645" s="18"/>
      <c r="K645" s="20"/>
      <c r="L645" s="20"/>
      <c r="M645" s="20"/>
      <c r="N645" s="18"/>
    </row>
    <row r="646">
      <c r="A646" s="17" t="str">
        <f t="shared" si="1"/>
        <v>IV2-8</v>
      </c>
      <c r="B646" s="18" t="s">
        <v>300</v>
      </c>
      <c r="C646" s="18" t="s">
        <v>301</v>
      </c>
      <c r="D646" s="18">
        <v>7.9</v>
      </c>
      <c r="E646" s="19">
        <v>43263.0</v>
      </c>
      <c r="F646" s="18" t="s">
        <v>81</v>
      </c>
      <c r="G646" s="18"/>
      <c r="H646" s="18" t="s">
        <v>302</v>
      </c>
      <c r="I646" s="18" t="s">
        <v>78</v>
      </c>
      <c r="J646" s="18"/>
      <c r="K646" s="20"/>
      <c r="L646" s="20"/>
      <c r="M646" s="20"/>
      <c r="N646" s="18"/>
    </row>
    <row r="647">
      <c r="A647" s="17" t="str">
        <f t="shared" si="1"/>
        <v>IOP-875</v>
      </c>
      <c r="B647" s="18" t="s">
        <v>123</v>
      </c>
      <c r="C647" s="18" t="s">
        <v>124</v>
      </c>
      <c r="D647" s="18">
        <v>2.2</v>
      </c>
      <c r="E647" s="19">
        <v>43264.0</v>
      </c>
      <c r="F647" s="18" t="s">
        <v>81</v>
      </c>
      <c r="G647" s="18"/>
      <c r="H647" s="18" t="s">
        <v>125</v>
      </c>
      <c r="I647" s="18" t="s">
        <v>120</v>
      </c>
      <c r="J647" s="18"/>
      <c r="K647" s="20"/>
      <c r="L647" s="20"/>
      <c r="M647" s="20"/>
      <c r="N647" s="18"/>
    </row>
    <row r="648">
      <c r="A648" s="17" t="str">
        <f t="shared" si="1"/>
        <v>PD-1693</v>
      </c>
      <c r="B648" s="18" t="s">
        <v>327</v>
      </c>
      <c r="C648" s="18" t="s">
        <v>328</v>
      </c>
      <c r="D648" s="18">
        <v>0.1</v>
      </c>
      <c r="E648" s="19">
        <v>43257.0</v>
      </c>
      <c r="F648" s="18" t="s">
        <v>81</v>
      </c>
      <c r="G648" s="18"/>
      <c r="H648" s="18" t="s">
        <v>88</v>
      </c>
      <c r="I648" s="18" t="s">
        <v>89</v>
      </c>
      <c r="J648" s="18"/>
      <c r="K648" s="20"/>
      <c r="L648" s="20"/>
      <c r="M648" s="20"/>
      <c r="N648" s="18"/>
    </row>
    <row r="649">
      <c r="A649" s="17" t="str">
        <f t="shared" si="1"/>
        <v>PD-1440</v>
      </c>
      <c r="B649" s="18" t="s">
        <v>158</v>
      </c>
      <c r="C649" s="18" t="s">
        <v>159</v>
      </c>
      <c r="D649" s="18">
        <v>2.816666667</v>
      </c>
      <c r="E649" s="19">
        <v>43262.0</v>
      </c>
      <c r="F649" s="18" t="s">
        <v>81</v>
      </c>
      <c r="G649" s="18"/>
      <c r="H649" s="18"/>
      <c r="I649" s="18" t="s">
        <v>81</v>
      </c>
      <c r="J649" s="18"/>
      <c r="K649" s="20"/>
      <c r="L649" s="20"/>
      <c r="M649" s="20"/>
      <c r="N649" s="18"/>
    </row>
    <row r="650">
      <c r="A650" s="17" t="str">
        <f t="shared" si="1"/>
        <v>IOP-866</v>
      </c>
      <c r="B650" s="18" t="s">
        <v>117</v>
      </c>
      <c r="C650" s="18" t="s">
        <v>118</v>
      </c>
      <c r="D650" s="18">
        <v>0.216666667</v>
      </c>
      <c r="E650" s="19">
        <v>43264.0</v>
      </c>
      <c r="F650" s="18" t="s">
        <v>81</v>
      </c>
      <c r="G650" s="18"/>
      <c r="H650" s="18" t="s">
        <v>119</v>
      </c>
      <c r="I650" s="18" t="s">
        <v>120</v>
      </c>
      <c r="J650" s="18"/>
      <c r="K650" s="20"/>
      <c r="L650" s="20"/>
      <c r="M650" s="20"/>
      <c r="N650" s="18"/>
    </row>
    <row r="651">
      <c r="A651" s="17" t="str">
        <f t="shared" si="1"/>
        <v>PD-1473</v>
      </c>
      <c r="B651" s="18" t="s">
        <v>371</v>
      </c>
      <c r="C651" s="18" t="s">
        <v>372</v>
      </c>
      <c r="D651" s="18">
        <v>0.283333333</v>
      </c>
      <c r="E651" s="19">
        <v>43257.0</v>
      </c>
      <c r="F651" s="18" t="s">
        <v>81</v>
      </c>
      <c r="G651" s="18"/>
      <c r="H651" s="18" t="s">
        <v>88</v>
      </c>
      <c r="I651" s="18" t="s">
        <v>132</v>
      </c>
      <c r="J651" s="18"/>
      <c r="K651" s="20"/>
      <c r="L651" s="20"/>
      <c r="M651" s="20"/>
      <c r="N651" s="18"/>
    </row>
    <row r="652">
      <c r="A652" s="17" t="str">
        <f t="shared" si="1"/>
        <v>PD-1678</v>
      </c>
      <c r="B652" s="18" t="s">
        <v>379</v>
      </c>
      <c r="C652" s="18" t="s">
        <v>380</v>
      </c>
      <c r="D652" s="18">
        <v>0.283333333</v>
      </c>
      <c r="E652" s="19">
        <v>43262.0</v>
      </c>
      <c r="F652" s="18" t="s">
        <v>81</v>
      </c>
      <c r="G652" s="18"/>
      <c r="H652" s="18" t="s">
        <v>96</v>
      </c>
      <c r="I652" s="18" t="s">
        <v>81</v>
      </c>
      <c r="J652" s="18"/>
      <c r="K652" s="20"/>
      <c r="L652" s="20"/>
      <c r="M652" s="20"/>
      <c r="N652" s="18"/>
    </row>
    <row r="653">
      <c r="A653" s="17" t="str">
        <f t="shared" si="1"/>
        <v>IV2-8</v>
      </c>
      <c r="B653" s="18" t="s">
        <v>300</v>
      </c>
      <c r="C653" s="18" t="s">
        <v>301</v>
      </c>
      <c r="D653" s="18">
        <v>4.9</v>
      </c>
      <c r="E653" s="19">
        <v>43264.0</v>
      </c>
      <c r="F653" s="18" t="s">
        <v>81</v>
      </c>
      <c r="G653" s="18"/>
      <c r="H653" s="18" t="s">
        <v>302</v>
      </c>
      <c r="I653" s="18" t="s">
        <v>78</v>
      </c>
      <c r="J653" s="18"/>
      <c r="K653" s="20"/>
      <c r="L653" s="20"/>
      <c r="M653" s="20"/>
      <c r="N653" s="18"/>
    </row>
    <row r="654">
      <c r="A654" s="17" t="str">
        <f t="shared" si="1"/>
        <v>IOP-866</v>
      </c>
      <c r="B654" s="18" t="s">
        <v>117</v>
      </c>
      <c r="C654" s="18" t="s">
        <v>118</v>
      </c>
      <c r="D654" s="18">
        <v>0.083333333</v>
      </c>
      <c r="E654" s="19">
        <v>43265.0</v>
      </c>
      <c r="F654" s="18" t="s">
        <v>81</v>
      </c>
      <c r="G654" s="18"/>
      <c r="H654" s="18" t="s">
        <v>119</v>
      </c>
      <c r="I654" s="18" t="s">
        <v>120</v>
      </c>
      <c r="J654" s="18"/>
      <c r="K654" s="20"/>
      <c r="L654" s="20"/>
      <c r="M654" s="20"/>
      <c r="N654" s="18"/>
    </row>
    <row r="655">
      <c r="A655" s="17" t="str">
        <f t="shared" si="1"/>
        <v>PD-1694</v>
      </c>
      <c r="B655" s="18" t="s">
        <v>298</v>
      </c>
      <c r="C655" s="18" t="s">
        <v>299</v>
      </c>
      <c r="D655" s="18">
        <v>1.05</v>
      </c>
      <c r="E655" s="19">
        <v>43262.0</v>
      </c>
      <c r="F655" s="18" t="s">
        <v>81</v>
      </c>
      <c r="G655" s="18"/>
      <c r="H655" s="18" t="s">
        <v>88</v>
      </c>
      <c r="I655" s="18" t="s">
        <v>89</v>
      </c>
      <c r="J655" s="18"/>
      <c r="K655" s="20"/>
      <c r="L655" s="20"/>
      <c r="M655" s="20"/>
      <c r="N655" s="18"/>
    </row>
    <row r="656">
      <c r="A656" s="17" t="str">
        <f t="shared" si="1"/>
        <v>IOP-879</v>
      </c>
      <c r="B656" s="18" t="s">
        <v>155</v>
      </c>
      <c r="C656" s="18" t="s">
        <v>156</v>
      </c>
      <c r="D656" s="18">
        <v>1.066666667</v>
      </c>
      <c r="E656" s="19">
        <v>43264.0</v>
      </c>
      <c r="F656" s="18" t="s">
        <v>81</v>
      </c>
      <c r="G656" s="18"/>
      <c r="H656" s="18" t="s">
        <v>157</v>
      </c>
      <c r="I656" s="18" t="s">
        <v>120</v>
      </c>
      <c r="J656" s="18"/>
      <c r="K656" s="20"/>
      <c r="L656" s="20"/>
      <c r="M656" s="20"/>
      <c r="N656" s="18"/>
    </row>
    <row r="657">
      <c r="A657" s="17" t="str">
        <f t="shared" si="1"/>
        <v>PD-1507</v>
      </c>
      <c r="B657" s="18" t="s">
        <v>114</v>
      </c>
      <c r="C657" s="18" t="s">
        <v>115</v>
      </c>
      <c r="D657" s="18">
        <v>0.166666667</v>
      </c>
      <c r="E657" s="19">
        <v>43262.0</v>
      </c>
      <c r="F657" s="18" t="s">
        <v>81</v>
      </c>
      <c r="G657" s="18"/>
      <c r="H657" s="18"/>
      <c r="I657" s="18" t="s">
        <v>116</v>
      </c>
      <c r="J657" s="18"/>
      <c r="K657" s="20"/>
      <c r="L657" s="20"/>
      <c r="M657" s="20"/>
      <c r="N657" s="18"/>
    </row>
    <row r="658">
      <c r="A658" s="17" t="str">
        <f t="shared" si="1"/>
        <v>PD-1697</v>
      </c>
      <c r="B658" s="18" t="s">
        <v>433</v>
      </c>
      <c r="C658" s="18" t="s">
        <v>434</v>
      </c>
      <c r="D658" s="18">
        <v>0.316666667</v>
      </c>
      <c r="E658" s="19">
        <v>43265.0</v>
      </c>
      <c r="F658" s="18" t="s">
        <v>81</v>
      </c>
      <c r="G658" s="18"/>
      <c r="H658" s="18" t="s">
        <v>167</v>
      </c>
      <c r="I658" s="18" t="s">
        <v>142</v>
      </c>
      <c r="J658" s="18"/>
      <c r="K658" s="20"/>
      <c r="L658" s="20"/>
      <c r="M658" s="20"/>
      <c r="N658" s="18"/>
    </row>
    <row r="659">
      <c r="A659" s="17" t="str">
        <f t="shared" si="1"/>
        <v>IOP-867</v>
      </c>
      <c r="B659" s="18" t="s">
        <v>143</v>
      </c>
      <c r="C659" s="18" t="s">
        <v>144</v>
      </c>
      <c r="D659" s="18">
        <v>0.033333333</v>
      </c>
      <c r="E659" s="19">
        <v>43228.0</v>
      </c>
      <c r="F659" s="18" t="s">
        <v>81</v>
      </c>
      <c r="G659" s="18"/>
      <c r="H659" s="18" t="s">
        <v>119</v>
      </c>
      <c r="I659" s="18" t="s">
        <v>120</v>
      </c>
      <c r="J659" s="18"/>
      <c r="K659" s="20"/>
      <c r="L659" s="20"/>
      <c r="M659" s="20"/>
      <c r="N659" s="18"/>
    </row>
    <row r="660">
      <c r="A660" s="17" t="str">
        <f t="shared" si="1"/>
        <v>IOP-867</v>
      </c>
      <c r="B660" s="18" t="s">
        <v>143</v>
      </c>
      <c r="C660" s="18" t="s">
        <v>144</v>
      </c>
      <c r="D660" s="18">
        <v>0.15</v>
      </c>
      <c r="E660" s="19">
        <v>43230.0</v>
      </c>
      <c r="F660" s="18" t="s">
        <v>81</v>
      </c>
      <c r="G660" s="18"/>
      <c r="H660" s="18" t="s">
        <v>119</v>
      </c>
      <c r="I660" s="18" t="s">
        <v>120</v>
      </c>
      <c r="J660" s="18"/>
      <c r="K660" s="20"/>
      <c r="L660" s="20"/>
      <c r="M660" s="20"/>
      <c r="N660" s="18"/>
    </row>
    <row r="661">
      <c r="A661" s="17" t="str">
        <f t="shared" si="1"/>
        <v>PD-1590</v>
      </c>
      <c r="B661" s="18" t="s">
        <v>296</v>
      </c>
      <c r="C661" s="18" t="s">
        <v>297</v>
      </c>
      <c r="D661" s="18">
        <v>0.066666667</v>
      </c>
      <c r="E661" s="19">
        <v>43262.0</v>
      </c>
      <c r="F661" s="18" t="s">
        <v>81</v>
      </c>
      <c r="G661" s="18"/>
      <c r="H661" s="18"/>
      <c r="I661" s="18" t="s">
        <v>81</v>
      </c>
      <c r="J661" s="18"/>
      <c r="K661" s="20"/>
      <c r="L661" s="20"/>
      <c r="M661" s="20"/>
      <c r="N661" s="18"/>
    </row>
    <row r="662">
      <c r="A662" s="17" t="str">
        <f t="shared" si="1"/>
        <v>IOP-875</v>
      </c>
      <c r="B662" s="18" t="s">
        <v>123</v>
      </c>
      <c r="C662" s="18" t="s">
        <v>124</v>
      </c>
      <c r="D662" s="18">
        <v>1.933333333</v>
      </c>
      <c r="E662" s="19">
        <v>43265.0</v>
      </c>
      <c r="F662" s="18" t="s">
        <v>81</v>
      </c>
      <c r="G662" s="18"/>
      <c r="H662" s="18" t="s">
        <v>125</v>
      </c>
      <c r="I662" s="18" t="s">
        <v>120</v>
      </c>
      <c r="J662" s="18"/>
      <c r="K662" s="20"/>
      <c r="L662" s="20"/>
      <c r="M662" s="20"/>
      <c r="N662" s="18"/>
    </row>
    <row r="663">
      <c r="A663" s="17" t="str">
        <f t="shared" si="1"/>
        <v>IOP-866</v>
      </c>
      <c r="B663" s="18" t="s">
        <v>117</v>
      </c>
      <c r="C663" s="18" t="s">
        <v>118</v>
      </c>
      <c r="D663" s="18">
        <v>0.066666667</v>
      </c>
      <c r="E663" s="19">
        <v>43228.0</v>
      </c>
      <c r="F663" s="18" t="s">
        <v>81</v>
      </c>
      <c r="G663" s="18"/>
      <c r="H663" s="18" t="s">
        <v>119</v>
      </c>
      <c r="I663" s="18" t="s">
        <v>120</v>
      </c>
      <c r="J663" s="18"/>
      <c r="K663" s="20"/>
      <c r="L663" s="20"/>
      <c r="M663" s="20"/>
      <c r="N663" s="18"/>
    </row>
    <row r="664">
      <c r="A664" s="17" t="str">
        <f t="shared" si="1"/>
        <v>IOP-866</v>
      </c>
      <c r="B664" s="18" t="s">
        <v>117</v>
      </c>
      <c r="C664" s="18" t="s">
        <v>118</v>
      </c>
      <c r="D664" s="18">
        <v>0.133333333</v>
      </c>
      <c r="E664" s="19">
        <v>43230.0</v>
      </c>
      <c r="F664" s="18" t="s">
        <v>81</v>
      </c>
      <c r="G664" s="18"/>
      <c r="H664" s="18" t="s">
        <v>119</v>
      </c>
      <c r="I664" s="18" t="s">
        <v>120</v>
      </c>
      <c r="J664" s="18"/>
      <c r="K664" s="20"/>
      <c r="L664" s="20"/>
      <c r="M664" s="20"/>
      <c r="N664" s="18"/>
    </row>
    <row r="665">
      <c r="A665" s="17" t="str">
        <f t="shared" si="1"/>
        <v>IV2-4</v>
      </c>
      <c r="B665" s="18" t="s">
        <v>323</v>
      </c>
      <c r="C665" s="18" t="s">
        <v>324</v>
      </c>
      <c r="D665" s="18">
        <v>0.666666667</v>
      </c>
      <c r="E665" s="19">
        <v>43262.0</v>
      </c>
      <c r="F665" s="18" t="s">
        <v>81</v>
      </c>
      <c r="G665" s="18" t="s">
        <v>302</v>
      </c>
      <c r="H665" s="18"/>
      <c r="I665" s="18" t="s">
        <v>81</v>
      </c>
      <c r="J665" s="18"/>
      <c r="K665" s="20"/>
      <c r="L665" s="20"/>
      <c r="M665" s="20"/>
      <c r="N665" s="18"/>
    </row>
    <row r="666">
      <c r="A666" s="17" t="str">
        <f t="shared" si="1"/>
        <v>IV2-29</v>
      </c>
      <c r="B666" s="18" t="s">
        <v>435</v>
      </c>
      <c r="C666" s="18" t="s">
        <v>436</v>
      </c>
      <c r="D666" s="18">
        <v>0.25</v>
      </c>
      <c r="E666" s="19">
        <v>43265.0</v>
      </c>
      <c r="F666" s="18" t="s">
        <v>81</v>
      </c>
      <c r="G666" s="18"/>
      <c r="H666" s="18" t="s">
        <v>437</v>
      </c>
      <c r="I666" s="18" t="s">
        <v>116</v>
      </c>
      <c r="J666" s="18"/>
      <c r="K666" s="20"/>
      <c r="L666" s="20"/>
      <c r="M666" s="20"/>
      <c r="N666" s="18"/>
    </row>
    <row r="667">
      <c r="A667" s="17" t="str">
        <f t="shared" si="1"/>
        <v>PD-1326</v>
      </c>
      <c r="B667" s="18" t="s">
        <v>438</v>
      </c>
      <c r="C667" s="18" t="s">
        <v>439</v>
      </c>
      <c r="D667" s="18">
        <v>0.166666667</v>
      </c>
      <c r="E667" s="19">
        <v>43269.0</v>
      </c>
      <c r="F667" s="18" t="s">
        <v>81</v>
      </c>
      <c r="G667" s="18"/>
      <c r="H667" s="18" t="s">
        <v>101</v>
      </c>
      <c r="I667" s="18" t="s">
        <v>81</v>
      </c>
      <c r="J667" s="18"/>
      <c r="K667" s="20"/>
      <c r="L667" s="20"/>
      <c r="M667" s="20"/>
      <c r="N667" s="18"/>
    </row>
    <row r="668">
      <c r="A668" s="17" t="str">
        <f t="shared" si="1"/>
        <v>PD-1604</v>
      </c>
      <c r="B668" s="18" t="s">
        <v>330</v>
      </c>
      <c r="C668" s="18" t="s">
        <v>331</v>
      </c>
      <c r="D668" s="18">
        <v>0.25</v>
      </c>
      <c r="E668" s="19">
        <v>43228.0</v>
      </c>
      <c r="F668" s="18" t="s">
        <v>81</v>
      </c>
      <c r="G668" s="18"/>
      <c r="H668" s="18" t="s">
        <v>106</v>
      </c>
      <c r="I668" s="18" t="s">
        <v>81</v>
      </c>
      <c r="J668" s="18"/>
      <c r="K668" s="20"/>
      <c r="L668" s="20"/>
      <c r="M668" s="20"/>
      <c r="N668" s="18"/>
    </row>
    <row r="669">
      <c r="A669" s="17" t="str">
        <f t="shared" si="1"/>
        <v>PD-1604</v>
      </c>
      <c r="B669" s="18" t="s">
        <v>330</v>
      </c>
      <c r="C669" s="18" t="s">
        <v>331</v>
      </c>
      <c r="D669" s="18">
        <v>0.166666667</v>
      </c>
      <c r="E669" s="19">
        <v>43230.0</v>
      </c>
      <c r="F669" s="18" t="s">
        <v>81</v>
      </c>
      <c r="G669" s="18"/>
      <c r="H669" s="18" t="s">
        <v>106</v>
      </c>
      <c r="I669" s="18" t="s">
        <v>81</v>
      </c>
      <c r="J669" s="18"/>
      <c r="K669" s="20"/>
      <c r="L669" s="20"/>
      <c r="M669" s="20"/>
      <c r="N669" s="18"/>
    </row>
    <row r="670">
      <c r="A670" s="17" t="str">
        <f t="shared" si="1"/>
        <v>PD-1661</v>
      </c>
      <c r="B670" s="18" t="s">
        <v>440</v>
      </c>
      <c r="C670" s="18" t="s">
        <v>441</v>
      </c>
      <c r="D670" s="18">
        <v>6.283333333</v>
      </c>
      <c r="E670" s="19">
        <v>43230.0</v>
      </c>
      <c r="F670" s="18" t="s">
        <v>81</v>
      </c>
      <c r="G670" s="18"/>
      <c r="H670" s="18" t="s">
        <v>164</v>
      </c>
      <c r="I670" s="18" t="s">
        <v>81</v>
      </c>
      <c r="J670" s="18"/>
      <c r="K670" s="20"/>
      <c r="L670" s="20"/>
      <c r="M670" s="20"/>
      <c r="N670" s="18"/>
    </row>
    <row r="671">
      <c r="A671" s="17" t="str">
        <f t="shared" si="1"/>
        <v>IOP-867</v>
      </c>
      <c r="B671" s="18" t="s">
        <v>143</v>
      </c>
      <c r="C671" s="18" t="s">
        <v>144</v>
      </c>
      <c r="D671" s="18">
        <v>0.233333333</v>
      </c>
      <c r="E671" s="19">
        <v>43256.0</v>
      </c>
      <c r="F671" s="18" t="s">
        <v>81</v>
      </c>
      <c r="G671" s="18"/>
      <c r="H671" s="18" t="s">
        <v>119</v>
      </c>
      <c r="I671" s="18" t="s">
        <v>120</v>
      </c>
      <c r="J671" s="18"/>
      <c r="K671" s="20"/>
      <c r="L671" s="20"/>
      <c r="M671" s="20"/>
      <c r="N671" s="18"/>
    </row>
    <row r="672">
      <c r="A672" s="17" t="str">
        <f t="shared" si="1"/>
        <v>PD-1693</v>
      </c>
      <c r="B672" s="18" t="s">
        <v>327</v>
      </c>
      <c r="C672" s="18" t="s">
        <v>328</v>
      </c>
      <c r="D672" s="18">
        <v>0.083333333</v>
      </c>
      <c r="E672" s="19">
        <v>43262.0</v>
      </c>
      <c r="F672" s="18" t="s">
        <v>81</v>
      </c>
      <c r="G672" s="18"/>
      <c r="H672" s="18" t="s">
        <v>88</v>
      </c>
      <c r="I672" s="18" t="s">
        <v>89</v>
      </c>
      <c r="J672" s="18"/>
      <c r="K672" s="20"/>
      <c r="L672" s="18"/>
      <c r="M672" s="20"/>
      <c r="N672" s="18"/>
    </row>
    <row r="673">
      <c r="A673" s="17" t="str">
        <f t="shared" si="1"/>
        <v>IV2-8</v>
      </c>
      <c r="B673" s="18" t="s">
        <v>300</v>
      </c>
      <c r="C673" s="18" t="s">
        <v>301</v>
      </c>
      <c r="D673" s="18">
        <v>5.466666667</v>
      </c>
      <c r="E673" s="19">
        <v>43265.0</v>
      </c>
      <c r="F673" s="18" t="s">
        <v>81</v>
      </c>
      <c r="G673" s="18"/>
      <c r="H673" s="18" t="s">
        <v>302</v>
      </c>
      <c r="I673" s="18" t="s">
        <v>78</v>
      </c>
      <c r="J673" s="18"/>
      <c r="K673" s="20"/>
      <c r="L673" s="18"/>
      <c r="M673" s="20"/>
      <c r="N673" s="18"/>
    </row>
    <row r="674">
      <c r="A674" s="17" t="str">
        <f t="shared" si="1"/>
        <v>PD-1625</v>
      </c>
      <c r="B674" s="18" t="s">
        <v>346</v>
      </c>
      <c r="C674" s="18" t="s">
        <v>347</v>
      </c>
      <c r="D674" s="18">
        <v>2.35</v>
      </c>
      <c r="E674" s="19">
        <v>43228.0</v>
      </c>
      <c r="F674" s="18" t="s">
        <v>81</v>
      </c>
      <c r="G674" s="18"/>
      <c r="H674" s="18" t="s">
        <v>96</v>
      </c>
      <c r="I674" s="18" t="s">
        <v>81</v>
      </c>
      <c r="J674" s="18"/>
      <c r="K674" s="20"/>
      <c r="L674" s="18"/>
      <c r="M674" s="20"/>
      <c r="N674" s="18"/>
    </row>
    <row r="675">
      <c r="A675" s="17" t="str">
        <f t="shared" si="1"/>
        <v>PD-1656</v>
      </c>
      <c r="B675" s="18" t="s">
        <v>315</v>
      </c>
      <c r="C675" s="18" t="s">
        <v>316</v>
      </c>
      <c r="D675" s="18">
        <v>1.6</v>
      </c>
      <c r="E675" s="19">
        <v>43230.0</v>
      </c>
      <c r="F675" s="18" t="s">
        <v>81</v>
      </c>
      <c r="G675" s="18"/>
      <c r="H675" s="18" t="s">
        <v>187</v>
      </c>
      <c r="I675" s="18" t="s">
        <v>81</v>
      </c>
      <c r="J675" s="18"/>
      <c r="K675" s="20"/>
      <c r="L675" s="18"/>
      <c r="M675" s="20"/>
      <c r="N675" s="18"/>
    </row>
    <row r="676">
      <c r="A676" s="17" t="str">
        <f t="shared" si="1"/>
        <v>IOP-866</v>
      </c>
      <c r="B676" s="18" t="s">
        <v>117</v>
      </c>
      <c r="C676" s="18" t="s">
        <v>118</v>
      </c>
      <c r="D676" s="18">
        <v>0.133333333</v>
      </c>
      <c r="E676" s="19">
        <v>43256.0</v>
      </c>
      <c r="F676" s="18" t="s">
        <v>81</v>
      </c>
      <c r="G676" s="18"/>
      <c r="H676" s="18" t="s">
        <v>119</v>
      </c>
      <c r="I676" s="18" t="s">
        <v>120</v>
      </c>
      <c r="J676" s="18"/>
      <c r="K676" s="20"/>
      <c r="L676" s="18"/>
      <c r="M676" s="20"/>
      <c r="N676" s="18"/>
    </row>
    <row r="677">
      <c r="A677" s="17" t="str">
        <f t="shared" si="1"/>
        <v>IOP-867</v>
      </c>
      <c r="B677" s="18" t="s">
        <v>143</v>
      </c>
      <c r="C677" s="18" t="s">
        <v>144</v>
      </c>
      <c r="D677" s="18">
        <v>0.033333333</v>
      </c>
      <c r="E677" s="19">
        <v>43266.0</v>
      </c>
      <c r="F677" s="18" t="s">
        <v>81</v>
      </c>
      <c r="G677" s="18"/>
      <c r="H677" s="18" t="s">
        <v>119</v>
      </c>
      <c r="I677" s="18" t="s">
        <v>120</v>
      </c>
      <c r="J677" s="18"/>
      <c r="K677" s="20"/>
      <c r="L677" s="18"/>
      <c r="M677" s="20"/>
      <c r="N677" s="18"/>
    </row>
    <row r="678">
      <c r="A678" s="17" t="str">
        <f t="shared" si="1"/>
        <v>IOP-875</v>
      </c>
      <c r="B678" s="18" t="s">
        <v>123</v>
      </c>
      <c r="C678" s="18" t="s">
        <v>124</v>
      </c>
      <c r="D678" s="18">
        <v>1.6</v>
      </c>
      <c r="E678" s="19">
        <v>43269.0</v>
      </c>
      <c r="F678" s="18" t="s">
        <v>81</v>
      </c>
      <c r="G678" s="18"/>
      <c r="H678" s="18" t="s">
        <v>125</v>
      </c>
      <c r="I678" s="18" t="s">
        <v>120</v>
      </c>
      <c r="J678" s="18"/>
      <c r="K678" s="20"/>
      <c r="L678" s="18"/>
      <c r="M678" s="20"/>
      <c r="N678" s="18"/>
    </row>
    <row r="679">
      <c r="A679" s="17" t="str">
        <f t="shared" si="1"/>
        <v>PD-1656</v>
      </c>
      <c r="B679" s="18" t="s">
        <v>315</v>
      </c>
      <c r="C679" s="18" t="s">
        <v>316</v>
      </c>
      <c r="D679" s="18">
        <v>4.85</v>
      </c>
      <c r="E679" s="19">
        <v>43228.0</v>
      </c>
      <c r="F679" s="18" t="s">
        <v>81</v>
      </c>
      <c r="G679" s="18"/>
      <c r="H679" s="18" t="s">
        <v>187</v>
      </c>
      <c r="I679" s="18" t="s">
        <v>81</v>
      </c>
      <c r="J679" s="18"/>
      <c r="K679" s="20"/>
      <c r="L679" s="18"/>
      <c r="M679" s="20"/>
      <c r="N679" s="18"/>
    </row>
    <row r="680">
      <c r="A680" s="17" t="str">
        <f t="shared" si="1"/>
        <v>PD-1530</v>
      </c>
      <c r="B680" s="18" t="s">
        <v>251</v>
      </c>
      <c r="C680" s="18" t="s">
        <v>252</v>
      </c>
      <c r="D680" s="18">
        <v>0.366666667</v>
      </c>
      <c r="E680" s="19">
        <v>43256.0</v>
      </c>
      <c r="F680" s="18" t="s">
        <v>81</v>
      </c>
      <c r="G680" s="18"/>
      <c r="H680" s="18" t="s">
        <v>253</v>
      </c>
      <c r="I680" s="18" t="s">
        <v>93</v>
      </c>
      <c r="J680" s="18"/>
      <c r="K680" s="20"/>
      <c r="L680" s="18"/>
      <c r="M680" s="20"/>
      <c r="N680" s="18"/>
    </row>
    <row r="681">
      <c r="A681" s="17" t="str">
        <f t="shared" si="1"/>
        <v>IOP-867</v>
      </c>
      <c r="B681" s="18" t="s">
        <v>143</v>
      </c>
      <c r="C681" s="18" t="s">
        <v>144</v>
      </c>
      <c r="D681" s="18">
        <v>0.216666667</v>
      </c>
      <c r="E681" s="19">
        <v>43258.0</v>
      </c>
      <c r="F681" s="18" t="s">
        <v>81</v>
      </c>
      <c r="G681" s="18"/>
      <c r="H681" s="18" t="s">
        <v>119</v>
      </c>
      <c r="I681" s="18" t="s">
        <v>120</v>
      </c>
      <c r="J681" s="18"/>
      <c r="K681" s="20"/>
      <c r="L681" s="18"/>
      <c r="M681" s="20"/>
      <c r="N681" s="18"/>
    </row>
    <row r="682">
      <c r="A682" s="17" t="str">
        <f t="shared" si="1"/>
        <v>IOP-866</v>
      </c>
      <c r="B682" s="18" t="s">
        <v>117</v>
      </c>
      <c r="C682" s="18" t="s">
        <v>118</v>
      </c>
      <c r="D682" s="18">
        <v>0.133333333</v>
      </c>
      <c r="E682" s="19">
        <v>43266.0</v>
      </c>
      <c r="F682" s="18" t="s">
        <v>81</v>
      </c>
      <c r="G682" s="18"/>
      <c r="H682" s="18" t="s">
        <v>119</v>
      </c>
      <c r="I682" s="18" t="s">
        <v>120</v>
      </c>
      <c r="J682" s="18"/>
      <c r="K682" s="20"/>
      <c r="L682" s="18"/>
      <c r="M682" s="20"/>
      <c r="N682" s="18"/>
    </row>
    <row r="683">
      <c r="A683" s="17" t="str">
        <f t="shared" si="1"/>
        <v>IV2-6</v>
      </c>
      <c r="B683" s="18" t="s">
        <v>399</v>
      </c>
      <c r="C683" s="18" t="s">
        <v>400</v>
      </c>
      <c r="D683" s="18">
        <v>0.3</v>
      </c>
      <c r="E683" s="19">
        <v>43256.0</v>
      </c>
      <c r="F683" s="18" t="s">
        <v>81</v>
      </c>
      <c r="G683" s="18"/>
      <c r="H683" s="18" t="s">
        <v>302</v>
      </c>
      <c r="I683" s="18" t="s">
        <v>81</v>
      </c>
      <c r="J683" s="18"/>
      <c r="K683" s="20"/>
      <c r="L683" s="18"/>
      <c r="M683" s="20"/>
      <c r="N683" s="18"/>
    </row>
    <row r="684">
      <c r="A684" s="17" t="str">
        <f t="shared" si="1"/>
        <v>IOP-866</v>
      </c>
      <c r="B684" s="18" t="s">
        <v>117</v>
      </c>
      <c r="C684" s="18" t="s">
        <v>118</v>
      </c>
      <c r="D684" s="18">
        <v>0.266666667</v>
      </c>
      <c r="E684" s="19">
        <v>43258.0</v>
      </c>
      <c r="F684" s="18" t="s">
        <v>81</v>
      </c>
      <c r="G684" s="18"/>
      <c r="H684" s="18" t="s">
        <v>119</v>
      </c>
      <c r="I684" s="18" t="s">
        <v>120</v>
      </c>
      <c r="J684" s="18"/>
      <c r="K684" s="20"/>
      <c r="L684" s="20"/>
      <c r="M684" s="18"/>
      <c r="N684" s="18"/>
    </row>
    <row r="685">
      <c r="A685" s="17" t="str">
        <f t="shared" si="1"/>
        <v>IV2-8</v>
      </c>
      <c r="B685" s="18" t="s">
        <v>300</v>
      </c>
      <c r="C685" s="18" t="s">
        <v>301</v>
      </c>
      <c r="D685" s="18">
        <v>1.65</v>
      </c>
      <c r="E685" s="19">
        <v>43266.0</v>
      </c>
      <c r="F685" s="18" t="s">
        <v>81</v>
      </c>
      <c r="G685" s="18"/>
      <c r="H685" s="18" t="s">
        <v>302</v>
      </c>
      <c r="I685" s="18" t="s">
        <v>78</v>
      </c>
      <c r="J685" s="18"/>
      <c r="K685" s="20"/>
      <c r="L685" s="20"/>
      <c r="M685" s="18"/>
      <c r="N685" s="18"/>
    </row>
    <row r="686">
      <c r="A686" s="17" t="str">
        <f t="shared" si="1"/>
        <v>PD-1699</v>
      </c>
      <c r="B686" s="18" t="s">
        <v>442</v>
      </c>
      <c r="C686" s="18" t="s">
        <v>443</v>
      </c>
      <c r="D686" s="18">
        <v>0.783333333</v>
      </c>
      <c r="E686" s="19">
        <v>43269.0</v>
      </c>
      <c r="F686" s="18" t="s">
        <v>81</v>
      </c>
      <c r="G686" s="18"/>
      <c r="H686" s="18" t="s">
        <v>113</v>
      </c>
      <c r="I686" s="18" t="s">
        <v>89</v>
      </c>
      <c r="J686" s="18"/>
      <c r="K686" s="20"/>
      <c r="L686" s="20"/>
      <c r="M686" s="18"/>
      <c r="N686" s="18"/>
    </row>
    <row r="687">
      <c r="A687" s="17" t="str">
        <f t="shared" si="1"/>
        <v>IV2-11</v>
      </c>
      <c r="B687" s="18" t="s">
        <v>393</v>
      </c>
      <c r="C687" s="18" t="s">
        <v>394</v>
      </c>
      <c r="D687" s="18">
        <v>0.15</v>
      </c>
      <c r="E687" s="19">
        <v>43256.0</v>
      </c>
      <c r="F687" s="18" t="s">
        <v>81</v>
      </c>
      <c r="G687" s="18"/>
      <c r="H687" s="18" t="s">
        <v>302</v>
      </c>
      <c r="I687" s="18" t="s">
        <v>81</v>
      </c>
      <c r="J687" s="18"/>
      <c r="K687" s="20"/>
      <c r="L687" s="20"/>
      <c r="M687" s="18"/>
      <c r="N687" s="18"/>
    </row>
    <row r="688">
      <c r="A688" s="17" t="str">
        <f t="shared" si="1"/>
        <v>PD-1612</v>
      </c>
      <c r="B688" s="18" t="s">
        <v>365</v>
      </c>
      <c r="C688" s="18" t="s">
        <v>366</v>
      </c>
      <c r="D688" s="18">
        <v>0.316666667</v>
      </c>
      <c r="E688" s="19">
        <v>43258.0</v>
      </c>
      <c r="F688" s="18" t="s">
        <v>81</v>
      </c>
      <c r="G688" s="18"/>
      <c r="H688" s="18" t="s">
        <v>88</v>
      </c>
      <c r="I688" s="18" t="s">
        <v>132</v>
      </c>
      <c r="J688" s="18"/>
      <c r="K688" s="20"/>
      <c r="L688" s="20"/>
      <c r="M688" s="18"/>
      <c r="N688" s="18"/>
    </row>
    <row r="689">
      <c r="A689" s="17" t="str">
        <f t="shared" si="1"/>
        <v>IOP-875</v>
      </c>
      <c r="B689" s="18" t="s">
        <v>123</v>
      </c>
      <c r="C689" s="18" t="s">
        <v>124</v>
      </c>
      <c r="D689" s="18">
        <v>0.966666667</v>
      </c>
      <c r="E689" s="19">
        <v>43266.0</v>
      </c>
      <c r="F689" s="18" t="s">
        <v>81</v>
      </c>
      <c r="G689" s="18"/>
      <c r="H689" s="18" t="s">
        <v>125</v>
      </c>
      <c r="I689" s="18" t="s">
        <v>120</v>
      </c>
      <c r="J689" s="18"/>
      <c r="K689" s="20"/>
      <c r="L689" s="20"/>
      <c r="M689" s="18"/>
      <c r="N689" s="18"/>
    </row>
    <row r="690">
      <c r="A690" s="17" t="str">
        <f t="shared" si="1"/>
        <v>IOP-867</v>
      </c>
      <c r="B690" s="18" t="s">
        <v>143</v>
      </c>
      <c r="C690" s="18" t="s">
        <v>144</v>
      </c>
      <c r="D690" s="18">
        <v>0.1</v>
      </c>
      <c r="E690" s="19">
        <v>43269.0</v>
      </c>
      <c r="F690" s="18" t="s">
        <v>81</v>
      </c>
      <c r="G690" s="18"/>
      <c r="H690" s="18" t="s">
        <v>119</v>
      </c>
      <c r="I690" s="18" t="s">
        <v>120</v>
      </c>
      <c r="J690" s="18"/>
      <c r="K690" s="20"/>
      <c r="L690" s="20"/>
      <c r="M690" s="18"/>
      <c r="N690" s="18"/>
    </row>
    <row r="691">
      <c r="A691" s="17" t="str">
        <f t="shared" si="1"/>
        <v>PD-1612</v>
      </c>
      <c r="B691" s="18" t="s">
        <v>365</v>
      </c>
      <c r="C691" s="18" t="s">
        <v>366</v>
      </c>
      <c r="D691" s="18">
        <v>1.083333333</v>
      </c>
      <c r="E691" s="19">
        <v>43256.0</v>
      </c>
      <c r="F691" s="18" t="s">
        <v>81</v>
      </c>
      <c r="G691" s="18"/>
      <c r="H691" s="18" t="s">
        <v>88</v>
      </c>
      <c r="I691" s="18" t="s">
        <v>132</v>
      </c>
      <c r="J691" s="18"/>
      <c r="K691" s="20"/>
      <c r="L691" s="20"/>
      <c r="M691" s="18"/>
      <c r="N691" s="18"/>
    </row>
    <row r="692">
      <c r="A692" s="17" t="str">
        <f t="shared" si="1"/>
        <v>IV2-19</v>
      </c>
      <c r="B692" s="18" t="s">
        <v>383</v>
      </c>
      <c r="C692" s="18" t="s">
        <v>384</v>
      </c>
      <c r="D692" s="18">
        <v>1.383333333</v>
      </c>
      <c r="E692" s="19">
        <v>43258.0</v>
      </c>
      <c r="F692" s="18" t="s">
        <v>81</v>
      </c>
      <c r="G692" s="18"/>
      <c r="H692" s="18" t="s">
        <v>302</v>
      </c>
      <c r="I692" s="18" t="s">
        <v>81</v>
      </c>
      <c r="J692" s="18"/>
      <c r="K692" s="20"/>
      <c r="L692" s="20"/>
      <c r="M692" s="18"/>
      <c r="N692" s="18"/>
    </row>
    <row r="693">
      <c r="A693" s="17" t="str">
        <f t="shared" si="1"/>
        <v>PD-1678</v>
      </c>
      <c r="B693" s="18" t="s">
        <v>379</v>
      </c>
      <c r="C693" s="18" t="s">
        <v>380</v>
      </c>
      <c r="D693" s="18">
        <v>0.283333333</v>
      </c>
      <c r="E693" s="19">
        <v>43266.0</v>
      </c>
      <c r="F693" s="18" t="s">
        <v>81</v>
      </c>
      <c r="G693" s="18"/>
      <c r="H693" s="18" t="s">
        <v>96</v>
      </c>
      <c r="I693" s="18" t="s">
        <v>81</v>
      </c>
      <c r="J693" s="18"/>
      <c r="K693" s="20"/>
      <c r="L693" s="20"/>
      <c r="M693" s="18"/>
      <c r="N693" s="18"/>
    </row>
    <row r="694">
      <c r="A694" s="17" t="str">
        <f t="shared" si="1"/>
        <v>IOP-866</v>
      </c>
      <c r="B694" s="18" t="s">
        <v>117</v>
      </c>
      <c r="C694" s="18" t="s">
        <v>118</v>
      </c>
      <c r="D694" s="18">
        <v>0.1</v>
      </c>
      <c r="E694" s="19">
        <v>43269.0</v>
      </c>
      <c r="F694" s="18" t="s">
        <v>81</v>
      </c>
      <c r="G694" s="18"/>
      <c r="H694" s="18" t="s">
        <v>119</v>
      </c>
      <c r="I694" s="18" t="s">
        <v>120</v>
      </c>
      <c r="J694" s="18"/>
      <c r="K694" s="20"/>
      <c r="L694" s="20"/>
      <c r="M694" s="18"/>
      <c r="N694" s="18"/>
    </row>
    <row r="695">
      <c r="A695" s="17" t="str">
        <f t="shared" si="1"/>
        <v>PD-1613</v>
      </c>
      <c r="B695" s="18" t="s">
        <v>397</v>
      </c>
      <c r="C695" s="18" t="s">
        <v>398</v>
      </c>
      <c r="D695" s="18">
        <v>3.083333333</v>
      </c>
      <c r="E695" s="19">
        <v>43256.0</v>
      </c>
      <c r="F695" s="18" t="s">
        <v>81</v>
      </c>
      <c r="G695" s="18"/>
      <c r="H695" s="18" t="s">
        <v>88</v>
      </c>
      <c r="I695" s="18" t="s">
        <v>132</v>
      </c>
      <c r="J695" s="18"/>
      <c r="K695" s="20"/>
      <c r="L695" s="20"/>
      <c r="M695" s="18"/>
      <c r="N695" s="18"/>
    </row>
    <row r="696">
      <c r="A696" s="17" t="str">
        <f t="shared" si="1"/>
        <v>PD-1693</v>
      </c>
      <c r="B696" s="18" t="s">
        <v>327</v>
      </c>
      <c r="C696" s="18" t="s">
        <v>328</v>
      </c>
      <c r="D696" s="18">
        <v>0.566666667</v>
      </c>
      <c r="E696" s="19">
        <v>43258.0</v>
      </c>
      <c r="F696" s="18" t="s">
        <v>81</v>
      </c>
      <c r="G696" s="18"/>
      <c r="H696" s="18" t="s">
        <v>88</v>
      </c>
      <c r="I696" s="18" t="s">
        <v>89</v>
      </c>
      <c r="J696" s="18"/>
      <c r="K696" s="20"/>
      <c r="L696" s="20"/>
      <c r="M696" s="18"/>
      <c r="N696" s="18"/>
    </row>
    <row r="697">
      <c r="A697" s="17" t="str">
        <f t="shared" si="1"/>
        <v>IV2-19</v>
      </c>
      <c r="B697" s="18" t="s">
        <v>383</v>
      </c>
      <c r="C697" s="18" t="s">
        <v>384</v>
      </c>
      <c r="D697" s="18">
        <v>0.683333333</v>
      </c>
      <c r="E697" s="19">
        <v>43266.0</v>
      </c>
      <c r="F697" s="18" t="s">
        <v>81</v>
      </c>
      <c r="G697" s="18"/>
      <c r="H697" s="18" t="s">
        <v>302</v>
      </c>
      <c r="I697" s="18" t="s">
        <v>81</v>
      </c>
      <c r="J697" s="18"/>
      <c r="K697" s="20"/>
      <c r="L697" s="20"/>
      <c r="M697" s="18"/>
      <c r="N697" s="18"/>
    </row>
    <row r="698">
      <c r="A698" s="17" t="str">
        <f t="shared" si="1"/>
        <v>IOP-866</v>
      </c>
      <c r="B698" s="18" t="s">
        <v>117</v>
      </c>
      <c r="C698" s="18" t="s">
        <v>118</v>
      </c>
      <c r="D698" s="18">
        <v>0.183333333</v>
      </c>
      <c r="E698" s="19">
        <v>43154.0</v>
      </c>
      <c r="F698" s="18" t="s">
        <v>81</v>
      </c>
      <c r="G698" s="18"/>
      <c r="H698" s="18" t="s">
        <v>119</v>
      </c>
      <c r="I698" s="18" t="s">
        <v>120</v>
      </c>
      <c r="J698" s="18"/>
      <c r="K698" s="20"/>
      <c r="L698" s="20"/>
      <c r="M698" s="18"/>
      <c r="N698" s="18"/>
    </row>
    <row r="699">
      <c r="A699" s="17" t="str">
        <f t="shared" si="1"/>
        <v>PD-1530</v>
      </c>
      <c r="B699" s="18" t="s">
        <v>251</v>
      </c>
      <c r="C699" s="18" t="s">
        <v>252</v>
      </c>
      <c r="D699" s="18">
        <v>0.333333333</v>
      </c>
      <c r="E699" s="19">
        <v>43154.0</v>
      </c>
      <c r="F699" s="18" t="s">
        <v>81</v>
      </c>
      <c r="G699" s="18"/>
      <c r="H699" s="18" t="s">
        <v>253</v>
      </c>
      <c r="I699" s="18" t="s">
        <v>93</v>
      </c>
      <c r="J699" s="18"/>
      <c r="K699" s="20"/>
      <c r="L699" s="20"/>
      <c r="M699" s="18"/>
      <c r="N699" s="18"/>
    </row>
    <row r="700">
      <c r="A700" s="17" t="str">
        <f t="shared" si="1"/>
        <v>PD-1540</v>
      </c>
      <c r="B700" s="18" t="s">
        <v>165</v>
      </c>
      <c r="C700" s="18" t="s">
        <v>166</v>
      </c>
      <c r="D700" s="18">
        <v>0.15</v>
      </c>
      <c r="E700" s="19">
        <v>43154.0</v>
      </c>
      <c r="F700" s="18" t="s">
        <v>81</v>
      </c>
      <c r="G700" s="18"/>
      <c r="H700" s="18" t="s">
        <v>167</v>
      </c>
      <c r="I700" s="18" t="s">
        <v>78</v>
      </c>
      <c r="J700" s="18"/>
      <c r="K700" s="20"/>
      <c r="L700" s="20"/>
      <c r="M700" s="18"/>
      <c r="N700" s="18"/>
    </row>
    <row r="701">
      <c r="A701" s="17" t="str">
        <f t="shared" si="1"/>
        <v>PD-1505</v>
      </c>
      <c r="B701" s="18" t="s">
        <v>260</v>
      </c>
      <c r="C701" s="18" t="s">
        <v>261</v>
      </c>
      <c r="D701" s="18">
        <v>2.266666667</v>
      </c>
      <c r="E701" s="19">
        <v>43154.0</v>
      </c>
      <c r="F701" s="18" t="s">
        <v>81</v>
      </c>
      <c r="G701" s="18"/>
      <c r="H701" s="18"/>
      <c r="I701" s="18" t="s">
        <v>77</v>
      </c>
      <c r="J701" s="18"/>
      <c r="K701" s="20"/>
      <c r="L701" s="20"/>
      <c r="M701" s="18"/>
      <c r="N701" s="18"/>
    </row>
    <row r="702">
      <c r="A702" s="17" t="str">
        <f t="shared" si="1"/>
        <v>IOP-875</v>
      </c>
      <c r="B702" s="18" t="s">
        <v>123</v>
      </c>
      <c r="C702" s="18" t="s">
        <v>124</v>
      </c>
      <c r="D702" s="18">
        <v>0.166666667</v>
      </c>
      <c r="E702" s="19">
        <v>43154.0</v>
      </c>
      <c r="F702" s="18" t="s">
        <v>81</v>
      </c>
      <c r="G702" s="18"/>
      <c r="H702" s="18" t="s">
        <v>125</v>
      </c>
      <c r="I702" s="18" t="s">
        <v>120</v>
      </c>
      <c r="J702" s="18"/>
      <c r="K702" s="20"/>
      <c r="L702" s="20"/>
      <c r="M702" s="18"/>
      <c r="N702" s="18"/>
    </row>
    <row r="703">
      <c r="A703" s="17" t="str">
        <f t="shared" si="1"/>
        <v>PD-1587</v>
      </c>
      <c r="B703" s="18" t="s">
        <v>329</v>
      </c>
      <c r="C703" s="18" t="s">
        <v>106</v>
      </c>
      <c r="D703" s="18">
        <v>0.216666667</v>
      </c>
      <c r="E703" s="19">
        <v>43154.0</v>
      </c>
      <c r="F703" s="18" t="s">
        <v>81</v>
      </c>
      <c r="G703" s="18" t="s">
        <v>106</v>
      </c>
      <c r="H703" s="18"/>
      <c r="I703" s="18" t="s">
        <v>81</v>
      </c>
      <c r="J703" s="18"/>
      <c r="K703" s="20"/>
      <c r="L703" s="20"/>
      <c r="M703" s="18"/>
      <c r="N703" s="18"/>
    </row>
    <row r="704">
      <c r="A704" s="17" t="str">
        <f t="shared" si="1"/>
        <v>IOP-490</v>
      </c>
      <c r="B704" s="18" t="s">
        <v>224</v>
      </c>
      <c r="C704" s="18" t="s">
        <v>225</v>
      </c>
      <c r="D704" s="18">
        <v>0.5</v>
      </c>
      <c r="E704" s="19">
        <v>43154.0</v>
      </c>
      <c r="F704" s="18" t="s">
        <v>77</v>
      </c>
      <c r="G704" s="18"/>
      <c r="H704" s="18"/>
      <c r="I704" s="18" t="s">
        <v>77</v>
      </c>
      <c r="J704" s="18"/>
      <c r="K704" s="20"/>
      <c r="L704" s="20"/>
      <c r="M704" s="18"/>
      <c r="N704" s="18"/>
    </row>
    <row r="705">
      <c r="A705" s="17" t="str">
        <f t="shared" si="1"/>
        <v>IOP-867</v>
      </c>
      <c r="B705" s="18" t="s">
        <v>143</v>
      </c>
      <c r="C705" s="18" t="s">
        <v>144</v>
      </c>
      <c r="D705" s="18">
        <v>1.0</v>
      </c>
      <c r="E705" s="19">
        <v>43153.0</v>
      </c>
      <c r="F705" s="18" t="s">
        <v>77</v>
      </c>
      <c r="G705" s="18"/>
      <c r="H705" s="18" t="s">
        <v>119</v>
      </c>
      <c r="I705" s="18" t="s">
        <v>120</v>
      </c>
      <c r="J705" s="18"/>
      <c r="K705" s="20"/>
      <c r="L705" s="20"/>
      <c r="M705" s="18"/>
      <c r="N705" s="18"/>
    </row>
    <row r="706">
      <c r="A706" s="17" t="str">
        <f t="shared" si="1"/>
        <v>IOP-867</v>
      </c>
      <c r="B706" s="18" t="s">
        <v>143</v>
      </c>
      <c r="C706" s="18" t="s">
        <v>144</v>
      </c>
      <c r="D706" s="18">
        <v>1.0</v>
      </c>
      <c r="E706" s="19">
        <v>43152.0</v>
      </c>
      <c r="F706" s="18" t="s">
        <v>77</v>
      </c>
      <c r="G706" s="18"/>
      <c r="H706" s="18" t="s">
        <v>119</v>
      </c>
      <c r="I706" s="18" t="s">
        <v>120</v>
      </c>
      <c r="J706" s="18"/>
      <c r="K706" s="20"/>
      <c r="L706" s="20"/>
      <c r="M706" s="18"/>
      <c r="N706" s="18"/>
    </row>
    <row r="707">
      <c r="A707" s="17" t="str">
        <f t="shared" si="1"/>
        <v>PD-1582</v>
      </c>
      <c r="B707" s="18" t="s">
        <v>170</v>
      </c>
      <c r="C707" s="18" t="s">
        <v>171</v>
      </c>
      <c r="D707" s="18">
        <v>1.0</v>
      </c>
      <c r="E707" s="19">
        <v>43152.0</v>
      </c>
      <c r="F707" s="18" t="s">
        <v>77</v>
      </c>
      <c r="G707" s="18"/>
      <c r="H707" s="18"/>
      <c r="I707" s="18" t="s">
        <v>142</v>
      </c>
      <c r="J707" s="18"/>
      <c r="K707" s="20"/>
      <c r="L707" s="20"/>
      <c r="M707" s="18"/>
      <c r="N707" s="18"/>
    </row>
    <row r="708">
      <c r="A708" s="17" t="str">
        <f t="shared" si="1"/>
        <v>PD-1588</v>
      </c>
      <c r="B708" s="18" t="s">
        <v>444</v>
      </c>
      <c r="C708" s="18" t="s">
        <v>445</v>
      </c>
      <c r="D708" s="18">
        <v>4.75</v>
      </c>
      <c r="E708" s="19">
        <v>43154.0</v>
      </c>
      <c r="F708" s="18" t="s">
        <v>81</v>
      </c>
      <c r="G708" s="18"/>
      <c r="H708" s="18" t="s">
        <v>106</v>
      </c>
      <c r="I708" s="18" t="s">
        <v>81</v>
      </c>
      <c r="J708" s="18"/>
      <c r="K708" s="20"/>
      <c r="L708" s="20"/>
      <c r="M708" s="18"/>
      <c r="N708" s="18"/>
    </row>
    <row r="709">
      <c r="A709" s="17" t="str">
        <f t="shared" si="1"/>
        <v>IOP-867</v>
      </c>
      <c r="B709" s="18" t="s">
        <v>143</v>
      </c>
      <c r="C709" s="18" t="s">
        <v>144</v>
      </c>
      <c r="D709" s="18">
        <v>0.066666667</v>
      </c>
      <c r="E709" s="19">
        <v>43157.0</v>
      </c>
      <c r="F709" s="18" t="s">
        <v>81</v>
      </c>
      <c r="G709" s="18"/>
      <c r="H709" s="18" t="s">
        <v>119</v>
      </c>
      <c r="I709" s="18" t="s">
        <v>120</v>
      </c>
      <c r="J709" s="18"/>
      <c r="K709" s="20"/>
      <c r="L709" s="20"/>
      <c r="M709" s="18"/>
      <c r="N709" s="18"/>
    </row>
    <row r="710">
      <c r="A710" s="17" t="str">
        <f t="shared" si="1"/>
        <v>IOP-866</v>
      </c>
      <c r="B710" s="18" t="s">
        <v>117</v>
      </c>
      <c r="C710" s="18" t="s">
        <v>118</v>
      </c>
      <c r="D710" s="18">
        <v>0.116666667</v>
      </c>
      <c r="E710" s="19">
        <v>43157.0</v>
      </c>
      <c r="F710" s="18" t="s">
        <v>81</v>
      </c>
      <c r="G710" s="18"/>
      <c r="H710" s="18" t="s">
        <v>119</v>
      </c>
      <c r="I710" s="18" t="s">
        <v>120</v>
      </c>
      <c r="J710" s="18"/>
      <c r="K710" s="20"/>
      <c r="L710" s="20"/>
      <c r="M710" s="18"/>
      <c r="N710" s="18"/>
    </row>
    <row r="711">
      <c r="A711" s="17" t="str">
        <f t="shared" si="1"/>
        <v>PD-1583</v>
      </c>
      <c r="B711" s="18" t="s">
        <v>179</v>
      </c>
      <c r="C711" s="18" t="s">
        <v>180</v>
      </c>
      <c r="D711" s="18">
        <v>0.766666667</v>
      </c>
      <c r="E711" s="19">
        <v>43157.0</v>
      </c>
      <c r="F711" s="18" t="s">
        <v>81</v>
      </c>
      <c r="G711" s="18"/>
      <c r="H711" s="18" t="s">
        <v>96</v>
      </c>
      <c r="I711" s="18" t="s">
        <v>81</v>
      </c>
      <c r="J711" s="18"/>
      <c r="K711" s="20"/>
      <c r="L711" s="20"/>
      <c r="M711" s="18"/>
      <c r="N711" s="18"/>
    </row>
    <row r="712">
      <c r="A712" s="17" t="str">
        <f t="shared" si="1"/>
        <v>PD-1588</v>
      </c>
      <c r="B712" s="18" t="s">
        <v>444</v>
      </c>
      <c r="C712" s="18" t="s">
        <v>445</v>
      </c>
      <c r="D712" s="18">
        <v>6.25</v>
      </c>
      <c r="E712" s="19">
        <v>43157.0</v>
      </c>
      <c r="F712" s="18" t="s">
        <v>81</v>
      </c>
      <c r="G712" s="18"/>
      <c r="H712" s="18" t="s">
        <v>106</v>
      </c>
      <c r="I712" s="18" t="s">
        <v>81</v>
      </c>
      <c r="J712" s="18"/>
      <c r="K712" s="20"/>
      <c r="L712" s="20"/>
      <c r="M712" s="18"/>
      <c r="N712" s="18"/>
    </row>
    <row r="713">
      <c r="A713" s="17" t="str">
        <f t="shared" si="1"/>
        <v>PD-1505</v>
      </c>
      <c r="B713" s="18" t="s">
        <v>260</v>
      </c>
      <c r="C713" s="18" t="s">
        <v>261</v>
      </c>
      <c r="D713" s="18">
        <v>0.216666667</v>
      </c>
      <c r="E713" s="19">
        <v>43157.0</v>
      </c>
      <c r="F713" s="18" t="s">
        <v>81</v>
      </c>
      <c r="G713" s="18"/>
      <c r="H713" s="18"/>
      <c r="I713" s="18" t="s">
        <v>77</v>
      </c>
      <c r="J713" s="18"/>
      <c r="K713" s="20"/>
      <c r="L713" s="20"/>
      <c r="M713" s="18"/>
      <c r="N713" s="18"/>
    </row>
    <row r="714">
      <c r="A714" s="17" t="str">
        <f t="shared" si="1"/>
        <v>PD-1571</v>
      </c>
      <c r="B714" s="18" t="s">
        <v>140</v>
      </c>
      <c r="C714" s="18" t="s">
        <v>141</v>
      </c>
      <c r="D714" s="18">
        <v>0.05</v>
      </c>
      <c r="E714" s="19">
        <v>43157.0</v>
      </c>
      <c r="F714" s="18" t="s">
        <v>81</v>
      </c>
      <c r="G714" s="18"/>
      <c r="H714" s="18"/>
      <c r="I714" s="18" t="s">
        <v>142</v>
      </c>
      <c r="J714" s="18"/>
      <c r="K714" s="20"/>
      <c r="L714" s="20"/>
      <c r="M714" s="18"/>
      <c r="N714" s="18"/>
    </row>
    <row r="715">
      <c r="A715" s="17" t="str">
        <f t="shared" si="1"/>
        <v>IOP-22</v>
      </c>
      <c r="B715" s="18" t="s">
        <v>216</v>
      </c>
      <c r="C715" s="18" t="s">
        <v>217</v>
      </c>
      <c r="D715" s="18">
        <v>1.0</v>
      </c>
      <c r="E715" s="19">
        <v>43157.0</v>
      </c>
      <c r="F715" s="18" t="s">
        <v>77</v>
      </c>
      <c r="G715" s="18"/>
      <c r="H715" s="18"/>
      <c r="I715" s="18" t="s">
        <v>190</v>
      </c>
      <c r="J715" s="18"/>
      <c r="K715" s="20"/>
      <c r="L715" s="20"/>
      <c r="M715" s="18"/>
      <c r="N715" s="18"/>
    </row>
    <row r="716">
      <c r="A716" s="17" t="str">
        <f t="shared" si="1"/>
        <v>IOP-867</v>
      </c>
      <c r="B716" s="18" t="s">
        <v>143</v>
      </c>
      <c r="C716" s="18" t="s">
        <v>144</v>
      </c>
      <c r="D716" s="18">
        <v>0.016666667</v>
      </c>
      <c r="E716" s="19">
        <v>43158.0</v>
      </c>
      <c r="F716" s="18" t="s">
        <v>81</v>
      </c>
      <c r="G716" s="18"/>
      <c r="H716" s="18" t="s">
        <v>119</v>
      </c>
      <c r="I716" s="18" t="s">
        <v>120</v>
      </c>
      <c r="J716" s="18"/>
      <c r="K716" s="20"/>
      <c r="L716" s="20"/>
      <c r="M716" s="18"/>
      <c r="N716" s="18"/>
    </row>
    <row r="717">
      <c r="A717" s="17" t="str">
        <f t="shared" si="1"/>
        <v>IOP-866</v>
      </c>
      <c r="B717" s="18" t="s">
        <v>117</v>
      </c>
      <c r="C717" s="18" t="s">
        <v>118</v>
      </c>
      <c r="D717" s="18">
        <v>0.116666667</v>
      </c>
      <c r="E717" s="19">
        <v>43158.0</v>
      </c>
      <c r="F717" s="18" t="s">
        <v>81</v>
      </c>
      <c r="G717" s="18"/>
      <c r="H717" s="18" t="s">
        <v>119</v>
      </c>
      <c r="I717" s="18" t="s">
        <v>120</v>
      </c>
      <c r="J717" s="18"/>
      <c r="K717" s="20"/>
      <c r="L717" s="20"/>
      <c r="M717" s="18"/>
      <c r="N717" s="18"/>
    </row>
    <row r="718">
      <c r="A718" s="17" t="str">
        <f t="shared" si="1"/>
        <v>PD-1505</v>
      </c>
      <c r="B718" s="18" t="s">
        <v>260</v>
      </c>
      <c r="C718" s="18" t="s">
        <v>261</v>
      </c>
      <c r="D718" s="18">
        <v>0.316666667</v>
      </c>
      <c r="E718" s="19">
        <v>43158.0</v>
      </c>
      <c r="F718" s="18" t="s">
        <v>81</v>
      </c>
      <c r="G718" s="18"/>
      <c r="H718" s="18"/>
      <c r="I718" s="18" t="s">
        <v>77</v>
      </c>
      <c r="J718" s="18"/>
      <c r="K718" s="20"/>
      <c r="L718" s="20"/>
      <c r="M718" s="18"/>
      <c r="N718" s="18"/>
    </row>
    <row r="719">
      <c r="A719" s="17" t="str">
        <f t="shared" si="1"/>
        <v>PD-1588</v>
      </c>
      <c r="B719" s="18" t="s">
        <v>444</v>
      </c>
      <c r="C719" s="18" t="s">
        <v>445</v>
      </c>
      <c r="D719" s="18">
        <v>6.516666667</v>
      </c>
      <c r="E719" s="19">
        <v>43158.0</v>
      </c>
      <c r="F719" s="18" t="s">
        <v>81</v>
      </c>
      <c r="G719" s="18"/>
      <c r="H719" s="18" t="s">
        <v>106</v>
      </c>
      <c r="I719" s="18" t="s">
        <v>81</v>
      </c>
      <c r="J719" s="18"/>
      <c r="K719" s="20"/>
      <c r="L719" s="20"/>
      <c r="M719" s="18"/>
      <c r="N719" s="18"/>
    </row>
    <row r="720">
      <c r="A720" s="17" t="str">
        <f t="shared" si="1"/>
        <v>IV2-16</v>
      </c>
      <c r="B720" s="18" t="s">
        <v>350</v>
      </c>
      <c r="C720" s="18" t="s">
        <v>351</v>
      </c>
      <c r="D720" s="18">
        <v>0.683333333</v>
      </c>
      <c r="E720" s="19">
        <v>43158.0</v>
      </c>
      <c r="F720" s="18" t="s">
        <v>81</v>
      </c>
      <c r="G720" s="18"/>
      <c r="H720" s="18" t="s">
        <v>302</v>
      </c>
      <c r="I720" s="18" t="s">
        <v>81</v>
      </c>
      <c r="J720" s="18"/>
      <c r="K720" s="20"/>
      <c r="L720" s="20"/>
      <c r="M720" s="18"/>
      <c r="N720" s="18"/>
    </row>
    <row r="721">
      <c r="A721" s="17" t="str">
        <f t="shared" si="1"/>
        <v>PD-1571</v>
      </c>
      <c r="B721" s="18" t="s">
        <v>140</v>
      </c>
      <c r="C721" s="18" t="s">
        <v>141</v>
      </c>
      <c r="D721" s="18">
        <v>0.65</v>
      </c>
      <c r="E721" s="19">
        <v>43158.0</v>
      </c>
      <c r="F721" s="18" t="s">
        <v>81</v>
      </c>
      <c r="G721" s="18"/>
      <c r="H721" s="18"/>
      <c r="I721" s="18" t="s">
        <v>142</v>
      </c>
      <c r="J721" s="18"/>
      <c r="K721" s="20"/>
      <c r="L721" s="20"/>
      <c r="M721" s="18"/>
      <c r="N721" s="18"/>
    </row>
    <row r="722">
      <c r="A722" s="17" t="str">
        <f t="shared" si="1"/>
        <v>IOP-867</v>
      </c>
      <c r="B722" s="18" t="s">
        <v>143</v>
      </c>
      <c r="C722" s="18" t="s">
        <v>144</v>
      </c>
      <c r="D722" s="18">
        <v>0.266666667</v>
      </c>
      <c r="E722" s="19">
        <v>43159.0</v>
      </c>
      <c r="F722" s="18" t="s">
        <v>81</v>
      </c>
      <c r="G722" s="18"/>
      <c r="H722" s="18" t="s">
        <v>119</v>
      </c>
      <c r="I722" s="18" t="s">
        <v>120</v>
      </c>
      <c r="J722" s="18"/>
      <c r="K722" s="20"/>
      <c r="L722" s="20"/>
      <c r="M722" s="18"/>
      <c r="N722" s="18"/>
    </row>
    <row r="723">
      <c r="A723" s="17" t="str">
        <f t="shared" si="1"/>
        <v>IOP-866</v>
      </c>
      <c r="B723" s="18" t="s">
        <v>117</v>
      </c>
      <c r="C723" s="18" t="s">
        <v>118</v>
      </c>
      <c r="D723" s="18">
        <v>0.233333333</v>
      </c>
      <c r="E723" s="19">
        <v>43159.0</v>
      </c>
      <c r="F723" s="18" t="s">
        <v>81</v>
      </c>
      <c r="G723" s="18"/>
      <c r="H723" s="18" t="s">
        <v>119</v>
      </c>
      <c r="I723" s="18" t="s">
        <v>120</v>
      </c>
      <c r="J723" s="18"/>
      <c r="K723" s="20"/>
      <c r="L723" s="18"/>
      <c r="M723" s="20"/>
      <c r="N723" s="18"/>
    </row>
    <row r="724">
      <c r="A724" s="17" t="str">
        <f t="shared" si="1"/>
        <v>PD-1590</v>
      </c>
      <c r="B724" s="18" t="s">
        <v>296</v>
      </c>
      <c r="C724" s="18" t="s">
        <v>297</v>
      </c>
      <c r="D724" s="18">
        <v>0.1</v>
      </c>
      <c r="E724" s="19">
        <v>43159.0</v>
      </c>
      <c r="F724" s="18" t="s">
        <v>81</v>
      </c>
      <c r="G724" s="18"/>
      <c r="H724" s="18"/>
      <c r="I724" s="18" t="s">
        <v>81</v>
      </c>
      <c r="J724" s="18"/>
      <c r="K724" s="20"/>
      <c r="L724" s="18"/>
      <c r="M724" s="20"/>
      <c r="N724" s="18"/>
    </row>
    <row r="725">
      <c r="A725" s="17" t="str">
        <f t="shared" si="1"/>
        <v>PD-1505</v>
      </c>
      <c r="B725" s="18" t="s">
        <v>260</v>
      </c>
      <c r="C725" s="18" t="s">
        <v>261</v>
      </c>
      <c r="D725" s="18">
        <v>0.283333333</v>
      </c>
      <c r="E725" s="19">
        <v>43159.0</v>
      </c>
      <c r="F725" s="18" t="s">
        <v>81</v>
      </c>
      <c r="G725" s="18"/>
      <c r="H725" s="18"/>
      <c r="I725" s="18" t="s">
        <v>77</v>
      </c>
      <c r="J725" s="18"/>
      <c r="K725" s="20"/>
      <c r="L725" s="20"/>
      <c r="M725" s="20"/>
      <c r="N725" s="18"/>
    </row>
    <row r="726">
      <c r="A726" s="17" t="str">
        <f t="shared" si="1"/>
        <v>PD-1580</v>
      </c>
      <c r="B726" s="18" t="s">
        <v>446</v>
      </c>
      <c r="C726" s="18" t="s">
        <v>447</v>
      </c>
      <c r="D726" s="18">
        <v>0.216666667</v>
      </c>
      <c r="E726" s="19">
        <v>43159.0</v>
      </c>
      <c r="F726" s="18" t="s">
        <v>81</v>
      </c>
      <c r="G726" s="18"/>
      <c r="H726" s="18"/>
      <c r="I726" s="18" t="s">
        <v>81</v>
      </c>
      <c r="J726" s="18"/>
      <c r="K726" s="20"/>
      <c r="L726" s="20"/>
      <c r="M726" s="20"/>
      <c r="N726" s="18"/>
    </row>
    <row r="727">
      <c r="A727" s="17" t="str">
        <f t="shared" si="1"/>
        <v>PD-1586</v>
      </c>
      <c r="B727" s="18" t="s">
        <v>448</v>
      </c>
      <c r="C727" s="18" t="s">
        <v>449</v>
      </c>
      <c r="D727" s="18">
        <v>0.333333333</v>
      </c>
      <c r="E727" s="19">
        <v>43159.0</v>
      </c>
      <c r="F727" s="18" t="s">
        <v>81</v>
      </c>
      <c r="G727" s="18"/>
      <c r="H727" s="18"/>
      <c r="I727" s="18" t="s">
        <v>81</v>
      </c>
      <c r="J727" s="18"/>
      <c r="K727" s="20"/>
      <c r="L727" s="20"/>
      <c r="M727" s="20"/>
      <c r="N727" s="18"/>
    </row>
    <row r="728">
      <c r="A728" s="17" t="str">
        <f t="shared" si="1"/>
        <v>PD-1543</v>
      </c>
      <c r="B728" s="18" t="s">
        <v>177</v>
      </c>
      <c r="C728" s="18" t="s">
        <v>178</v>
      </c>
      <c r="D728" s="18">
        <v>0.116666667</v>
      </c>
      <c r="E728" s="19">
        <v>43159.0</v>
      </c>
      <c r="F728" s="18" t="s">
        <v>81</v>
      </c>
      <c r="G728" s="18"/>
      <c r="H728" s="18" t="s">
        <v>88</v>
      </c>
      <c r="I728" s="18" t="s">
        <v>81</v>
      </c>
      <c r="J728" s="18"/>
      <c r="K728" s="20"/>
      <c r="L728" s="20"/>
      <c r="M728" s="20"/>
      <c r="N728" s="18"/>
    </row>
    <row r="729">
      <c r="A729" s="17" t="str">
        <f t="shared" si="1"/>
        <v>IOP-879</v>
      </c>
      <c r="B729" s="18" t="s">
        <v>155</v>
      </c>
      <c r="C729" s="18" t="s">
        <v>156</v>
      </c>
      <c r="D729" s="18">
        <v>1.166666667</v>
      </c>
      <c r="E729" s="19">
        <v>43159.0</v>
      </c>
      <c r="F729" s="18" t="s">
        <v>81</v>
      </c>
      <c r="G729" s="18"/>
      <c r="H729" s="18" t="s">
        <v>157</v>
      </c>
      <c r="I729" s="18" t="s">
        <v>120</v>
      </c>
      <c r="J729" s="18"/>
      <c r="K729" s="20"/>
      <c r="L729" s="20"/>
      <c r="M729" s="20"/>
      <c r="N729" s="18"/>
    </row>
    <row r="730">
      <c r="A730" s="17" t="str">
        <f t="shared" si="1"/>
        <v>PD-1572</v>
      </c>
      <c r="B730" s="18" t="s">
        <v>147</v>
      </c>
      <c r="C730" s="18" t="s">
        <v>148</v>
      </c>
      <c r="D730" s="18">
        <v>0.166666667</v>
      </c>
      <c r="E730" s="19">
        <v>43159.0</v>
      </c>
      <c r="F730" s="18" t="s">
        <v>81</v>
      </c>
      <c r="G730" s="18"/>
      <c r="H730" s="18"/>
      <c r="I730" s="18" t="s">
        <v>142</v>
      </c>
      <c r="J730" s="18"/>
      <c r="K730" s="20"/>
      <c r="L730" s="20"/>
      <c r="M730" s="20"/>
      <c r="N730" s="18"/>
    </row>
    <row r="731">
      <c r="A731" s="17" t="str">
        <f t="shared" si="1"/>
        <v>PD-1588</v>
      </c>
      <c r="B731" s="18" t="s">
        <v>444</v>
      </c>
      <c r="C731" s="18" t="s">
        <v>445</v>
      </c>
      <c r="D731" s="18">
        <v>5.45</v>
      </c>
      <c r="E731" s="19">
        <v>43159.0</v>
      </c>
      <c r="F731" s="18" t="s">
        <v>81</v>
      </c>
      <c r="G731" s="18"/>
      <c r="H731" s="18" t="s">
        <v>106</v>
      </c>
      <c r="I731" s="18" t="s">
        <v>81</v>
      </c>
      <c r="J731" s="18"/>
      <c r="K731" s="20"/>
      <c r="L731" s="20"/>
      <c r="M731" s="20"/>
      <c r="N731" s="18"/>
    </row>
    <row r="732">
      <c r="A732" s="17" t="str">
        <f t="shared" si="1"/>
        <v>IOP-867</v>
      </c>
      <c r="B732" s="18" t="s">
        <v>143</v>
      </c>
      <c r="C732" s="18" t="s">
        <v>144</v>
      </c>
      <c r="D732" s="18">
        <v>0.033333333</v>
      </c>
      <c r="E732" s="19">
        <v>43160.0</v>
      </c>
      <c r="F732" s="18" t="s">
        <v>81</v>
      </c>
      <c r="G732" s="18"/>
      <c r="H732" s="18" t="s">
        <v>119</v>
      </c>
      <c r="I732" s="18" t="s">
        <v>120</v>
      </c>
      <c r="J732" s="18"/>
      <c r="K732" s="20"/>
      <c r="L732" s="20"/>
      <c r="M732" s="20"/>
      <c r="N732" s="18"/>
    </row>
    <row r="733">
      <c r="A733" s="17" t="str">
        <f t="shared" si="1"/>
        <v>IOP-866</v>
      </c>
      <c r="B733" s="18" t="s">
        <v>117</v>
      </c>
      <c r="C733" s="18" t="s">
        <v>118</v>
      </c>
      <c r="D733" s="18">
        <v>0.166666667</v>
      </c>
      <c r="E733" s="19">
        <v>43160.0</v>
      </c>
      <c r="F733" s="18" t="s">
        <v>81</v>
      </c>
      <c r="G733" s="18"/>
      <c r="H733" s="18" t="s">
        <v>119</v>
      </c>
      <c r="I733" s="18" t="s">
        <v>120</v>
      </c>
      <c r="J733" s="18"/>
      <c r="K733" s="20"/>
      <c r="L733" s="20"/>
      <c r="M733" s="20"/>
      <c r="N733" s="18"/>
    </row>
    <row r="734">
      <c r="A734" s="17" t="str">
        <f t="shared" si="1"/>
        <v>PD-1588</v>
      </c>
      <c r="B734" s="18" t="s">
        <v>444</v>
      </c>
      <c r="C734" s="18" t="s">
        <v>445</v>
      </c>
      <c r="D734" s="18">
        <v>6.066666667</v>
      </c>
      <c r="E734" s="19">
        <v>43160.0</v>
      </c>
      <c r="F734" s="18" t="s">
        <v>81</v>
      </c>
      <c r="G734" s="18"/>
      <c r="H734" s="18" t="s">
        <v>106</v>
      </c>
      <c r="I734" s="18" t="s">
        <v>81</v>
      </c>
      <c r="J734" s="18"/>
      <c r="K734" s="20"/>
      <c r="L734" s="20"/>
      <c r="M734" s="20"/>
      <c r="N734" s="18"/>
    </row>
    <row r="735">
      <c r="A735" s="17" t="str">
        <f t="shared" si="1"/>
        <v>PD-1505</v>
      </c>
      <c r="B735" s="18" t="s">
        <v>260</v>
      </c>
      <c r="C735" s="18" t="s">
        <v>261</v>
      </c>
      <c r="D735" s="18">
        <v>0.816666667</v>
      </c>
      <c r="E735" s="19">
        <v>43160.0</v>
      </c>
      <c r="F735" s="18" t="s">
        <v>81</v>
      </c>
      <c r="G735" s="18"/>
      <c r="H735" s="18"/>
      <c r="I735" s="18" t="s">
        <v>77</v>
      </c>
      <c r="J735" s="18"/>
      <c r="K735" s="20"/>
      <c r="L735" s="20"/>
      <c r="M735" s="20"/>
      <c r="N735" s="18"/>
    </row>
    <row r="736">
      <c r="A736" s="17" t="str">
        <f t="shared" si="1"/>
        <v>PD-1543</v>
      </c>
      <c r="B736" s="18" t="s">
        <v>177</v>
      </c>
      <c r="C736" s="18" t="s">
        <v>178</v>
      </c>
      <c r="D736" s="18">
        <v>0.733333333</v>
      </c>
      <c r="E736" s="19">
        <v>43160.0</v>
      </c>
      <c r="F736" s="18" t="s">
        <v>81</v>
      </c>
      <c r="G736" s="18"/>
      <c r="H736" s="18" t="s">
        <v>88</v>
      </c>
      <c r="I736" s="18" t="s">
        <v>81</v>
      </c>
      <c r="J736" s="18"/>
      <c r="K736" s="20"/>
      <c r="L736" s="20"/>
      <c r="M736" s="20"/>
      <c r="N736" s="18"/>
    </row>
    <row r="737">
      <c r="A737" s="17" t="str">
        <f t="shared" si="1"/>
        <v>PD-1583</v>
      </c>
      <c r="B737" s="18" t="s">
        <v>179</v>
      </c>
      <c r="C737" s="18" t="s">
        <v>180</v>
      </c>
      <c r="D737" s="18">
        <v>0.183333333</v>
      </c>
      <c r="E737" s="19">
        <v>43160.0</v>
      </c>
      <c r="F737" s="18" t="s">
        <v>81</v>
      </c>
      <c r="G737" s="18"/>
      <c r="H737" s="18" t="s">
        <v>96</v>
      </c>
      <c r="I737" s="18" t="s">
        <v>81</v>
      </c>
      <c r="J737" s="18"/>
      <c r="K737" s="20"/>
      <c r="L737" s="20"/>
      <c r="M737" s="20"/>
      <c r="N737" s="18"/>
    </row>
    <row r="738">
      <c r="A738" s="17" t="str">
        <f t="shared" si="1"/>
        <v>IOP-867</v>
      </c>
      <c r="B738" s="18" t="s">
        <v>143</v>
      </c>
      <c r="C738" s="18" t="s">
        <v>144</v>
      </c>
      <c r="D738" s="18">
        <v>0.083333333</v>
      </c>
      <c r="E738" s="19">
        <v>43161.0</v>
      </c>
      <c r="F738" s="18" t="s">
        <v>81</v>
      </c>
      <c r="G738" s="18"/>
      <c r="H738" s="18" t="s">
        <v>119</v>
      </c>
      <c r="I738" s="18" t="s">
        <v>120</v>
      </c>
      <c r="J738" s="18"/>
      <c r="K738" s="20"/>
      <c r="L738" s="20"/>
      <c r="M738" s="20"/>
      <c r="N738" s="18"/>
    </row>
    <row r="739">
      <c r="A739" s="17" t="str">
        <f t="shared" si="1"/>
        <v>IOP-866</v>
      </c>
      <c r="B739" s="18" t="s">
        <v>117</v>
      </c>
      <c r="C739" s="18" t="s">
        <v>118</v>
      </c>
      <c r="D739" s="18">
        <v>0.183333333</v>
      </c>
      <c r="E739" s="19">
        <v>43161.0</v>
      </c>
      <c r="F739" s="18" t="s">
        <v>81</v>
      </c>
      <c r="G739" s="18"/>
      <c r="H739" s="18" t="s">
        <v>119</v>
      </c>
      <c r="I739" s="18" t="s">
        <v>120</v>
      </c>
      <c r="J739" s="18"/>
      <c r="K739" s="20"/>
      <c r="L739" s="20"/>
      <c r="M739" s="20"/>
      <c r="N739" s="18"/>
    </row>
    <row r="740">
      <c r="A740" s="17" t="str">
        <f t="shared" si="1"/>
        <v>PD-1505</v>
      </c>
      <c r="B740" s="18" t="s">
        <v>260</v>
      </c>
      <c r="C740" s="18" t="s">
        <v>261</v>
      </c>
      <c r="D740" s="18">
        <v>1.433333333</v>
      </c>
      <c r="E740" s="19">
        <v>43161.0</v>
      </c>
      <c r="F740" s="18" t="s">
        <v>81</v>
      </c>
      <c r="G740" s="18"/>
      <c r="H740" s="18"/>
      <c r="I740" s="18" t="s">
        <v>77</v>
      </c>
      <c r="J740" s="18"/>
      <c r="K740" s="20"/>
      <c r="L740" s="20"/>
      <c r="M740" s="20"/>
      <c r="N740" s="18"/>
    </row>
    <row r="741">
      <c r="A741" s="17" t="str">
        <f t="shared" si="1"/>
        <v>PD-1582</v>
      </c>
      <c r="B741" s="18" t="s">
        <v>170</v>
      </c>
      <c r="C741" s="18" t="s">
        <v>171</v>
      </c>
      <c r="D741" s="18">
        <v>1.8</v>
      </c>
      <c r="E741" s="19">
        <v>43161.0</v>
      </c>
      <c r="F741" s="18" t="s">
        <v>81</v>
      </c>
      <c r="G741" s="18"/>
      <c r="H741" s="18"/>
      <c r="I741" s="18" t="s">
        <v>142</v>
      </c>
      <c r="J741" s="18"/>
      <c r="K741" s="20"/>
      <c r="L741" s="20"/>
      <c r="M741" s="20"/>
      <c r="N741" s="18"/>
    </row>
    <row r="742">
      <c r="A742" s="17" t="str">
        <f t="shared" si="1"/>
        <v>IOP-875</v>
      </c>
      <c r="B742" s="18" t="s">
        <v>123</v>
      </c>
      <c r="C742" s="18" t="s">
        <v>124</v>
      </c>
      <c r="D742" s="18">
        <v>0.466666667</v>
      </c>
      <c r="E742" s="19">
        <v>43161.0</v>
      </c>
      <c r="F742" s="18" t="s">
        <v>81</v>
      </c>
      <c r="G742" s="18"/>
      <c r="H742" s="18" t="s">
        <v>125</v>
      </c>
      <c r="I742" s="18" t="s">
        <v>120</v>
      </c>
      <c r="J742" s="18"/>
      <c r="K742" s="20"/>
      <c r="L742" s="20"/>
      <c r="M742" s="20"/>
      <c r="N742" s="18"/>
    </row>
    <row r="743">
      <c r="A743" s="17" t="str">
        <f t="shared" si="1"/>
        <v>PD-1554</v>
      </c>
      <c r="B743" s="18" t="s">
        <v>102</v>
      </c>
      <c r="C743" s="18" t="s">
        <v>103</v>
      </c>
      <c r="D743" s="18">
        <v>0.3</v>
      </c>
      <c r="E743" s="19">
        <v>43161.0</v>
      </c>
      <c r="F743" s="18" t="s">
        <v>81</v>
      </c>
      <c r="G743" s="18"/>
      <c r="H743" s="18" t="s">
        <v>88</v>
      </c>
      <c r="I743" s="18" t="s">
        <v>93</v>
      </c>
      <c r="J743" s="18"/>
      <c r="K743" s="20"/>
      <c r="L743" s="20"/>
      <c r="M743" s="20"/>
      <c r="N743" s="18"/>
    </row>
    <row r="744">
      <c r="A744" s="17" t="str">
        <f t="shared" si="1"/>
        <v>IV2-16</v>
      </c>
      <c r="B744" s="18" t="s">
        <v>350</v>
      </c>
      <c r="C744" s="18" t="s">
        <v>351</v>
      </c>
      <c r="D744" s="18">
        <v>1.683333333</v>
      </c>
      <c r="E744" s="19">
        <v>43161.0</v>
      </c>
      <c r="F744" s="18" t="s">
        <v>81</v>
      </c>
      <c r="G744" s="18"/>
      <c r="H744" s="18" t="s">
        <v>302</v>
      </c>
      <c r="I744" s="18" t="s">
        <v>81</v>
      </c>
      <c r="J744" s="18"/>
      <c r="K744" s="20"/>
      <c r="L744" s="20"/>
      <c r="M744" s="20"/>
      <c r="N744" s="18"/>
    </row>
    <row r="745">
      <c r="A745" s="17" t="str">
        <f t="shared" si="1"/>
        <v>PD-1583</v>
      </c>
      <c r="B745" s="18" t="s">
        <v>179</v>
      </c>
      <c r="C745" s="18" t="s">
        <v>180</v>
      </c>
      <c r="D745" s="18">
        <v>1.316666667</v>
      </c>
      <c r="E745" s="19">
        <v>43161.0</v>
      </c>
      <c r="F745" s="18" t="s">
        <v>81</v>
      </c>
      <c r="G745" s="18"/>
      <c r="H745" s="18" t="s">
        <v>96</v>
      </c>
      <c r="I745" s="18" t="s">
        <v>81</v>
      </c>
      <c r="J745" s="18"/>
      <c r="K745" s="20"/>
      <c r="L745" s="20"/>
      <c r="M745" s="20"/>
      <c r="N745" s="18"/>
    </row>
    <row r="746">
      <c r="A746" s="17" t="str">
        <f t="shared" si="1"/>
        <v>IOP-867</v>
      </c>
      <c r="B746" s="18" t="s">
        <v>143</v>
      </c>
      <c r="C746" s="18" t="s">
        <v>144</v>
      </c>
      <c r="D746" s="18">
        <v>0.1</v>
      </c>
      <c r="E746" s="19">
        <v>43164.0</v>
      </c>
      <c r="F746" s="18" t="s">
        <v>81</v>
      </c>
      <c r="G746" s="18"/>
      <c r="H746" s="18" t="s">
        <v>119</v>
      </c>
      <c r="I746" s="18" t="s">
        <v>120</v>
      </c>
      <c r="J746" s="18"/>
      <c r="K746" s="20"/>
      <c r="L746" s="20"/>
      <c r="M746" s="20"/>
      <c r="N746" s="18"/>
    </row>
    <row r="747">
      <c r="A747" s="17" t="str">
        <f t="shared" si="1"/>
        <v>IOP-866</v>
      </c>
      <c r="B747" s="18" t="s">
        <v>117</v>
      </c>
      <c r="C747" s="18" t="s">
        <v>118</v>
      </c>
      <c r="D747" s="18">
        <v>0.133333333</v>
      </c>
      <c r="E747" s="19">
        <v>43164.0</v>
      </c>
      <c r="F747" s="18" t="s">
        <v>81</v>
      </c>
      <c r="G747" s="18"/>
      <c r="H747" s="18" t="s">
        <v>119</v>
      </c>
      <c r="I747" s="18" t="s">
        <v>120</v>
      </c>
      <c r="J747" s="18"/>
      <c r="K747" s="20"/>
      <c r="L747" s="20"/>
      <c r="M747" s="20"/>
      <c r="N747" s="18"/>
    </row>
    <row r="748">
      <c r="A748" s="17" t="str">
        <f t="shared" si="1"/>
        <v>PD-1583</v>
      </c>
      <c r="B748" s="18" t="s">
        <v>179</v>
      </c>
      <c r="C748" s="18" t="s">
        <v>180</v>
      </c>
      <c r="D748" s="18">
        <v>0.7</v>
      </c>
      <c r="E748" s="19">
        <v>43164.0</v>
      </c>
      <c r="F748" s="18" t="s">
        <v>81</v>
      </c>
      <c r="G748" s="18"/>
      <c r="H748" s="18" t="s">
        <v>96</v>
      </c>
      <c r="I748" s="18" t="s">
        <v>81</v>
      </c>
      <c r="J748" s="18"/>
      <c r="K748" s="20"/>
      <c r="L748" s="20"/>
      <c r="M748" s="20"/>
      <c r="N748" s="18"/>
    </row>
    <row r="749">
      <c r="A749" s="17" t="str">
        <f t="shared" si="1"/>
        <v>PD-1505</v>
      </c>
      <c r="B749" s="18" t="s">
        <v>260</v>
      </c>
      <c r="C749" s="18" t="s">
        <v>261</v>
      </c>
      <c r="D749" s="18">
        <v>0.316666667</v>
      </c>
      <c r="E749" s="19">
        <v>43164.0</v>
      </c>
      <c r="F749" s="18" t="s">
        <v>81</v>
      </c>
      <c r="G749" s="18"/>
      <c r="H749" s="18"/>
      <c r="I749" s="18" t="s">
        <v>77</v>
      </c>
      <c r="J749" s="18"/>
      <c r="K749" s="20"/>
      <c r="L749" s="20"/>
      <c r="M749" s="20"/>
      <c r="N749" s="18"/>
    </row>
    <row r="750">
      <c r="A750" s="17" t="str">
        <f t="shared" si="1"/>
        <v>PD-1507</v>
      </c>
      <c r="B750" s="18" t="s">
        <v>114</v>
      </c>
      <c r="C750" s="18" t="s">
        <v>115</v>
      </c>
      <c r="D750" s="18">
        <v>0.116666667</v>
      </c>
      <c r="E750" s="19">
        <v>43164.0</v>
      </c>
      <c r="F750" s="18" t="s">
        <v>81</v>
      </c>
      <c r="G750" s="18"/>
      <c r="H750" s="18"/>
      <c r="I750" s="18" t="s">
        <v>116</v>
      </c>
      <c r="J750" s="18"/>
      <c r="K750" s="20"/>
      <c r="L750" s="20"/>
      <c r="M750" s="20"/>
      <c r="N750" s="18"/>
    </row>
    <row r="751">
      <c r="A751" s="17" t="str">
        <f t="shared" si="1"/>
        <v>PD-1540</v>
      </c>
      <c r="B751" s="18" t="s">
        <v>165</v>
      </c>
      <c r="C751" s="18" t="s">
        <v>166</v>
      </c>
      <c r="D751" s="18">
        <v>0.083333333</v>
      </c>
      <c r="E751" s="19">
        <v>43164.0</v>
      </c>
      <c r="F751" s="18" t="s">
        <v>81</v>
      </c>
      <c r="G751" s="18"/>
      <c r="H751" s="18" t="s">
        <v>167</v>
      </c>
      <c r="I751" s="18" t="s">
        <v>78</v>
      </c>
      <c r="J751" s="18"/>
      <c r="K751" s="20"/>
      <c r="L751" s="20"/>
      <c r="M751" s="20"/>
      <c r="N751" s="18"/>
    </row>
    <row r="752">
      <c r="A752" s="17" t="str">
        <f t="shared" si="1"/>
        <v>IV2-16</v>
      </c>
      <c r="B752" s="18" t="s">
        <v>350</v>
      </c>
      <c r="C752" s="18" t="s">
        <v>351</v>
      </c>
      <c r="D752" s="18">
        <v>1.133333333</v>
      </c>
      <c r="E752" s="19">
        <v>43164.0</v>
      </c>
      <c r="F752" s="18" t="s">
        <v>81</v>
      </c>
      <c r="G752" s="18"/>
      <c r="H752" s="18" t="s">
        <v>302</v>
      </c>
      <c r="I752" s="18" t="s">
        <v>81</v>
      </c>
      <c r="J752" s="18"/>
      <c r="K752" s="20"/>
      <c r="L752" s="20"/>
      <c r="M752" s="20"/>
      <c r="N752" s="18"/>
    </row>
    <row r="753">
      <c r="A753" s="17" t="str">
        <f t="shared" si="1"/>
        <v>PD-1587</v>
      </c>
      <c r="B753" s="18" t="s">
        <v>329</v>
      </c>
      <c r="C753" s="18" t="s">
        <v>106</v>
      </c>
      <c r="D753" s="18">
        <v>2.55</v>
      </c>
      <c r="E753" s="19">
        <v>43164.0</v>
      </c>
      <c r="F753" s="18" t="s">
        <v>81</v>
      </c>
      <c r="G753" s="18" t="s">
        <v>106</v>
      </c>
      <c r="H753" s="18"/>
      <c r="I753" s="18" t="s">
        <v>81</v>
      </c>
      <c r="J753" s="18"/>
      <c r="K753" s="20"/>
      <c r="L753" s="20"/>
      <c r="M753" s="20"/>
      <c r="N753" s="18"/>
    </row>
    <row r="754">
      <c r="A754" s="17" t="str">
        <f t="shared" si="1"/>
        <v>PD-1595</v>
      </c>
      <c r="B754" s="18" t="s">
        <v>104</v>
      </c>
      <c r="C754" s="18" t="s">
        <v>105</v>
      </c>
      <c r="D754" s="18">
        <v>0.316666667</v>
      </c>
      <c r="E754" s="19">
        <v>43164.0</v>
      </c>
      <c r="F754" s="18" t="s">
        <v>81</v>
      </c>
      <c r="G754" s="18"/>
      <c r="H754" s="18" t="s">
        <v>106</v>
      </c>
      <c r="I754" s="18" t="s">
        <v>81</v>
      </c>
      <c r="J754" s="18"/>
      <c r="K754" s="20"/>
      <c r="L754" s="20"/>
      <c r="M754" s="20"/>
      <c r="N754" s="18"/>
    </row>
    <row r="755">
      <c r="A755" s="17" t="str">
        <f t="shared" si="1"/>
        <v>PD-1440</v>
      </c>
      <c r="B755" s="18" t="s">
        <v>158</v>
      </c>
      <c r="C755" s="18" t="s">
        <v>159</v>
      </c>
      <c r="D755" s="18">
        <v>0.516666667</v>
      </c>
      <c r="E755" s="19">
        <v>43164.0</v>
      </c>
      <c r="F755" s="18" t="s">
        <v>81</v>
      </c>
      <c r="G755" s="18"/>
      <c r="H755" s="18"/>
      <c r="I755" s="18" t="s">
        <v>81</v>
      </c>
      <c r="J755" s="18"/>
      <c r="K755" s="20"/>
      <c r="L755" s="20"/>
      <c r="M755" s="20"/>
      <c r="N755" s="18"/>
    </row>
    <row r="756">
      <c r="A756" s="17" t="str">
        <f t="shared" si="1"/>
        <v>PD-1596</v>
      </c>
      <c r="B756" s="18" t="s">
        <v>450</v>
      </c>
      <c r="C756" s="18" t="s">
        <v>451</v>
      </c>
      <c r="D756" s="18">
        <v>1.7</v>
      </c>
      <c r="E756" s="19">
        <v>43164.0</v>
      </c>
      <c r="F756" s="18" t="s">
        <v>81</v>
      </c>
      <c r="G756" s="18"/>
      <c r="H756" s="18" t="s">
        <v>213</v>
      </c>
      <c r="I756" s="18" t="s">
        <v>81</v>
      </c>
      <c r="J756" s="18"/>
      <c r="K756" s="20"/>
      <c r="L756" s="20"/>
      <c r="M756" s="20"/>
      <c r="N756" s="18"/>
    </row>
    <row r="757">
      <c r="A757" s="17" t="str">
        <f t="shared" si="1"/>
        <v>PD-1588</v>
      </c>
      <c r="B757" s="18" t="s">
        <v>444</v>
      </c>
      <c r="C757" s="18" t="s">
        <v>445</v>
      </c>
      <c r="D757" s="18">
        <v>0.4</v>
      </c>
      <c r="E757" s="19">
        <v>43164.0</v>
      </c>
      <c r="F757" s="18" t="s">
        <v>81</v>
      </c>
      <c r="G757" s="18"/>
      <c r="H757" s="18" t="s">
        <v>106</v>
      </c>
      <c r="I757" s="18" t="s">
        <v>81</v>
      </c>
      <c r="J757" s="18"/>
      <c r="K757" s="20"/>
      <c r="L757" s="20"/>
      <c r="M757" s="20"/>
      <c r="N757" s="18"/>
    </row>
    <row r="758">
      <c r="A758" s="17" t="str">
        <f t="shared" si="1"/>
        <v>IOP-22</v>
      </c>
      <c r="B758" s="18" t="s">
        <v>216</v>
      </c>
      <c r="C758" s="18" t="s">
        <v>217</v>
      </c>
      <c r="D758" s="18">
        <v>1.0</v>
      </c>
      <c r="E758" s="19">
        <v>43164.0</v>
      </c>
      <c r="F758" s="18" t="s">
        <v>77</v>
      </c>
      <c r="G758" s="18"/>
      <c r="H758" s="18"/>
      <c r="I758" s="18" t="s">
        <v>190</v>
      </c>
      <c r="J758" s="18"/>
      <c r="K758" s="20"/>
      <c r="L758" s="20"/>
      <c r="M758" s="20"/>
      <c r="N758" s="18"/>
    </row>
    <row r="759">
      <c r="A759" s="17" t="str">
        <f t="shared" si="1"/>
        <v>IOP-40</v>
      </c>
      <c r="B759" s="18" t="s">
        <v>264</v>
      </c>
      <c r="C759" s="18" t="s">
        <v>265</v>
      </c>
      <c r="D759" s="18">
        <v>2.0</v>
      </c>
      <c r="E759" s="19">
        <v>43164.0</v>
      </c>
      <c r="F759" s="18" t="s">
        <v>77</v>
      </c>
      <c r="G759" s="18"/>
      <c r="H759" s="18"/>
      <c r="I759" s="18" t="s">
        <v>190</v>
      </c>
      <c r="J759" s="18"/>
      <c r="K759" s="20"/>
      <c r="L759" s="20"/>
      <c r="M759" s="20"/>
      <c r="N759" s="18"/>
    </row>
    <row r="760">
      <c r="A760" s="17" t="str">
        <f t="shared" si="1"/>
        <v>IOP-867</v>
      </c>
      <c r="B760" s="18" t="s">
        <v>143</v>
      </c>
      <c r="C760" s="18" t="s">
        <v>144</v>
      </c>
      <c r="D760" s="18">
        <v>1.0</v>
      </c>
      <c r="E760" s="19">
        <v>43165.0</v>
      </c>
      <c r="F760" s="18" t="s">
        <v>77</v>
      </c>
      <c r="G760" s="18"/>
      <c r="H760" s="18" t="s">
        <v>119</v>
      </c>
      <c r="I760" s="18" t="s">
        <v>120</v>
      </c>
      <c r="J760" s="18"/>
      <c r="K760" s="20"/>
      <c r="L760" s="20"/>
      <c r="M760" s="18"/>
      <c r="N760" s="18"/>
    </row>
    <row r="761">
      <c r="A761" s="17" t="str">
        <f t="shared" si="1"/>
        <v>IOP-867</v>
      </c>
      <c r="B761" s="18" t="s">
        <v>143</v>
      </c>
      <c r="C761" s="18" t="s">
        <v>144</v>
      </c>
      <c r="D761" s="18">
        <v>0.1</v>
      </c>
      <c r="E761" s="19">
        <v>43165.0</v>
      </c>
      <c r="F761" s="18" t="s">
        <v>81</v>
      </c>
      <c r="G761" s="18"/>
      <c r="H761" s="18" t="s">
        <v>119</v>
      </c>
      <c r="I761" s="18" t="s">
        <v>120</v>
      </c>
      <c r="J761" s="18"/>
      <c r="K761" s="20"/>
      <c r="L761" s="20"/>
      <c r="M761" s="18"/>
      <c r="N761" s="18"/>
    </row>
    <row r="762">
      <c r="A762" s="17" t="str">
        <f t="shared" si="1"/>
        <v>PD-1587</v>
      </c>
      <c r="B762" s="18" t="s">
        <v>329</v>
      </c>
      <c r="C762" s="18" t="s">
        <v>106</v>
      </c>
      <c r="D762" s="18">
        <v>1.2</v>
      </c>
      <c r="E762" s="19">
        <v>43165.0</v>
      </c>
      <c r="F762" s="18" t="s">
        <v>81</v>
      </c>
      <c r="G762" s="18" t="s">
        <v>106</v>
      </c>
      <c r="H762" s="18"/>
      <c r="I762" s="18" t="s">
        <v>81</v>
      </c>
      <c r="J762" s="18"/>
      <c r="K762" s="20"/>
      <c r="L762" s="18"/>
      <c r="M762" s="20"/>
      <c r="N762" s="18"/>
    </row>
    <row r="763">
      <c r="A763" s="17" t="str">
        <f t="shared" si="1"/>
        <v>PD-1595</v>
      </c>
      <c r="B763" s="18" t="s">
        <v>104</v>
      </c>
      <c r="C763" s="18" t="s">
        <v>105</v>
      </c>
      <c r="D763" s="18">
        <v>2.416666667</v>
      </c>
      <c r="E763" s="19">
        <v>43165.0</v>
      </c>
      <c r="F763" s="18" t="s">
        <v>81</v>
      </c>
      <c r="G763" s="18"/>
      <c r="H763" s="18" t="s">
        <v>106</v>
      </c>
      <c r="I763" s="18" t="s">
        <v>81</v>
      </c>
      <c r="J763" s="18"/>
      <c r="K763" s="20"/>
      <c r="L763" s="18"/>
      <c r="M763" s="20"/>
      <c r="N763" s="18"/>
    </row>
    <row r="764">
      <c r="A764" s="17" t="str">
        <f t="shared" si="1"/>
        <v>PD-1596</v>
      </c>
      <c r="B764" s="18" t="s">
        <v>450</v>
      </c>
      <c r="C764" s="18" t="s">
        <v>451</v>
      </c>
      <c r="D764" s="18">
        <v>2.366666667</v>
      </c>
      <c r="E764" s="19">
        <v>43165.0</v>
      </c>
      <c r="F764" s="18" t="s">
        <v>81</v>
      </c>
      <c r="G764" s="18"/>
      <c r="H764" s="18" t="s">
        <v>213</v>
      </c>
      <c r="I764" s="18" t="s">
        <v>81</v>
      </c>
      <c r="J764" s="18"/>
      <c r="K764" s="20"/>
      <c r="L764" s="20"/>
      <c r="M764" s="20"/>
      <c r="N764" s="18"/>
    </row>
    <row r="765">
      <c r="A765" s="17" t="str">
        <f t="shared" si="1"/>
        <v>IOP-866</v>
      </c>
      <c r="B765" s="18" t="s">
        <v>117</v>
      </c>
      <c r="C765" s="18" t="s">
        <v>118</v>
      </c>
      <c r="D765" s="18">
        <v>0.116666667</v>
      </c>
      <c r="E765" s="19">
        <v>43165.0</v>
      </c>
      <c r="F765" s="18" t="s">
        <v>81</v>
      </c>
      <c r="G765" s="18"/>
      <c r="H765" s="18" t="s">
        <v>119</v>
      </c>
      <c r="I765" s="18" t="s">
        <v>120</v>
      </c>
      <c r="J765" s="18"/>
      <c r="K765" s="20"/>
      <c r="L765" s="18"/>
      <c r="M765" s="20"/>
      <c r="N765" s="18"/>
    </row>
    <row r="766">
      <c r="A766" s="17" t="str">
        <f t="shared" si="1"/>
        <v>PD-1597</v>
      </c>
      <c r="B766" s="18" t="s">
        <v>452</v>
      </c>
      <c r="C766" s="18" t="s">
        <v>453</v>
      </c>
      <c r="D766" s="18">
        <v>1.216666667</v>
      </c>
      <c r="E766" s="19">
        <v>43165.0</v>
      </c>
      <c r="F766" s="18" t="s">
        <v>81</v>
      </c>
      <c r="G766" s="18"/>
      <c r="H766" s="18" t="s">
        <v>106</v>
      </c>
      <c r="I766" s="18" t="s">
        <v>81</v>
      </c>
      <c r="J766" s="18"/>
      <c r="K766" s="20"/>
      <c r="L766" s="18"/>
      <c r="M766" s="20"/>
      <c r="N766" s="18"/>
    </row>
    <row r="767">
      <c r="A767" s="17" t="str">
        <f t="shared" si="1"/>
        <v>PD-1598</v>
      </c>
      <c r="B767" s="18" t="s">
        <v>454</v>
      </c>
      <c r="C767" s="18" t="s">
        <v>455</v>
      </c>
      <c r="D767" s="18">
        <v>0.2</v>
      </c>
      <c r="E767" s="19">
        <v>43165.0</v>
      </c>
      <c r="F767" s="18" t="s">
        <v>81</v>
      </c>
      <c r="G767" s="18"/>
      <c r="H767" s="18" t="s">
        <v>106</v>
      </c>
      <c r="I767" s="18" t="s">
        <v>81</v>
      </c>
      <c r="J767" s="18"/>
      <c r="K767" s="20"/>
      <c r="L767" s="20"/>
      <c r="M767" s="20"/>
      <c r="N767" s="18"/>
    </row>
    <row r="768">
      <c r="A768" s="17" t="str">
        <f t="shared" si="1"/>
        <v>PD-1599</v>
      </c>
      <c r="B768" s="18" t="s">
        <v>456</v>
      </c>
      <c r="C768" s="18" t="s">
        <v>457</v>
      </c>
      <c r="D768" s="18">
        <v>0.15</v>
      </c>
      <c r="E768" s="19">
        <v>43165.0</v>
      </c>
      <c r="F768" s="18" t="s">
        <v>81</v>
      </c>
      <c r="G768" s="18"/>
      <c r="H768" s="18" t="s">
        <v>106</v>
      </c>
      <c r="I768" s="18" t="s">
        <v>81</v>
      </c>
      <c r="J768" s="18"/>
      <c r="K768" s="20"/>
      <c r="L768" s="20"/>
      <c r="M768" s="20"/>
      <c r="N768" s="18"/>
    </row>
    <row r="769">
      <c r="A769" s="17" t="str">
        <f t="shared" si="1"/>
        <v>PD-1600</v>
      </c>
      <c r="B769" s="18" t="s">
        <v>458</v>
      </c>
      <c r="C769" s="18" t="s">
        <v>459</v>
      </c>
      <c r="D769" s="18">
        <v>0.1</v>
      </c>
      <c r="E769" s="19">
        <v>43165.0</v>
      </c>
      <c r="F769" s="18" t="s">
        <v>81</v>
      </c>
      <c r="G769" s="18"/>
      <c r="H769" s="18" t="s">
        <v>106</v>
      </c>
      <c r="I769" s="18" t="s">
        <v>81</v>
      </c>
      <c r="J769" s="18"/>
      <c r="K769" s="20"/>
      <c r="L769" s="20"/>
      <c r="M769" s="20"/>
      <c r="N769" s="18"/>
    </row>
    <row r="770">
      <c r="A770" s="17" t="str">
        <f t="shared" si="1"/>
        <v>PD-1440</v>
      </c>
      <c r="B770" s="18" t="s">
        <v>158</v>
      </c>
      <c r="C770" s="18" t="s">
        <v>159</v>
      </c>
      <c r="D770" s="18">
        <v>0.466666667</v>
      </c>
      <c r="E770" s="19">
        <v>43165.0</v>
      </c>
      <c r="F770" s="18" t="s">
        <v>81</v>
      </c>
      <c r="G770" s="18"/>
      <c r="H770" s="18"/>
      <c r="I770" s="18" t="s">
        <v>81</v>
      </c>
      <c r="J770" s="18"/>
      <c r="K770" s="20"/>
      <c r="L770" s="20"/>
      <c r="M770" s="20"/>
      <c r="N770" s="18"/>
    </row>
    <row r="771">
      <c r="A771" s="17" t="str">
        <f t="shared" si="1"/>
        <v>IOP-875</v>
      </c>
      <c r="B771" s="18" t="s">
        <v>123</v>
      </c>
      <c r="C771" s="18" t="s">
        <v>124</v>
      </c>
      <c r="D771" s="18">
        <v>3.233333333</v>
      </c>
      <c r="E771" s="19">
        <v>43166.0</v>
      </c>
      <c r="F771" s="18" t="s">
        <v>81</v>
      </c>
      <c r="G771" s="18"/>
      <c r="H771" s="18" t="s">
        <v>125</v>
      </c>
      <c r="I771" s="18" t="s">
        <v>120</v>
      </c>
      <c r="J771" s="18"/>
      <c r="K771" s="20"/>
      <c r="L771" s="20"/>
      <c r="M771" s="20"/>
      <c r="N771" s="18"/>
    </row>
    <row r="772">
      <c r="A772" s="17" t="str">
        <f t="shared" si="1"/>
        <v>IOP-867</v>
      </c>
      <c r="B772" s="18" t="s">
        <v>143</v>
      </c>
      <c r="C772" s="18" t="s">
        <v>144</v>
      </c>
      <c r="D772" s="18">
        <v>0.2</v>
      </c>
      <c r="E772" s="19">
        <v>43166.0</v>
      </c>
      <c r="F772" s="18" t="s">
        <v>81</v>
      </c>
      <c r="G772" s="18"/>
      <c r="H772" s="18" t="s">
        <v>119</v>
      </c>
      <c r="I772" s="18" t="s">
        <v>120</v>
      </c>
      <c r="J772" s="18"/>
      <c r="K772" s="20"/>
      <c r="L772" s="20"/>
      <c r="M772" s="20"/>
      <c r="N772" s="18"/>
    </row>
    <row r="773">
      <c r="A773" s="17" t="str">
        <f t="shared" si="1"/>
        <v>IOP-866</v>
      </c>
      <c r="B773" s="18" t="s">
        <v>117</v>
      </c>
      <c r="C773" s="18" t="s">
        <v>118</v>
      </c>
      <c r="D773" s="18">
        <v>0.15</v>
      </c>
      <c r="E773" s="19">
        <v>43166.0</v>
      </c>
      <c r="F773" s="18" t="s">
        <v>81</v>
      </c>
      <c r="G773" s="18"/>
      <c r="H773" s="18" t="s">
        <v>119</v>
      </c>
      <c r="I773" s="18" t="s">
        <v>120</v>
      </c>
      <c r="J773" s="18"/>
      <c r="K773" s="20"/>
      <c r="L773" s="20"/>
      <c r="M773" s="20"/>
      <c r="N773" s="18"/>
    </row>
    <row r="774">
      <c r="A774" s="17" t="str">
        <f t="shared" si="1"/>
        <v>PD-1596</v>
      </c>
      <c r="B774" s="18" t="s">
        <v>450</v>
      </c>
      <c r="C774" s="18" t="s">
        <v>451</v>
      </c>
      <c r="D774" s="18">
        <v>1.716666667</v>
      </c>
      <c r="E774" s="19">
        <v>43166.0</v>
      </c>
      <c r="F774" s="18" t="s">
        <v>81</v>
      </c>
      <c r="G774" s="18"/>
      <c r="H774" s="18" t="s">
        <v>213</v>
      </c>
      <c r="I774" s="18" t="s">
        <v>81</v>
      </c>
      <c r="J774" s="18"/>
      <c r="K774" s="20"/>
      <c r="L774" s="20"/>
      <c r="M774" s="20"/>
      <c r="N774" s="18"/>
    </row>
    <row r="775">
      <c r="A775" s="17" t="str">
        <f t="shared" si="1"/>
        <v>PD-1587</v>
      </c>
      <c r="B775" s="18" t="s">
        <v>329</v>
      </c>
      <c r="C775" s="18" t="s">
        <v>106</v>
      </c>
      <c r="D775" s="18">
        <v>0.133333333</v>
      </c>
      <c r="E775" s="19">
        <v>43166.0</v>
      </c>
      <c r="F775" s="18" t="s">
        <v>81</v>
      </c>
      <c r="G775" s="18" t="s">
        <v>106</v>
      </c>
      <c r="H775" s="18"/>
      <c r="I775" s="18" t="s">
        <v>81</v>
      </c>
      <c r="J775" s="18"/>
      <c r="K775" s="20"/>
      <c r="L775" s="20"/>
      <c r="M775" s="20"/>
      <c r="N775" s="18"/>
    </row>
    <row r="776">
      <c r="A776" s="17" t="str">
        <f t="shared" si="1"/>
        <v>IOP-879</v>
      </c>
      <c r="B776" s="18" t="s">
        <v>155</v>
      </c>
      <c r="C776" s="18" t="s">
        <v>156</v>
      </c>
      <c r="D776" s="18">
        <v>1.016666667</v>
      </c>
      <c r="E776" s="19">
        <v>43166.0</v>
      </c>
      <c r="F776" s="18" t="s">
        <v>81</v>
      </c>
      <c r="G776" s="18"/>
      <c r="H776" s="18" t="s">
        <v>157</v>
      </c>
      <c r="I776" s="18" t="s">
        <v>120</v>
      </c>
      <c r="J776" s="18"/>
      <c r="K776" s="20"/>
      <c r="L776" s="18"/>
      <c r="M776" s="20"/>
      <c r="N776" s="18"/>
    </row>
    <row r="777">
      <c r="A777" s="17" t="str">
        <f t="shared" si="1"/>
        <v>PD-1595</v>
      </c>
      <c r="B777" s="18" t="s">
        <v>104</v>
      </c>
      <c r="C777" s="18" t="s">
        <v>105</v>
      </c>
      <c r="D777" s="18">
        <v>1.483333333</v>
      </c>
      <c r="E777" s="19">
        <v>43166.0</v>
      </c>
      <c r="F777" s="18" t="s">
        <v>81</v>
      </c>
      <c r="G777" s="18"/>
      <c r="H777" s="18" t="s">
        <v>106</v>
      </c>
      <c r="I777" s="18" t="s">
        <v>81</v>
      </c>
      <c r="J777" s="18"/>
      <c r="K777" s="20"/>
      <c r="L777" s="18"/>
      <c r="M777" s="20"/>
      <c r="N777" s="18"/>
    </row>
    <row r="778">
      <c r="A778" s="17" t="str">
        <f t="shared" si="1"/>
        <v>IOP-866</v>
      </c>
      <c r="B778" s="18" t="s">
        <v>117</v>
      </c>
      <c r="C778" s="18" t="s">
        <v>118</v>
      </c>
      <c r="D778" s="18">
        <v>0.016666667</v>
      </c>
      <c r="E778" s="19">
        <v>43167.0</v>
      </c>
      <c r="F778" s="18" t="s">
        <v>81</v>
      </c>
      <c r="G778" s="18"/>
      <c r="H778" s="18" t="s">
        <v>119</v>
      </c>
      <c r="I778" s="18" t="s">
        <v>120</v>
      </c>
      <c r="J778" s="18"/>
      <c r="K778" s="20"/>
      <c r="L778" s="18"/>
      <c r="M778" s="20"/>
      <c r="N778" s="18"/>
    </row>
    <row r="779">
      <c r="A779" s="17" t="str">
        <f t="shared" si="1"/>
        <v>PD-1596</v>
      </c>
      <c r="B779" s="18" t="s">
        <v>450</v>
      </c>
      <c r="C779" s="18" t="s">
        <v>451</v>
      </c>
      <c r="D779" s="18">
        <v>0.766666667</v>
      </c>
      <c r="E779" s="19">
        <v>43167.0</v>
      </c>
      <c r="F779" s="18" t="s">
        <v>81</v>
      </c>
      <c r="G779" s="18"/>
      <c r="H779" s="18" t="s">
        <v>213</v>
      </c>
      <c r="I779" s="18" t="s">
        <v>81</v>
      </c>
      <c r="J779" s="18"/>
      <c r="K779" s="20"/>
      <c r="L779" s="18"/>
      <c r="M779" s="20"/>
      <c r="N779" s="18"/>
    </row>
    <row r="780">
      <c r="A780" s="17" t="str">
        <f t="shared" si="1"/>
        <v>PD-1595</v>
      </c>
      <c r="B780" s="18" t="s">
        <v>104</v>
      </c>
      <c r="C780" s="18" t="s">
        <v>105</v>
      </c>
      <c r="D780" s="18">
        <v>5.45</v>
      </c>
      <c r="E780" s="19">
        <v>43167.0</v>
      </c>
      <c r="F780" s="18" t="s">
        <v>81</v>
      </c>
      <c r="G780" s="18"/>
      <c r="H780" s="18" t="s">
        <v>106</v>
      </c>
      <c r="I780" s="18" t="s">
        <v>81</v>
      </c>
      <c r="J780" s="18"/>
      <c r="K780" s="20"/>
      <c r="L780" s="18"/>
      <c r="M780" s="20"/>
      <c r="N780" s="18"/>
    </row>
    <row r="781">
      <c r="A781" s="17" t="str">
        <f t="shared" si="1"/>
        <v>PD-1502</v>
      </c>
      <c r="B781" s="18" t="s">
        <v>99</v>
      </c>
      <c r="C781" s="18" t="s">
        <v>100</v>
      </c>
      <c r="D781" s="18">
        <v>0.266666667</v>
      </c>
      <c r="E781" s="19">
        <v>43167.0</v>
      </c>
      <c r="F781" s="18" t="s">
        <v>81</v>
      </c>
      <c r="G781" s="18"/>
      <c r="H781" s="18" t="s">
        <v>101</v>
      </c>
      <c r="I781" s="18" t="s">
        <v>93</v>
      </c>
      <c r="J781" s="18"/>
      <c r="K781" s="20"/>
      <c r="L781" s="18"/>
      <c r="M781" s="20"/>
      <c r="N781" s="18"/>
    </row>
    <row r="782">
      <c r="A782" s="17" t="str">
        <f t="shared" si="1"/>
        <v>PD-1588</v>
      </c>
      <c r="B782" s="18" t="s">
        <v>444</v>
      </c>
      <c r="C782" s="18" t="s">
        <v>445</v>
      </c>
      <c r="D782" s="18">
        <v>0.35</v>
      </c>
      <c r="E782" s="19">
        <v>43167.0</v>
      </c>
      <c r="F782" s="18" t="s">
        <v>81</v>
      </c>
      <c r="G782" s="18"/>
      <c r="H782" s="18" t="s">
        <v>106</v>
      </c>
      <c r="I782" s="18" t="s">
        <v>81</v>
      </c>
      <c r="J782" s="18"/>
      <c r="K782" s="20"/>
      <c r="L782" s="18"/>
      <c r="M782" s="20"/>
      <c r="N782" s="18"/>
    </row>
    <row r="783">
      <c r="A783" s="17" t="str">
        <f t="shared" si="1"/>
        <v>PD-1562</v>
      </c>
      <c r="B783" s="18" t="s">
        <v>460</v>
      </c>
      <c r="C783" s="18" t="s">
        <v>154</v>
      </c>
      <c r="D783" s="18">
        <v>0.083333333</v>
      </c>
      <c r="E783" s="19">
        <v>43167.0</v>
      </c>
      <c r="F783" s="18" t="s">
        <v>81</v>
      </c>
      <c r="G783" s="18"/>
      <c r="H783" s="18"/>
      <c r="I783" s="18" t="s">
        <v>81</v>
      </c>
      <c r="J783" s="18"/>
      <c r="K783" s="20"/>
      <c r="L783" s="18"/>
      <c r="M783" s="20"/>
      <c r="N783" s="18"/>
    </row>
    <row r="784">
      <c r="A784" s="17" t="str">
        <f t="shared" si="1"/>
        <v>PD-1577</v>
      </c>
      <c r="B784" s="18" t="s">
        <v>461</v>
      </c>
      <c r="C784" s="18" t="s">
        <v>462</v>
      </c>
      <c r="D784" s="18">
        <v>0.033333333</v>
      </c>
      <c r="E784" s="19">
        <v>43167.0</v>
      </c>
      <c r="F784" s="18" t="s">
        <v>81</v>
      </c>
      <c r="G784" s="18"/>
      <c r="H784" s="18"/>
      <c r="I784" s="18" t="s">
        <v>81</v>
      </c>
      <c r="J784" s="18"/>
      <c r="K784" s="20"/>
      <c r="L784" s="18"/>
      <c r="M784" s="20"/>
      <c r="N784" s="18"/>
    </row>
    <row r="785">
      <c r="A785" s="17" t="str">
        <f t="shared" si="1"/>
        <v>PD-1585</v>
      </c>
      <c r="B785" s="18" t="s">
        <v>463</v>
      </c>
      <c r="C785" s="18" t="s">
        <v>449</v>
      </c>
      <c r="D785" s="18">
        <v>0.15</v>
      </c>
      <c r="E785" s="19">
        <v>43167.0</v>
      </c>
      <c r="F785" s="18" t="s">
        <v>81</v>
      </c>
      <c r="G785" s="18"/>
      <c r="H785" s="18"/>
      <c r="I785" s="18" t="s">
        <v>81</v>
      </c>
      <c r="J785" s="18"/>
      <c r="K785" s="20"/>
      <c r="L785" s="18"/>
      <c r="M785" s="20"/>
      <c r="N785" s="18"/>
    </row>
    <row r="786">
      <c r="A786" s="17" t="str">
        <f t="shared" si="1"/>
        <v>IOP-867</v>
      </c>
      <c r="B786" s="18" t="s">
        <v>143</v>
      </c>
      <c r="C786" s="18" t="s">
        <v>144</v>
      </c>
      <c r="D786" s="18">
        <v>0.05</v>
      </c>
      <c r="E786" s="19">
        <v>43168.0</v>
      </c>
      <c r="F786" s="18" t="s">
        <v>81</v>
      </c>
      <c r="G786" s="18"/>
      <c r="H786" s="18" t="s">
        <v>119</v>
      </c>
      <c r="I786" s="18" t="s">
        <v>120</v>
      </c>
      <c r="J786" s="18"/>
      <c r="K786" s="20"/>
      <c r="L786" s="18"/>
      <c r="M786" s="20"/>
      <c r="N786" s="18"/>
    </row>
    <row r="787">
      <c r="A787" s="17" t="str">
        <f t="shared" si="1"/>
        <v>IOP-866</v>
      </c>
      <c r="B787" s="18" t="s">
        <v>117</v>
      </c>
      <c r="C787" s="18" t="s">
        <v>118</v>
      </c>
      <c r="D787" s="18">
        <v>0.033333333</v>
      </c>
      <c r="E787" s="19">
        <v>43168.0</v>
      </c>
      <c r="F787" s="18" t="s">
        <v>81</v>
      </c>
      <c r="G787" s="18"/>
      <c r="H787" s="18" t="s">
        <v>119</v>
      </c>
      <c r="I787" s="18" t="s">
        <v>120</v>
      </c>
      <c r="J787" s="18"/>
      <c r="K787" s="20"/>
      <c r="L787" s="18"/>
      <c r="M787" s="20"/>
      <c r="N787" s="18"/>
    </row>
    <row r="788">
      <c r="A788" s="17" t="str">
        <f t="shared" si="1"/>
        <v>PD-1592</v>
      </c>
      <c r="B788" s="18" t="s">
        <v>464</v>
      </c>
      <c r="C788" s="18" t="s">
        <v>465</v>
      </c>
      <c r="D788" s="18">
        <v>0.316666667</v>
      </c>
      <c r="E788" s="19">
        <v>43168.0</v>
      </c>
      <c r="F788" s="18" t="s">
        <v>81</v>
      </c>
      <c r="G788" s="18"/>
      <c r="H788" s="18"/>
      <c r="I788" s="18" t="s">
        <v>81</v>
      </c>
      <c r="J788" s="18"/>
      <c r="K788" s="20"/>
      <c r="L788" s="18"/>
      <c r="M788" s="20"/>
      <c r="N788" s="18"/>
    </row>
    <row r="789">
      <c r="A789" s="17" t="str">
        <f t="shared" si="1"/>
        <v>PD-1469</v>
      </c>
      <c r="B789" s="18" t="s">
        <v>466</v>
      </c>
      <c r="C789" s="18" t="s">
        <v>467</v>
      </c>
      <c r="D789" s="18">
        <v>0.266666667</v>
      </c>
      <c r="E789" s="19">
        <v>43168.0</v>
      </c>
      <c r="F789" s="18" t="s">
        <v>81</v>
      </c>
      <c r="G789" s="18"/>
      <c r="H789" s="18" t="s">
        <v>101</v>
      </c>
      <c r="I789" s="18" t="s">
        <v>89</v>
      </c>
      <c r="J789" s="18"/>
      <c r="K789" s="20"/>
      <c r="L789" s="18"/>
      <c r="M789" s="20"/>
      <c r="N789" s="18"/>
    </row>
    <row r="790">
      <c r="A790" s="17" t="str">
        <f t="shared" si="1"/>
        <v>IOP-867</v>
      </c>
      <c r="B790" s="18" t="s">
        <v>143</v>
      </c>
      <c r="C790" s="18" t="s">
        <v>144</v>
      </c>
      <c r="D790" s="18">
        <v>0.1</v>
      </c>
      <c r="E790" s="19">
        <v>43171.0</v>
      </c>
      <c r="F790" s="18" t="s">
        <v>81</v>
      </c>
      <c r="G790" s="18"/>
      <c r="H790" s="18" t="s">
        <v>119</v>
      </c>
      <c r="I790" s="18" t="s">
        <v>120</v>
      </c>
      <c r="J790" s="18"/>
      <c r="K790" s="20"/>
      <c r="L790" s="20"/>
      <c r="M790" s="20"/>
      <c r="N790" s="18"/>
    </row>
    <row r="791">
      <c r="A791" s="17" t="str">
        <f t="shared" si="1"/>
        <v>IOP-866</v>
      </c>
      <c r="B791" s="18" t="s">
        <v>117</v>
      </c>
      <c r="C791" s="18" t="s">
        <v>118</v>
      </c>
      <c r="D791" s="18">
        <v>0.083333333</v>
      </c>
      <c r="E791" s="19">
        <v>43171.0</v>
      </c>
      <c r="F791" s="18" t="s">
        <v>81</v>
      </c>
      <c r="G791" s="18"/>
      <c r="H791" s="18" t="s">
        <v>119</v>
      </c>
      <c r="I791" s="18" t="s">
        <v>120</v>
      </c>
      <c r="J791" s="18"/>
      <c r="K791" s="20"/>
      <c r="L791" s="20"/>
      <c r="M791" s="18"/>
      <c r="N791" s="18"/>
    </row>
    <row r="792">
      <c r="A792" s="17" t="str">
        <f t="shared" si="1"/>
        <v>PD-1587</v>
      </c>
      <c r="B792" s="18" t="s">
        <v>329</v>
      </c>
      <c r="C792" s="18" t="s">
        <v>106</v>
      </c>
      <c r="D792" s="18">
        <v>0.2</v>
      </c>
      <c r="E792" s="19">
        <v>43171.0</v>
      </c>
      <c r="F792" s="18" t="s">
        <v>81</v>
      </c>
      <c r="G792" s="18" t="s">
        <v>106</v>
      </c>
      <c r="H792" s="18"/>
      <c r="I792" s="18" t="s">
        <v>81</v>
      </c>
      <c r="J792" s="18"/>
      <c r="K792" s="20"/>
      <c r="L792" s="20"/>
      <c r="M792" s="18"/>
      <c r="N792" s="18"/>
    </row>
    <row r="793">
      <c r="A793" s="17" t="str">
        <f t="shared" si="1"/>
        <v>PD-1596</v>
      </c>
      <c r="B793" s="18" t="s">
        <v>450</v>
      </c>
      <c r="C793" s="18" t="s">
        <v>451</v>
      </c>
      <c r="D793" s="18">
        <v>0.366666667</v>
      </c>
      <c r="E793" s="19">
        <v>43171.0</v>
      </c>
      <c r="F793" s="18" t="s">
        <v>81</v>
      </c>
      <c r="G793" s="18"/>
      <c r="H793" s="18" t="s">
        <v>213</v>
      </c>
      <c r="I793" s="18" t="s">
        <v>81</v>
      </c>
      <c r="J793" s="18"/>
      <c r="K793" s="20"/>
      <c r="L793" s="18"/>
      <c r="M793" s="20"/>
      <c r="N793" s="18"/>
    </row>
    <row r="794">
      <c r="A794" s="17" t="str">
        <f t="shared" si="1"/>
        <v>PD-1595</v>
      </c>
      <c r="B794" s="18" t="s">
        <v>104</v>
      </c>
      <c r="C794" s="18" t="s">
        <v>105</v>
      </c>
      <c r="D794" s="18">
        <v>1.533333333</v>
      </c>
      <c r="E794" s="19">
        <v>43171.0</v>
      </c>
      <c r="F794" s="18" t="s">
        <v>81</v>
      </c>
      <c r="G794" s="18"/>
      <c r="H794" s="18" t="s">
        <v>106</v>
      </c>
      <c r="I794" s="18" t="s">
        <v>81</v>
      </c>
      <c r="J794" s="18"/>
      <c r="K794" s="20"/>
      <c r="L794" s="18"/>
      <c r="M794" s="20"/>
      <c r="N794" s="18"/>
    </row>
    <row r="795">
      <c r="A795" s="17" t="str">
        <f t="shared" si="1"/>
        <v>IOP-867</v>
      </c>
      <c r="B795" s="18" t="s">
        <v>143</v>
      </c>
      <c r="C795" s="18" t="s">
        <v>144</v>
      </c>
      <c r="D795" s="18">
        <v>0.216666667</v>
      </c>
      <c r="E795" s="19">
        <v>43172.0</v>
      </c>
      <c r="F795" s="18" t="s">
        <v>81</v>
      </c>
      <c r="G795" s="18"/>
      <c r="H795" s="18" t="s">
        <v>119</v>
      </c>
      <c r="I795" s="18" t="s">
        <v>120</v>
      </c>
      <c r="J795" s="18"/>
      <c r="K795" s="20"/>
      <c r="L795" s="18"/>
      <c r="M795" s="20"/>
      <c r="N795" s="18"/>
    </row>
    <row r="796">
      <c r="A796" s="17" t="str">
        <f t="shared" si="1"/>
        <v>IOP-866</v>
      </c>
      <c r="B796" s="18" t="s">
        <v>117</v>
      </c>
      <c r="C796" s="18" t="s">
        <v>118</v>
      </c>
      <c r="D796" s="18">
        <v>0.116666667</v>
      </c>
      <c r="E796" s="19">
        <v>43172.0</v>
      </c>
      <c r="F796" s="18" t="s">
        <v>81</v>
      </c>
      <c r="G796" s="18"/>
      <c r="H796" s="18" t="s">
        <v>119</v>
      </c>
      <c r="I796" s="18" t="s">
        <v>120</v>
      </c>
      <c r="J796" s="18"/>
      <c r="K796" s="20"/>
      <c r="L796" s="18"/>
      <c r="M796" s="20"/>
      <c r="N796" s="18"/>
    </row>
    <row r="797">
      <c r="A797" s="17" t="str">
        <f t="shared" si="1"/>
        <v>PD-1573</v>
      </c>
      <c r="B797" s="18" t="s">
        <v>162</v>
      </c>
      <c r="C797" s="18" t="s">
        <v>163</v>
      </c>
      <c r="D797" s="18">
        <v>0.25</v>
      </c>
      <c r="E797" s="19">
        <v>43172.0</v>
      </c>
      <c r="F797" s="18" t="s">
        <v>81</v>
      </c>
      <c r="G797" s="18"/>
      <c r="H797" s="18" t="s">
        <v>164</v>
      </c>
      <c r="I797" s="18" t="s">
        <v>77</v>
      </c>
      <c r="J797" s="18"/>
      <c r="K797" s="20"/>
      <c r="L797" s="18"/>
      <c r="M797" s="20"/>
      <c r="N797" s="18"/>
    </row>
    <row r="798">
      <c r="A798" s="17" t="str">
        <f t="shared" si="1"/>
        <v>PD-1595</v>
      </c>
      <c r="B798" s="18" t="s">
        <v>104</v>
      </c>
      <c r="C798" s="18" t="s">
        <v>105</v>
      </c>
      <c r="D798" s="18">
        <v>4.15</v>
      </c>
      <c r="E798" s="19">
        <v>43172.0</v>
      </c>
      <c r="F798" s="18" t="s">
        <v>81</v>
      </c>
      <c r="G798" s="18"/>
      <c r="H798" s="18" t="s">
        <v>106</v>
      </c>
      <c r="I798" s="18" t="s">
        <v>81</v>
      </c>
      <c r="J798" s="18"/>
      <c r="K798" s="20"/>
      <c r="L798" s="18"/>
      <c r="M798" s="20"/>
      <c r="N798" s="18"/>
    </row>
    <row r="799">
      <c r="A799" s="17" t="str">
        <f t="shared" si="1"/>
        <v>PD-1597</v>
      </c>
      <c r="B799" s="18" t="s">
        <v>452</v>
      </c>
      <c r="C799" s="18" t="s">
        <v>453</v>
      </c>
      <c r="D799" s="18">
        <v>2.416666667</v>
      </c>
      <c r="E799" s="19">
        <v>43172.0</v>
      </c>
      <c r="F799" s="18" t="s">
        <v>81</v>
      </c>
      <c r="G799" s="18"/>
      <c r="H799" s="18" t="s">
        <v>106</v>
      </c>
      <c r="I799" s="18" t="s">
        <v>81</v>
      </c>
      <c r="J799" s="18"/>
      <c r="K799" s="20"/>
      <c r="L799" s="18"/>
      <c r="M799" s="20"/>
      <c r="N799" s="18"/>
    </row>
    <row r="800">
      <c r="A800" s="17" t="str">
        <f t="shared" si="1"/>
        <v>IOP-867</v>
      </c>
      <c r="B800" s="18" t="s">
        <v>143</v>
      </c>
      <c r="C800" s="18" t="s">
        <v>144</v>
      </c>
      <c r="D800" s="18">
        <v>0.1</v>
      </c>
      <c r="E800" s="19">
        <v>43173.0</v>
      </c>
      <c r="F800" s="18" t="s">
        <v>81</v>
      </c>
      <c r="G800" s="18"/>
      <c r="H800" s="18" t="s">
        <v>119</v>
      </c>
      <c r="I800" s="18" t="s">
        <v>120</v>
      </c>
      <c r="J800" s="18"/>
      <c r="K800" s="20"/>
      <c r="L800" s="18"/>
      <c r="M800" s="20"/>
      <c r="N800" s="18"/>
    </row>
    <row r="801">
      <c r="A801" s="17" t="str">
        <f t="shared" si="1"/>
        <v>PD-1597</v>
      </c>
      <c r="B801" s="18" t="s">
        <v>452</v>
      </c>
      <c r="C801" s="18" t="s">
        <v>453</v>
      </c>
      <c r="D801" s="18">
        <v>3.533333333</v>
      </c>
      <c r="E801" s="19">
        <v>43173.0</v>
      </c>
      <c r="F801" s="18" t="s">
        <v>81</v>
      </c>
      <c r="G801" s="18"/>
      <c r="H801" s="18" t="s">
        <v>106</v>
      </c>
      <c r="I801" s="18" t="s">
        <v>81</v>
      </c>
      <c r="J801" s="18"/>
      <c r="K801" s="20"/>
      <c r="L801" s="20"/>
      <c r="M801" s="20"/>
      <c r="N801" s="18"/>
    </row>
    <row r="802">
      <c r="A802" s="17" t="str">
        <f t="shared" si="1"/>
        <v>IOP-866</v>
      </c>
      <c r="B802" s="18" t="s">
        <v>117</v>
      </c>
      <c r="C802" s="18" t="s">
        <v>118</v>
      </c>
      <c r="D802" s="18">
        <v>0.116666667</v>
      </c>
      <c r="E802" s="19">
        <v>43173.0</v>
      </c>
      <c r="F802" s="18" t="s">
        <v>81</v>
      </c>
      <c r="G802" s="18"/>
      <c r="H802" s="18" t="s">
        <v>119</v>
      </c>
      <c r="I802" s="18" t="s">
        <v>120</v>
      </c>
      <c r="J802" s="18"/>
      <c r="K802" s="20"/>
      <c r="L802" s="18"/>
      <c r="M802" s="20"/>
      <c r="N802" s="18"/>
    </row>
    <row r="803">
      <c r="A803" s="17" t="str">
        <f t="shared" si="1"/>
        <v>PD-1596</v>
      </c>
      <c r="B803" s="18" t="s">
        <v>450</v>
      </c>
      <c r="C803" s="18" t="s">
        <v>451</v>
      </c>
      <c r="D803" s="18">
        <v>0.116666667</v>
      </c>
      <c r="E803" s="19">
        <v>43173.0</v>
      </c>
      <c r="F803" s="18" t="s">
        <v>81</v>
      </c>
      <c r="G803" s="18"/>
      <c r="H803" s="18" t="s">
        <v>213</v>
      </c>
      <c r="I803" s="18" t="s">
        <v>81</v>
      </c>
      <c r="J803" s="18"/>
      <c r="K803" s="20"/>
      <c r="L803" s="18"/>
      <c r="M803" s="20"/>
      <c r="N803" s="18"/>
    </row>
    <row r="804">
      <c r="A804" s="17" t="str">
        <f t="shared" si="1"/>
        <v>PD-1573</v>
      </c>
      <c r="B804" s="18" t="s">
        <v>162</v>
      </c>
      <c r="C804" s="18" t="s">
        <v>163</v>
      </c>
      <c r="D804" s="18">
        <v>0.9</v>
      </c>
      <c r="E804" s="19">
        <v>43173.0</v>
      </c>
      <c r="F804" s="18" t="s">
        <v>81</v>
      </c>
      <c r="G804" s="18"/>
      <c r="H804" s="18" t="s">
        <v>164</v>
      </c>
      <c r="I804" s="18" t="s">
        <v>77</v>
      </c>
      <c r="J804" s="18"/>
      <c r="K804" s="20"/>
      <c r="L804" s="18"/>
      <c r="M804" s="20"/>
      <c r="N804" s="18"/>
    </row>
    <row r="805">
      <c r="A805" s="17" t="str">
        <f t="shared" si="1"/>
        <v>IOP-879</v>
      </c>
      <c r="B805" s="18" t="s">
        <v>155</v>
      </c>
      <c r="C805" s="18" t="s">
        <v>156</v>
      </c>
      <c r="D805" s="18">
        <v>1.066666667</v>
      </c>
      <c r="E805" s="19">
        <v>43173.0</v>
      </c>
      <c r="F805" s="18" t="s">
        <v>81</v>
      </c>
      <c r="G805" s="18"/>
      <c r="H805" s="18" t="s">
        <v>157</v>
      </c>
      <c r="I805" s="18" t="s">
        <v>120</v>
      </c>
      <c r="J805" s="18"/>
      <c r="K805" s="20"/>
      <c r="L805" s="20"/>
      <c r="M805" s="20"/>
      <c r="N805" s="18"/>
    </row>
    <row r="806">
      <c r="A806" s="17" t="str">
        <f t="shared" si="1"/>
        <v>IOP-867</v>
      </c>
      <c r="B806" s="18" t="s">
        <v>143</v>
      </c>
      <c r="C806" s="18" t="s">
        <v>144</v>
      </c>
      <c r="D806" s="18">
        <v>0.1</v>
      </c>
      <c r="E806" s="19">
        <v>43174.0</v>
      </c>
      <c r="F806" s="18" t="s">
        <v>81</v>
      </c>
      <c r="G806" s="18"/>
      <c r="H806" s="18" t="s">
        <v>119</v>
      </c>
      <c r="I806" s="18" t="s">
        <v>120</v>
      </c>
      <c r="J806" s="18"/>
      <c r="K806" s="20"/>
      <c r="L806" s="20"/>
      <c r="M806" s="20"/>
      <c r="N806" s="18"/>
    </row>
    <row r="807">
      <c r="A807" s="17" t="str">
        <f t="shared" si="1"/>
        <v>IOP-866</v>
      </c>
      <c r="B807" s="18" t="s">
        <v>117</v>
      </c>
      <c r="C807" s="18" t="s">
        <v>118</v>
      </c>
      <c r="D807" s="18">
        <v>0.15</v>
      </c>
      <c r="E807" s="19">
        <v>43174.0</v>
      </c>
      <c r="F807" s="18" t="s">
        <v>81</v>
      </c>
      <c r="G807" s="18"/>
      <c r="H807" s="18" t="s">
        <v>119</v>
      </c>
      <c r="I807" s="18" t="s">
        <v>120</v>
      </c>
      <c r="J807" s="18"/>
      <c r="K807" s="20"/>
      <c r="L807" s="18"/>
      <c r="M807" s="20"/>
      <c r="N807" s="18"/>
    </row>
    <row r="808">
      <c r="A808" s="17" t="str">
        <f t="shared" si="1"/>
        <v>PD-1597</v>
      </c>
      <c r="B808" s="18" t="s">
        <v>452</v>
      </c>
      <c r="C808" s="18" t="s">
        <v>453</v>
      </c>
      <c r="D808" s="18">
        <v>6.416666667</v>
      </c>
      <c r="E808" s="19">
        <v>43174.0</v>
      </c>
      <c r="F808" s="18" t="s">
        <v>81</v>
      </c>
      <c r="G808" s="18"/>
      <c r="H808" s="18" t="s">
        <v>106</v>
      </c>
      <c r="I808" s="18" t="s">
        <v>81</v>
      </c>
      <c r="J808" s="18"/>
      <c r="K808" s="20"/>
      <c r="L808" s="18"/>
      <c r="M808" s="20"/>
      <c r="N808" s="18"/>
    </row>
    <row r="809">
      <c r="A809" s="17" t="str">
        <f t="shared" si="1"/>
        <v>PD-1573</v>
      </c>
      <c r="B809" s="18" t="s">
        <v>162</v>
      </c>
      <c r="C809" s="18" t="s">
        <v>163</v>
      </c>
      <c r="D809" s="18">
        <v>0.833333333</v>
      </c>
      <c r="E809" s="19">
        <v>43174.0</v>
      </c>
      <c r="F809" s="18" t="s">
        <v>81</v>
      </c>
      <c r="G809" s="18"/>
      <c r="H809" s="18" t="s">
        <v>164</v>
      </c>
      <c r="I809" s="18" t="s">
        <v>77</v>
      </c>
      <c r="J809" s="18"/>
      <c r="K809" s="20"/>
      <c r="L809" s="18"/>
      <c r="M809" s="20"/>
      <c r="N809" s="18"/>
    </row>
    <row r="810">
      <c r="A810" s="17" t="str">
        <f t="shared" si="1"/>
        <v>IOP-867</v>
      </c>
      <c r="B810" s="18" t="s">
        <v>143</v>
      </c>
      <c r="C810" s="18" t="s">
        <v>144</v>
      </c>
      <c r="D810" s="18">
        <v>0.083333333</v>
      </c>
      <c r="E810" s="19">
        <v>43175.0</v>
      </c>
      <c r="F810" s="18" t="s">
        <v>81</v>
      </c>
      <c r="G810" s="18"/>
      <c r="H810" s="18" t="s">
        <v>119</v>
      </c>
      <c r="I810" s="18" t="s">
        <v>120</v>
      </c>
      <c r="J810" s="18"/>
      <c r="K810" s="20"/>
      <c r="L810" s="18"/>
      <c r="M810" s="20"/>
      <c r="N810" s="18"/>
    </row>
    <row r="811">
      <c r="A811" s="17" t="str">
        <f t="shared" si="1"/>
        <v>IOP-866</v>
      </c>
      <c r="B811" s="18" t="s">
        <v>117</v>
      </c>
      <c r="C811" s="18" t="s">
        <v>118</v>
      </c>
      <c r="D811" s="18">
        <v>0.083333333</v>
      </c>
      <c r="E811" s="19">
        <v>43175.0</v>
      </c>
      <c r="F811" s="18" t="s">
        <v>81</v>
      </c>
      <c r="G811" s="18"/>
      <c r="H811" s="18" t="s">
        <v>119</v>
      </c>
      <c r="I811" s="18" t="s">
        <v>120</v>
      </c>
      <c r="J811" s="18"/>
      <c r="K811" s="20"/>
      <c r="L811" s="18"/>
      <c r="M811" s="20"/>
      <c r="N811" s="18"/>
    </row>
    <row r="812">
      <c r="A812" s="17" t="str">
        <f t="shared" si="1"/>
        <v>PD-1595</v>
      </c>
      <c r="B812" s="18" t="s">
        <v>104</v>
      </c>
      <c r="C812" s="18" t="s">
        <v>105</v>
      </c>
      <c r="D812" s="18">
        <v>0.1</v>
      </c>
      <c r="E812" s="19">
        <v>43175.0</v>
      </c>
      <c r="F812" s="18" t="s">
        <v>81</v>
      </c>
      <c r="G812" s="18"/>
      <c r="H812" s="18" t="s">
        <v>106</v>
      </c>
      <c r="I812" s="18" t="s">
        <v>81</v>
      </c>
      <c r="J812" s="18"/>
      <c r="K812" s="20"/>
      <c r="L812" s="18"/>
      <c r="M812" s="20"/>
      <c r="N812" s="18"/>
    </row>
    <row r="813">
      <c r="A813" s="17" t="str">
        <f t="shared" si="1"/>
        <v>PD-1598</v>
      </c>
      <c r="B813" s="18" t="s">
        <v>454</v>
      </c>
      <c r="C813" s="18" t="s">
        <v>455</v>
      </c>
      <c r="D813" s="18">
        <v>6.083333333</v>
      </c>
      <c r="E813" s="19">
        <v>43175.0</v>
      </c>
      <c r="F813" s="18" t="s">
        <v>81</v>
      </c>
      <c r="G813" s="18"/>
      <c r="H813" s="18" t="s">
        <v>106</v>
      </c>
      <c r="I813" s="18" t="s">
        <v>81</v>
      </c>
      <c r="J813" s="18"/>
      <c r="K813" s="20"/>
      <c r="L813" s="18"/>
      <c r="M813" s="20"/>
      <c r="N813" s="18"/>
    </row>
    <row r="814">
      <c r="A814" s="17" t="str">
        <f t="shared" si="1"/>
        <v>IOP-867</v>
      </c>
      <c r="B814" s="18" t="s">
        <v>143</v>
      </c>
      <c r="C814" s="18" t="s">
        <v>144</v>
      </c>
      <c r="D814" s="18">
        <v>0.1</v>
      </c>
      <c r="E814" s="19">
        <v>43178.0</v>
      </c>
      <c r="F814" s="18" t="s">
        <v>81</v>
      </c>
      <c r="G814" s="18"/>
      <c r="H814" s="18" t="s">
        <v>119</v>
      </c>
      <c r="I814" s="18" t="s">
        <v>120</v>
      </c>
      <c r="J814" s="18"/>
      <c r="K814" s="20"/>
      <c r="L814" s="18"/>
      <c r="M814" s="20"/>
      <c r="N814" s="18"/>
    </row>
    <row r="815">
      <c r="A815" s="17" t="str">
        <f t="shared" si="1"/>
        <v>IOP-866</v>
      </c>
      <c r="B815" s="18" t="s">
        <v>117</v>
      </c>
      <c r="C815" s="18" t="s">
        <v>118</v>
      </c>
      <c r="D815" s="18">
        <v>0.183333333</v>
      </c>
      <c r="E815" s="19">
        <v>43178.0</v>
      </c>
      <c r="F815" s="18" t="s">
        <v>81</v>
      </c>
      <c r="G815" s="18"/>
      <c r="H815" s="18" t="s">
        <v>119</v>
      </c>
      <c r="I815" s="18" t="s">
        <v>120</v>
      </c>
      <c r="J815" s="18"/>
      <c r="K815" s="20"/>
      <c r="L815" s="18"/>
      <c r="M815" s="20"/>
      <c r="N815" s="18"/>
    </row>
    <row r="816">
      <c r="A816" s="17" t="str">
        <f t="shared" si="1"/>
        <v>PD-1598</v>
      </c>
      <c r="B816" s="18" t="s">
        <v>454</v>
      </c>
      <c r="C816" s="18" t="s">
        <v>455</v>
      </c>
      <c r="D816" s="18">
        <v>3.5</v>
      </c>
      <c r="E816" s="19">
        <v>43178.0</v>
      </c>
      <c r="F816" s="18" t="s">
        <v>81</v>
      </c>
      <c r="G816" s="18"/>
      <c r="H816" s="18" t="s">
        <v>106</v>
      </c>
      <c r="I816" s="18" t="s">
        <v>81</v>
      </c>
      <c r="J816" s="18"/>
      <c r="K816" s="20"/>
      <c r="L816" s="18"/>
      <c r="M816" s="20"/>
      <c r="N816" s="18"/>
    </row>
    <row r="817">
      <c r="A817" s="17" t="str">
        <f t="shared" si="1"/>
        <v>PD-1587</v>
      </c>
      <c r="B817" s="18" t="s">
        <v>329</v>
      </c>
      <c r="C817" s="18" t="s">
        <v>106</v>
      </c>
      <c r="D817" s="18">
        <v>0.783333333</v>
      </c>
      <c r="E817" s="19">
        <v>43178.0</v>
      </c>
      <c r="F817" s="18" t="s">
        <v>81</v>
      </c>
      <c r="G817" s="18" t="s">
        <v>106</v>
      </c>
      <c r="H817" s="18"/>
      <c r="I817" s="18" t="s">
        <v>81</v>
      </c>
      <c r="J817" s="18"/>
      <c r="K817" s="20"/>
      <c r="L817" s="18"/>
      <c r="M817" s="20"/>
      <c r="N817" s="18"/>
    </row>
    <row r="818">
      <c r="A818" s="17" t="str">
        <f t="shared" si="1"/>
        <v>PD-1573</v>
      </c>
      <c r="B818" s="18" t="s">
        <v>162</v>
      </c>
      <c r="C818" s="18" t="s">
        <v>163</v>
      </c>
      <c r="D818" s="18">
        <v>3.016666667</v>
      </c>
      <c r="E818" s="19">
        <v>43178.0</v>
      </c>
      <c r="F818" s="18" t="s">
        <v>81</v>
      </c>
      <c r="G818" s="18"/>
      <c r="H818" s="18" t="s">
        <v>164</v>
      </c>
      <c r="I818" s="18" t="s">
        <v>77</v>
      </c>
      <c r="J818" s="18"/>
      <c r="K818" s="20"/>
      <c r="L818" s="18"/>
      <c r="M818" s="20"/>
      <c r="N818" s="18"/>
    </row>
    <row r="819">
      <c r="A819" s="17" t="str">
        <f t="shared" si="1"/>
        <v>PD-1596</v>
      </c>
      <c r="B819" s="18" t="s">
        <v>450</v>
      </c>
      <c r="C819" s="18" t="s">
        <v>451</v>
      </c>
      <c r="D819" s="18">
        <v>0.383333333</v>
      </c>
      <c r="E819" s="19">
        <v>43178.0</v>
      </c>
      <c r="F819" s="18" t="s">
        <v>81</v>
      </c>
      <c r="G819" s="18"/>
      <c r="H819" s="18" t="s">
        <v>213</v>
      </c>
      <c r="I819" s="18" t="s">
        <v>81</v>
      </c>
      <c r="J819" s="18"/>
      <c r="K819" s="20"/>
      <c r="L819" s="18"/>
      <c r="M819" s="20"/>
      <c r="N819" s="18"/>
    </row>
    <row r="820">
      <c r="A820" s="17" t="str">
        <f t="shared" si="1"/>
        <v>IOP-866</v>
      </c>
      <c r="B820" s="18" t="s">
        <v>117</v>
      </c>
      <c r="C820" s="18" t="s">
        <v>118</v>
      </c>
      <c r="D820" s="18">
        <v>0.066666667</v>
      </c>
      <c r="E820" s="19">
        <v>43179.0</v>
      </c>
      <c r="F820" s="18" t="s">
        <v>81</v>
      </c>
      <c r="G820" s="18"/>
      <c r="H820" s="18" t="s">
        <v>119</v>
      </c>
      <c r="I820" s="18" t="s">
        <v>120</v>
      </c>
      <c r="J820" s="18"/>
      <c r="K820" s="20"/>
      <c r="L820" s="18"/>
      <c r="M820" s="20"/>
      <c r="N820" s="18"/>
    </row>
    <row r="821">
      <c r="A821" s="17" t="str">
        <f t="shared" si="1"/>
        <v>PD-1587</v>
      </c>
      <c r="B821" s="18" t="s">
        <v>329</v>
      </c>
      <c r="C821" s="18" t="s">
        <v>106</v>
      </c>
      <c r="D821" s="18">
        <v>3.6</v>
      </c>
      <c r="E821" s="19">
        <v>43179.0</v>
      </c>
      <c r="F821" s="18" t="s">
        <v>81</v>
      </c>
      <c r="G821" s="18" t="s">
        <v>106</v>
      </c>
      <c r="H821" s="18"/>
      <c r="I821" s="18" t="s">
        <v>81</v>
      </c>
      <c r="J821" s="18"/>
      <c r="K821" s="20"/>
      <c r="L821" s="18"/>
      <c r="M821" s="20"/>
      <c r="N821" s="18"/>
    </row>
    <row r="822">
      <c r="A822" s="17" t="str">
        <f t="shared" si="1"/>
        <v>IOP-867</v>
      </c>
      <c r="B822" s="18" t="s">
        <v>143</v>
      </c>
      <c r="C822" s="18" t="s">
        <v>144</v>
      </c>
      <c r="D822" s="18">
        <v>0.2</v>
      </c>
      <c r="E822" s="19">
        <v>43179.0</v>
      </c>
      <c r="F822" s="18" t="s">
        <v>81</v>
      </c>
      <c r="G822" s="18"/>
      <c r="H822" s="18" t="s">
        <v>119</v>
      </c>
      <c r="I822" s="18" t="s">
        <v>120</v>
      </c>
      <c r="J822" s="18"/>
      <c r="K822" s="20"/>
      <c r="L822" s="20"/>
      <c r="M822" s="20"/>
      <c r="N822" s="18"/>
    </row>
    <row r="823">
      <c r="A823" s="17" t="str">
        <f t="shared" si="1"/>
        <v>PD-1440</v>
      </c>
      <c r="B823" s="18" t="s">
        <v>158</v>
      </c>
      <c r="C823" s="18" t="s">
        <v>159</v>
      </c>
      <c r="D823" s="18">
        <v>0.516666667</v>
      </c>
      <c r="E823" s="19">
        <v>43179.0</v>
      </c>
      <c r="F823" s="18" t="s">
        <v>81</v>
      </c>
      <c r="G823" s="18"/>
      <c r="H823" s="18"/>
      <c r="I823" s="18" t="s">
        <v>81</v>
      </c>
      <c r="J823" s="18"/>
      <c r="K823" s="20"/>
      <c r="L823" s="20"/>
      <c r="M823" s="20"/>
      <c r="N823" s="18"/>
    </row>
    <row r="824">
      <c r="A824" s="17" t="str">
        <f t="shared" si="1"/>
        <v>PD-1596</v>
      </c>
      <c r="B824" s="18" t="s">
        <v>450</v>
      </c>
      <c r="C824" s="18" t="s">
        <v>451</v>
      </c>
      <c r="D824" s="18">
        <v>0.933333333</v>
      </c>
      <c r="E824" s="19">
        <v>43179.0</v>
      </c>
      <c r="F824" s="18" t="s">
        <v>81</v>
      </c>
      <c r="G824" s="18"/>
      <c r="H824" s="18" t="s">
        <v>213</v>
      </c>
      <c r="I824" s="18" t="s">
        <v>81</v>
      </c>
      <c r="J824" s="18"/>
      <c r="K824" s="20"/>
      <c r="L824" s="20"/>
      <c r="M824" s="20"/>
      <c r="N824" s="18"/>
    </row>
    <row r="825">
      <c r="A825" s="17" t="str">
        <f t="shared" si="1"/>
        <v>PD-1597</v>
      </c>
      <c r="B825" s="18" t="s">
        <v>452</v>
      </c>
      <c r="C825" s="18" t="s">
        <v>453</v>
      </c>
      <c r="D825" s="18">
        <v>0.733333333</v>
      </c>
      <c r="E825" s="19">
        <v>43179.0</v>
      </c>
      <c r="F825" s="18" t="s">
        <v>81</v>
      </c>
      <c r="G825" s="18"/>
      <c r="H825" s="18" t="s">
        <v>106</v>
      </c>
      <c r="I825" s="18" t="s">
        <v>81</v>
      </c>
      <c r="J825" s="18"/>
      <c r="K825" s="20"/>
      <c r="L825" s="20"/>
      <c r="M825" s="20"/>
      <c r="N825" s="18"/>
    </row>
    <row r="826">
      <c r="A826" s="17" t="str">
        <f t="shared" si="1"/>
        <v>IOP-879</v>
      </c>
      <c r="B826" s="18" t="s">
        <v>155</v>
      </c>
      <c r="C826" s="18" t="s">
        <v>156</v>
      </c>
      <c r="D826" s="18">
        <v>0.916666667</v>
      </c>
      <c r="E826" s="19">
        <v>43180.0</v>
      </c>
      <c r="F826" s="18" t="s">
        <v>81</v>
      </c>
      <c r="G826" s="18"/>
      <c r="H826" s="18" t="s">
        <v>157</v>
      </c>
      <c r="I826" s="18" t="s">
        <v>120</v>
      </c>
      <c r="J826" s="18"/>
      <c r="K826" s="20"/>
      <c r="L826" s="20"/>
      <c r="M826" s="20"/>
      <c r="N826" s="18"/>
    </row>
    <row r="827">
      <c r="A827" s="17" t="str">
        <f t="shared" si="1"/>
        <v>IOP-867</v>
      </c>
      <c r="B827" s="18" t="s">
        <v>143</v>
      </c>
      <c r="C827" s="18" t="s">
        <v>144</v>
      </c>
      <c r="D827" s="18">
        <v>0.166666667</v>
      </c>
      <c r="E827" s="19">
        <v>43180.0</v>
      </c>
      <c r="F827" s="18" t="s">
        <v>81</v>
      </c>
      <c r="G827" s="18"/>
      <c r="H827" s="18" t="s">
        <v>119</v>
      </c>
      <c r="I827" s="18" t="s">
        <v>120</v>
      </c>
      <c r="J827" s="18"/>
      <c r="K827" s="20"/>
      <c r="L827" s="20"/>
      <c r="M827" s="20"/>
      <c r="N827" s="18"/>
    </row>
    <row r="828">
      <c r="A828" s="17" t="str">
        <f t="shared" si="1"/>
        <v>PD-1601</v>
      </c>
      <c r="B828" s="18" t="s">
        <v>321</v>
      </c>
      <c r="C828" s="18" t="s">
        <v>322</v>
      </c>
      <c r="D828" s="18">
        <v>0.833333333</v>
      </c>
      <c r="E828" s="19">
        <v>43180.0</v>
      </c>
      <c r="F828" s="18" t="s">
        <v>81</v>
      </c>
      <c r="G828" s="18"/>
      <c r="H828" s="18"/>
      <c r="I828" s="18" t="s">
        <v>132</v>
      </c>
      <c r="J828" s="18"/>
      <c r="K828" s="20"/>
      <c r="L828" s="20"/>
      <c r="M828" s="20"/>
      <c r="N828" s="18"/>
    </row>
    <row r="829">
      <c r="A829" s="17" t="str">
        <f t="shared" si="1"/>
        <v>IOP-866</v>
      </c>
      <c r="B829" s="18" t="s">
        <v>117</v>
      </c>
      <c r="C829" s="18" t="s">
        <v>118</v>
      </c>
      <c r="D829" s="18">
        <v>0.133333333</v>
      </c>
      <c r="E829" s="19">
        <v>43180.0</v>
      </c>
      <c r="F829" s="18" t="s">
        <v>81</v>
      </c>
      <c r="G829" s="18"/>
      <c r="H829" s="18" t="s">
        <v>119</v>
      </c>
      <c r="I829" s="18" t="s">
        <v>120</v>
      </c>
      <c r="J829" s="18"/>
      <c r="K829" s="20"/>
      <c r="L829" s="20"/>
      <c r="M829" s="20"/>
      <c r="N829" s="18"/>
    </row>
    <row r="830">
      <c r="A830" s="17" t="str">
        <f t="shared" si="1"/>
        <v>PD-1596</v>
      </c>
      <c r="B830" s="18" t="s">
        <v>450</v>
      </c>
      <c r="C830" s="18" t="s">
        <v>451</v>
      </c>
      <c r="D830" s="18">
        <v>0.7</v>
      </c>
      <c r="E830" s="19">
        <v>43180.0</v>
      </c>
      <c r="F830" s="18" t="s">
        <v>81</v>
      </c>
      <c r="G830" s="18"/>
      <c r="H830" s="18" t="s">
        <v>213</v>
      </c>
      <c r="I830" s="18" t="s">
        <v>81</v>
      </c>
      <c r="J830" s="18"/>
      <c r="K830" s="20"/>
      <c r="L830" s="20"/>
      <c r="M830" s="20"/>
      <c r="N830" s="18"/>
    </row>
    <row r="831">
      <c r="A831" s="17" t="str">
        <f t="shared" si="1"/>
        <v>PD-1597</v>
      </c>
      <c r="B831" s="18" t="s">
        <v>452</v>
      </c>
      <c r="C831" s="18" t="s">
        <v>453</v>
      </c>
      <c r="D831" s="18">
        <v>1.466666667</v>
      </c>
      <c r="E831" s="19">
        <v>43180.0</v>
      </c>
      <c r="F831" s="18" t="s">
        <v>81</v>
      </c>
      <c r="G831" s="18"/>
      <c r="H831" s="18" t="s">
        <v>106</v>
      </c>
      <c r="I831" s="18" t="s">
        <v>81</v>
      </c>
      <c r="J831" s="18"/>
      <c r="K831" s="20"/>
      <c r="L831" s="18"/>
      <c r="M831" s="20"/>
      <c r="N831" s="18"/>
    </row>
    <row r="832">
      <c r="A832" s="17" t="str">
        <f t="shared" si="1"/>
        <v>IOP-866</v>
      </c>
      <c r="B832" s="18" t="s">
        <v>117</v>
      </c>
      <c r="C832" s="18" t="s">
        <v>118</v>
      </c>
      <c r="D832" s="18">
        <v>0.166666667</v>
      </c>
      <c r="E832" s="19">
        <v>43181.0</v>
      </c>
      <c r="F832" s="18" t="s">
        <v>81</v>
      </c>
      <c r="G832" s="18"/>
      <c r="H832" s="18" t="s">
        <v>119</v>
      </c>
      <c r="I832" s="18" t="s">
        <v>120</v>
      </c>
      <c r="J832" s="18"/>
      <c r="K832" s="20"/>
      <c r="L832" s="18"/>
      <c r="M832" s="20"/>
      <c r="N832" s="18"/>
    </row>
    <row r="833">
      <c r="A833" s="17" t="str">
        <f t="shared" si="1"/>
        <v>PD-1573</v>
      </c>
      <c r="B833" s="18" t="s">
        <v>162</v>
      </c>
      <c r="C833" s="18" t="s">
        <v>163</v>
      </c>
      <c r="D833" s="18">
        <v>2.883333333</v>
      </c>
      <c r="E833" s="19">
        <v>43181.0</v>
      </c>
      <c r="F833" s="18" t="s">
        <v>81</v>
      </c>
      <c r="G833" s="18"/>
      <c r="H833" s="18" t="s">
        <v>164</v>
      </c>
      <c r="I833" s="18" t="s">
        <v>77</v>
      </c>
      <c r="J833" s="18"/>
      <c r="K833" s="20"/>
      <c r="L833" s="18"/>
      <c r="M833" s="20"/>
      <c r="N833" s="18"/>
    </row>
    <row r="834">
      <c r="A834" s="17" t="str">
        <f t="shared" si="1"/>
        <v>PD-1597</v>
      </c>
      <c r="B834" s="18" t="s">
        <v>452</v>
      </c>
      <c r="C834" s="18" t="s">
        <v>453</v>
      </c>
      <c r="D834" s="18">
        <v>0.783333333</v>
      </c>
      <c r="E834" s="19">
        <v>43181.0</v>
      </c>
      <c r="F834" s="18" t="s">
        <v>81</v>
      </c>
      <c r="G834" s="18"/>
      <c r="H834" s="18" t="s">
        <v>106</v>
      </c>
      <c r="I834" s="18" t="s">
        <v>81</v>
      </c>
      <c r="J834" s="18"/>
      <c r="K834" s="20"/>
      <c r="L834" s="18"/>
      <c r="M834" s="20"/>
      <c r="N834" s="18"/>
    </row>
    <row r="835">
      <c r="A835" s="17" t="str">
        <f t="shared" si="1"/>
        <v>PD-1443</v>
      </c>
      <c r="B835" s="18" t="s">
        <v>468</v>
      </c>
      <c r="C835" s="18" t="s">
        <v>469</v>
      </c>
      <c r="D835" s="18">
        <v>0.716666667</v>
      </c>
      <c r="E835" s="19">
        <v>43181.0</v>
      </c>
      <c r="F835" s="18" t="s">
        <v>81</v>
      </c>
      <c r="G835" s="18"/>
      <c r="H835" s="18" t="s">
        <v>167</v>
      </c>
      <c r="I835" s="18" t="s">
        <v>81</v>
      </c>
      <c r="J835" s="18"/>
      <c r="K835" s="20"/>
      <c r="L835" s="18"/>
      <c r="M835" s="20"/>
      <c r="N835" s="18"/>
    </row>
    <row r="836">
      <c r="A836" s="17" t="str">
        <f t="shared" si="1"/>
        <v>IOP-875</v>
      </c>
      <c r="B836" s="18" t="s">
        <v>123</v>
      </c>
      <c r="C836" s="18" t="s">
        <v>124</v>
      </c>
      <c r="D836" s="18">
        <v>0.166666667</v>
      </c>
      <c r="E836" s="19">
        <v>43181.0</v>
      </c>
      <c r="F836" s="18" t="s">
        <v>81</v>
      </c>
      <c r="G836" s="18"/>
      <c r="H836" s="18" t="s">
        <v>125</v>
      </c>
      <c r="I836" s="18" t="s">
        <v>120</v>
      </c>
      <c r="J836" s="18"/>
      <c r="K836" s="20"/>
      <c r="L836" s="18"/>
      <c r="M836" s="20"/>
      <c r="N836" s="18"/>
    </row>
    <row r="837">
      <c r="A837" s="17" t="str">
        <f t="shared" si="1"/>
        <v>PD-1598</v>
      </c>
      <c r="B837" s="18" t="s">
        <v>454</v>
      </c>
      <c r="C837" s="18" t="s">
        <v>455</v>
      </c>
      <c r="D837" s="18">
        <v>2.75</v>
      </c>
      <c r="E837" s="19">
        <v>43181.0</v>
      </c>
      <c r="F837" s="18" t="s">
        <v>81</v>
      </c>
      <c r="G837" s="18"/>
      <c r="H837" s="18" t="s">
        <v>106</v>
      </c>
      <c r="I837" s="18" t="s">
        <v>81</v>
      </c>
      <c r="J837" s="18"/>
      <c r="K837" s="20"/>
      <c r="L837" s="18"/>
      <c r="M837" s="20"/>
      <c r="N837" s="18"/>
    </row>
    <row r="838">
      <c r="A838" s="17" t="str">
        <f t="shared" si="1"/>
        <v>IOP-867</v>
      </c>
      <c r="B838" s="18" t="s">
        <v>143</v>
      </c>
      <c r="C838" s="18" t="s">
        <v>144</v>
      </c>
      <c r="D838" s="18">
        <v>2.0</v>
      </c>
      <c r="E838" s="19">
        <v>43171.0</v>
      </c>
      <c r="F838" s="18" t="s">
        <v>77</v>
      </c>
      <c r="G838" s="18"/>
      <c r="H838" s="18" t="s">
        <v>119</v>
      </c>
      <c r="I838" s="18" t="s">
        <v>120</v>
      </c>
      <c r="J838" s="18"/>
      <c r="K838" s="20"/>
      <c r="L838" s="18"/>
      <c r="M838" s="20"/>
      <c r="N838" s="18"/>
    </row>
    <row r="839">
      <c r="A839" s="17" t="str">
        <f t="shared" si="1"/>
        <v>IOP-867</v>
      </c>
      <c r="B839" s="18" t="s">
        <v>143</v>
      </c>
      <c r="C839" s="18" t="s">
        <v>144</v>
      </c>
      <c r="D839" s="18">
        <v>2.0</v>
      </c>
      <c r="E839" s="19">
        <v>43172.0</v>
      </c>
      <c r="F839" s="18" t="s">
        <v>77</v>
      </c>
      <c r="G839" s="18"/>
      <c r="H839" s="18" t="s">
        <v>119</v>
      </c>
      <c r="I839" s="18" t="s">
        <v>120</v>
      </c>
      <c r="J839" s="18"/>
      <c r="K839" s="20"/>
      <c r="L839" s="18"/>
      <c r="M839" s="20"/>
      <c r="N839" s="18"/>
    </row>
    <row r="840">
      <c r="A840" s="17" t="str">
        <f t="shared" si="1"/>
        <v>IOP-895</v>
      </c>
      <c r="B840" s="18" t="s">
        <v>470</v>
      </c>
      <c r="C840" s="18" t="s">
        <v>471</v>
      </c>
      <c r="D840" s="18">
        <v>2.0</v>
      </c>
      <c r="E840" s="19">
        <v>43175.0</v>
      </c>
      <c r="F840" s="18" t="s">
        <v>77</v>
      </c>
      <c r="G840" s="18"/>
      <c r="H840" s="18" t="s">
        <v>472</v>
      </c>
      <c r="I840" s="18" t="s">
        <v>77</v>
      </c>
      <c r="J840" s="18"/>
      <c r="K840" s="20"/>
      <c r="L840" s="18"/>
      <c r="M840" s="20"/>
      <c r="N840" s="18"/>
    </row>
    <row r="841">
      <c r="A841" s="17" t="str">
        <f t="shared" si="1"/>
        <v>IOP-867</v>
      </c>
      <c r="B841" s="18" t="s">
        <v>143</v>
      </c>
      <c r="C841" s="18" t="s">
        <v>144</v>
      </c>
      <c r="D841" s="18">
        <v>1.0</v>
      </c>
      <c r="E841" s="19">
        <v>43177.0</v>
      </c>
      <c r="F841" s="18" t="s">
        <v>77</v>
      </c>
      <c r="G841" s="18"/>
      <c r="H841" s="18" t="s">
        <v>119</v>
      </c>
      <c r="I841" s="18" t="s">
        <v>120</v>
      </c>
      <c r="J841" s="18"/>
      <c r="K841" s="20"/>
      <c r="L841" s="18"/>
      <c r="M841" s="20"/>
      <c r="N841" s="18"/>
    </row>
    <row r="842">
      <c r="A842" s="17" t="str">
        <f t="shared" si="1"/>
        <v>IOP-867</v>
      </c>
      <c r="B842" s="18" t="s">
        <v>143</v>
      </c>
      <c r="C842" s="18" t="s">
        <v>144</v>
      </c>
      <c r="D842" s="18">
        <v>2.0</v>
      </c>
      <c r="E842" s="19">
        <v>43178.0</v>
      </c>
      <c r="F842" s="18" t="s">
        <v>77</v>
      </c>
      <c r="G842" s="18"/>
      <c r="H842" s="18" t="s">
        <v>119</v>
      </c>
      <c r="I842" s="18" t="s">
        <v>120</v>
      </c>
      <c r="J842" s="18"/>
      <c r="K842" s="20"/>
      <c r="L842" s="18"/>
      <c r="M842" s="20"/>
      <c r="N842" s="18"/>
    </row>
    <row r="843">
      <c r="A843" s="17" t="str">
        <f t="shared" si="1"/>
        <v>IOP-867</v>
      </c>
      <c r="B843" s="18" t="s">
        <v>143</v>
      </c>
      <c r="C843" s="18" t="s">
        <v>144</v>
      </c>
      <c r="D843" s="18">
        <v>2.0</v>
      </c>
      <c r="E843" s="19">
        <v>43181.0</v>
      </c>
      <c r="F843" s="18" t="s">
        <v>77</v>
      </c>
      <c r="G843" s="18"/>
      <c r="H843" s="18" t="s">
        <v>119</v>
      </c>
      <c r="I843" s="18" t="s">
        <v>120</v>
      </c>
      <c r="J843" s="18"/>
      <c r="K843" s="20"/>
      <c r="L843" s="18"/>
      <c r="M843" s="20"/>
      <c r="N843" s="18"/>
    </row>
    <row r="844">
      <c r="A844" s="17" t="str">
        <f t="shared" si="1"/>
        <v>IOP-867</v>
      </c>
      <c r="B844" s="18" t="s">
        <v>143</v>
      </c>
      <c r="C844" s="18" t="s">
        <v>144</v>
      </c>
      <c r="D844" s="18">
        <v>2.0</v>
      </c>
      <c r="E844" s="19">
        <v>43182.0</v>
      </c>
      <c r="F844" s="18" t="s">
        <v>77</v>
      </c>
      <c r="G844" s="18"/>
      <c r="H844" s="18" t="s">
        <v>119</v>
      </c>
      <c r="I844" s="18" t="s">
        <v>120</v>
      </c>
      <c r="J844" s="18"/>
      <c r="K844" s="20"/>
      <c r="L844" s="18"/>
      <c r="M844" s="20"/>
      <c r="N844" s="18"/>
    </row>
    <row r="845">
      <c r="A845" s="17" t="str">
        <f t="shared" si="1"/>
        <v>IOP-867</v>
      </c>
      <c r="B845" s="18" t="s">
        <v>143</v>
      </c>
      <c r="C845" s="18" t="s">
        <v>144</v>
      </c>
      <c r="D845" s="18">
        <v>2.0</v>
      </c>
      <c r="E845" s="19">
        <v>43180.0</v>
      </c>
      <c r="F845" s="18" t="s">
        <v>77</v>
      </c>
      <c r="G845" s="18"/>
      <c r="H845" s="18" t="s">
        <v>119</v>
      </c>
      <c r="I845" s="18" t="s">
        <v>120</v>
      </c>
      <c r="J845" s="18"/>
      <c r="K845" s="20"/>
      <c r="L845" s="18"/>
      <c r="M845" s="20"/>
      <c r="N845" s="18"/>
    </row>
    <row r="846">
      <c r="A846" s="17" t="str">
        <f t="shared" si="1"/>
        <v>IOP-866</v>
      </c>
      <c r="B846" s="18" t="s">
        <v>117</v>
      </c>
      <c r="C846" s="18" t="s">
        <v>118</v>
      </c>
      <c r="D846" s="18">
        <v>0.066666667</v>
      </c>
      <c r="E846" s="19">
        <v>43182.0</v>
      </c>
      <c r="F846" s="18" t="s">
        <v>81</v>
      </c>
      <c r="G846" s="18"/>
      <c r="H846" s="18" t="s">
        <v>119</v>
      </c>
      <c r="I846" s="18" t="s">
        <v>120</v>
      </c>
      <c r="J846" s="18"/>
      <c r="K846" s="20"/>
      <c r="L846" s="18"/>
      <c r="M846" s="20"/>
      <c r="N846" s="18"/>
    </row>
    <row r="847">
      <c r="A847" s="17" t="str">
        <f t="shared" si="1"/>
        <v>PD-1598</v>
      </c>
      <c r="B847" s="18" t="s">
        <v>454</v>
      </c>
      <c r="C847" s="18" t="s">
        <v>455</v>
      </c>
      <c r="D847" s="18">
        <v>4.216666667</v>
      </c>
      <c r="E847" s="19">
        <v>43182.0</v>
      </c>
      <c r="F847" s="18" t="s">
        <v>81</v>
      </c>
      <c r="G847" s="18"/>
      <c r="H847" s="18" t="s">
        <v>106</v>
      </c>
      <c r="I847" s="18" t="s">
        <v>81</v>
      </c>
      <c r="J847" s="18"/>
      <c r="K847" s="20"/>
      <c r="L847" s="18"/>
      <c r="M847" s="20"/>
      <c r="N847" s="18"/>
    </row>
    <row r="848">
      <c r="A848" s="17" t="str">
        <f t="shared" si="1"/>
        <v>IOP-875</v>
      </c>
      <c r="B848" s="18" t="s">
        <v>123</v>
      </c>
      <c r="C848" s="18" t="s">
        <v>124</v>
      </c>
      <c r="D848" s="18">
        <v>0.383333333</v>
      </c>
      <c r="E848" s="19">
        <v>43182.0</v>
      </c>
      <c r="F848" s="18" t="s">
        <v>81</v>
      </c>
      <c r="G848" s="18"/>
      <c r="H848" s="18" t="s">
        <v>125</v>
      </c>
      <c r="I848" s="18" t="s">
        <v>120</v>
      </c>
      <c r="J848" s="18"/>
      <c r="K848" s="20"/>
      <c r="L848" s="18"/>
      <c r="M848" s="20"/>
      <c r="N848" s="18"/>
    </row>
    <row r="849">
      <c r="A849" s="17" t="str">
        <f t="shared" si="1"/>
        <v>IOP-902</v>
      </c>
      <c r="B849" s="18" t="s">
        <v>473</v>
      </c>
      <c r="C849" s="18" t="s">
        <v>474</v>
      </c>
      <c r="D849" s="18">
        <v>3.3</v>
      </c>
      <c r="E849" s="19">
        <v>43182.0</v>
      </c>
      <c r="F849" s="18" t="s">
        <v>81</v>
      </c>
      <c r="G849" s="18"/>
      <c r="H849" s="18"/>
      <c r="I849" s="18" t="s">
        <v>132</v>
      </c>
      <c r="J849" s="18"/>
      <c r="K849" s="20"/>
      <c r="L849" s="18"/>
      <c r="M849" s="20"/>
      <c r="N849" s="18"/>
    </row>
    <row r="850">
      <c r="A850" s="17" t="str">
        <f t="shared" si="1"/>
        <v>IOP-867</v>
      </c>
      <c r="B850" s="18" t="s">
        <v>143</v>
      </c>
      <c r="C850" s="18" t="s">
        <v>144</v>
      </c>
      <c r="D850" s="18">
        <v>0.116666667</v>
      </c>
      <c r="E850" s="19">
        <v>43185.0</v>
      </c>
      <c r="F850" s="18" t="s">
        <v>81</v>
      </c>
      <c r="G850" s="18"/>
      <c r="H850" s="18" t="s">
        <v>119</v>
      </c>
      <c r="I850" s="18" t="s">
        <v>120</v>
      </c>
      <c r="J850" s="18"/>
      <c r="K850" s="20"/>
      <c r="L850" s="20"/>
      <c r="M850" s="18"/>
      <c r="N850" s="18"/>
    </row>
    <row r="851">
      <c r="A851" s="17" t="str">
        <f t="shared" si="1"/>
        <v>IOP-866</v>
      </c>
      <c r="B851" s="18" t="s">
        <v>117</v>
      </c>
      <c r="C851" s="18" t="s">
        <v>118</v>
      </c>
      <c r="D851" s="18">
        <v>0.066666667</v>
      </c>
      <c r="E851" s="19">
        <v>43185.0</v>
      </c>
      <c r="F851" s="18" t="s">
        <v>81</v>
      </c>
      <c r="G851" s="18"/>
      <c r="H851" s="18" t="s">
        <v>119</v>
      </c>
      <c r="I851" s="18" t="s">
        <v>120</v>
      </c>
      <c r="J851" s="18"/>
      <c r="K851" s="20"/>
      <c r="L851" s="20"/>
      <c r="M851" s="20"/>
      <c r="N851" s="18"/>
    </row>
    <row r="852">
      <c r="A852" s="17" t="str">
        <f t="shared" si="1"/>
        <v>PD-1440</v>
      </c>
      <c r="B852" s="18" t="s">
        <v>158</v>
      </c>
      <c r="C852" s="18" t="s">
        <v>159</v>
      </c>
      <c r="D852" s="18">
        <v>1.133333333</v>
      </c>
      <c r="E852" s="19">
        <v>43185.0</v>
      </c>
      <c r="F852" s="18" t="s">
        <v>81</v>
      </c>
      <c r="G852" s="18"/>
      <c r="H852" s="18"/>
      <c r="I852" s="18" t="s">
        <v>81</v>
      </c>
      <c r="J852" s="18"/>
      <c r="K852" s="20"/>
      <c r="L852" s="18"/>
      <c r="M852" s="20"/>
      <c r="N852" s="18"/>
    </row>
    <row r="853">
      <c r="A853" s="17" t="str">
        <f t="shared" si="1"/>
        <v>PD-1604</v>
      </c>
      <c r="B853" s="18" t="s">
        <v>330</v>
      </c>
      <c r="C853" s="18" t="s">
        <v>331</v>
      </c>
      <c r="D853" s="18">
        <v>1.033333333</v>
      </c>
      <c r="E853" s="19">
        <v>43185.0</v>
      </c>
      <c r="F853" s="18" t="s">
        <v>81</v>
      </c>
      <c r="G853" s="18"/>
      <c r="H853" s="18" t="s">
        <v>106</v>
      </c>
      <c r="I853" s="18" t="s">
        <v>81</v>
      </c>
      <c r="J853" s="18"/>
      <c r="K853" s="20"/>
      <c r="L853" s="18"/>
      <c r="M853" s="20"/>
      <c r="N853" s="18"/>
    </row>
    <row r="854">
      <c r="A854" s="17" t="str">
        <f t="shared" si="1"/>
        <v>PD-1587</v>
      </c>
      <c r="B854" s="18" t="s">
        <v>329</v>
      </c>
      <c r="C854" s="18" t="s">
        <v>106</v>
      </c>
      <c r="D854" s="18">
        <v>0.383333333</v>
      </c>
      <c r="E854" s="19">
        <v>43185.0</v>
      </c>
      <c r="F854" s="18" t="s">
        <v>81</v>
      </c>
      <c r="G854" s="18" t="s">
        <v>106</v>
      </c>
      <c r="H854" s="18"/>
      <c r="I854" s="18" t="s">
        <v>81</v>
      </c>
      <c r="J854" s="18"/>
      <c r="K854" s="20"/>
      <c r="L854" s="18"/>
      <c r="M854" s="20"/>
      <c r="N854" s="18"/>
    </row>
    <row r="855">
      <c r="A855" s="17" t="str">
        <f t="shared" si="1"/>
        <v>PD-1605</v>
      </c>
      <c r="B855" s="18" t="s">
        <v>475</v>
      </c>
      <c r="C855" s="18" t="s">
        <v>476</v>
      </c>
      <c r="D855" s="18">
        <v>0.183333333</v>
      </c>
      <c r="E855" s="19">
        <v>43185.0</v>
      </c>
      <c r="F855" s="18" t="s">
        <v>81</v>
      </c>
      <c r="G855" s="18"/>
      <c r="H855" s="18"/>
      <c r="I855" s="18" t="s">
        <v>81</v>
      </c>
      <c r="J855" s="18"/>
      <c r="K855" s="20"/>
      <c r="L855" s="18"/>
      <c r="M855" s="20"/>
      <c r="N855" s="18"/>
    </row>
    <row r="856">
      <c r="A856" s="17" t="str">
        <f t="shared" si="1"/>
        <v>PD-1606</v>
      </c>
      <c r="B856" s="18" t="s">
        <v>477</v>
      </c>
      <c r="C856" s="18" t="s">
        <v>478</v>
      </c>
      <c r="D856" s="18">
        <v>0.083333333</v>
      </c>
      <c r="E856" s="19">
        <v>43185.0</v>
      </c>
      <c r="F856" s="18" t="s">
        <v>81</v>
      </c>
      <c r="G856" s="18"/>
      <c r="H856" s="18"/>
      <c r="I856" s="18" t="s">
        <v>81</v>
      </c>
      <c r="J856" s="18"/>
      <c r="K856" s="20"/>
      <c r="L856" s="18"/>
      <c r="M856" s="20"/>
      <c r="N856" s="18"/>
    </row>
    <row r="857">
      <c r="A857" s="17" t="str">
        <f t="shared" si="1"/>
        <v>PD-1607</v>
      </c>
      <c r="B857" s="18" t="s">
        <v>479</v>
      </c>
      <c r="C857" s="18" t="s">
        <v>480</v>
      </c>
      <c r="D857" s="18">
        <v>0.116666667</v>
      </c>
      <c r="E857" s="19">
        <v>43185.0</v>
      </c>
      <c r="F857" s="18" t="s">
        <v>81</v>
      </c>
      <c r="G857" s="18"/>
      <c r="H857" s="18" t="s">
        <v>106</v>
      </c>
      <c r="I857" s="18" t="s">
        <v>81</v>
      </c>
      <c r="J857" s="18"/>
      <c r="K857" s="20"/>
      <c r="L857" s="18"/>
      <c r="M857" s="20"/>
      <c r="N857" s="18"/>
    </row>
    <row r="858">
      <c r="A858" s="17" t="str">
        <f t="shared" si="1"/>
        <v>PD-1608</v>
      </c>
      <c r="B858" s="18" t="s">
        <v>481</v>
      </c>
      <c r="C858" s="18" t="s">
        <v>482</v>
      </c>
      <c r="D858" s="18">
        <v>0.25</v>
      </c>
      <c r="E858" s="19">
        <v>43185.0</v>
      </c>
      <c r="F858" s="18" t="s">
        <v>81</v>
      </c>
      <c r="G858" s="18"/>
      <c r="H858" s="18" t="s">
        <v>106</v>
      </c>
      <c r="I858" s="18" t="s">
        <v>81</v>
      </c>
      <c r="J858" s="18"/>
      <c r="K858" s="20"/>
      <c r="L858" s="18"/>
      <c r="M858" s="20"/>
      <c r="N858" s="18"/>
    </row>
    <row r="859">
      <c r="A859" s="17" t="str">
        <f t="shared" si="1"/>
        <v>IOP-902</v>
      </c>
      <c r="B859" s="18" t="s">
        <v>473</v>
      </c>
      <c r="C859" s="18" t="s">
        <v>474</v>
      </c>
      <c r="D859" s="18">
        <v>0.583333333</v>
      </c>
      <c r="E859" s="19">
        <v>43185.0</v>
      </c>
      <c r="F859" s="18" t="s">
        <v>81</v>
      </c>
      <c r="G859" s="18"/>
      <c r="H859" s="18"/>
      <c r="I859" s="18" t="s">
        <v>132</v>
      </c>
      <c r="J859" s="18"/>
      <c r="K859" s="20"/>
      <c r="L859" s="18"/>
      <c r="M859" s="20"/>
      <c r="N859" s="18"/>
    </row>
    <row r="860">
      <c r="A860" s="17" t="str">
        <f t="shared" si="1"/>
        <v>IOP-898</v>
      </c>
      <c r="B860" s="18" t="s">
        <v>483</v>
      </c>
      <c r="C860" s="18" t="s">
        <v>484</v>
      </c>
      <c r="D860" s="18">
        <v>1.7</v>
      </c>
      <c r="E860" s="19">
        <v>43185.0</v>
      </c>
      <c r="F860" s="18" t="s">
        <v>81</v>
      </c>
      <c r="G860" s="18"/>
      <c r="H860" s="18"/>
      <c r="I860" s="18" t="s">
        <v>116</v>
      </c>
      <c r="J860" s="18"/>
      <c r="K860" s="20"/>
      <c r="L860" s="18"/>
      <c r="M860" s="20"/>
      <c r="N860" s="18"/>
    </row>
    <row r="861">
      <c r="A861" s="17" t="str">
        <f t="shared" si="1"/>
        <v>PD-1596</v>
      </c>
      <c r="B861" s="18" t="s">
        <v>450</v>
      </c>
      <c r="C861" s="18" t="s">
        <v>451</v>
      </c>
      <c r="D861" s="18">
        <v>0.55</v>
      </c>
      <c r="E861" s="19">
        <v>43185.0</v>
      </c>
      <c r="F861" s="18" t="s">
        <v>81</v>
      </c>
      <c r="G861" s="18"/>
      <c r="H861" s="18" t="s">
        <v>213</v>
      </c>
      <c r="I861" s="18" t="s">
        <v>81</v>
      </c>
      <c r="J861" s="18"/>
      <c r="K861" s="20"/>
      <c r="L861" s="20"/>
      <c r="M861" s="20"/>
      <c r="N861" s="18"/>
    </row>
    <row r="862">
      <c r="A862" s="17" t="str">
        <f t="shared" si="1"/>
        <v>PD-1601</v>
      </c>
      <c r="B862" s="18" t="s">
        <v>321</v>
      </c>
      <c r="C862" s="18" t="s">
        <v>322</v>
      </c>
      <c r="D862" s="18">
        <v>2.133333333</v>
      </c>
      <c r="E862" s="19">
        <v>43185.0</v>
      </c>
      <c r="F862" s="18" t="s">
        <v>81</v>
      </c>
      <c r="G862" s="18"/>
      <c r="H862" s="18"/>
      <c r="I862" s="18" t="s">
        <v>132</v>
      </c>
      <c r="J862" s="18"/>
      <c r="K862" s="20"/>
      <c r="L862" s="18"/>
      <c r="M862" s="20"/>
      <c r="N862" s="18"/>
    </row>
    <row r="863">
      <c r="A863" s="17" t="str">
        <f t="shared" si="1"/>
        <v>IOP-866</v>
      </c>
      <c r="B863" s="18" t="s">
        <v>117</v>
      </c>
      <c r="C863" s="18" t="s">
        <v>118</v>
      </c>
      <c r="D863" s="18">
        <v>0.016666667</v>
      </c>
      <c r="E863" s="19">
        <v>43186.0</v>
      </c>
      <c r="F863" s="18" t="s">
        <v>81</v>
      </c>
      <c r="G863" s="18"/>
      <c r="H863" s="18" t="s">
        <v>119</v>
      </c>
      <c r="I863" s="18" t="s">
        <v>120</v>
      </c>
      <c r="J863" s="18"/>
      <c r="K863" s="20"/>
      <c r="L863" s="18"/>
      <c r="M863" s="20"/>
      <c r="N863" s="18"/>
    </row>
    <row r="864">
      <c r="A864" s="17" t="str">
        <f t="shared" si="1"/>
        <v>IOP-898</v>
      </c>
      <c r="B864" s="18" t="s">
        <v>483</v>
      </c>
      <c r="C864" s="18" t="s">
        <v>484</v>
      </c>
      <c r="D864" s="18">
        <v>0.366666667</v>
      </c>
      <c r="E864" s="19">
        <v>43186.0</v>
      </c>
      <c r="F864" s="18" t="s">
        <v>81</v>
      </c>
      <c r="G864" s="18"/>
      <c r="H864" s="18"/>
      <c r="I864" s="18" t="s">
        <v>116</v>
      </c>
      <c r="J864" s="18"/>
      <c r="K864" s="20"/>
      <c r="L864" s="18"/>
      <c r="M864" s="20"/>
      <c r="N864" s="18"/>
    </row>
    <row r="865">
      <c r="A865" s="17" t="str">
        <f t="shared" si="1"/>
        <v>IOP-902</v>
      </c>
      <c r="B865" s="18" t="s">
        <v>473</v>
      </c>
      <c r="C865" s="18" t="s">
        <v>474</v>
      </c>
      <c r="D865" s="18">
        <v>0.066666667</v>
      </c>
      <c r="E865" s="19">
        <v>43186.0</v>
      </c>
      <c r="F865" s="18" t="s">
        <v>81</v>
      </c>
      <c r="G865" s="18"/>
      <c r="H865" s="18"/>
      <c r="I865" s="18" t="s">
        <v>132</v>
      </c>
      <c r="J865" s="18"/>
      <c r="K865" s="20"/>
      <c r="L865" s="18"/>
      <c r="M865" s="20"/>
      <c r="N865" s="18"/>
    </row>
    <row r="866">
      <c r="A866" s="17" t="str">
        <f t="shared" si="1"/>
        <v>PD-1596</v>
      </c>
      <c r="B866" s="18" t="s">
        <v>450</v>
      </c>
      <c r="C866" s="18" t="s">
        <v>451</v>
      </c>
      <c r="D866" s="18">
        <v>1.133333333</v>
      </c>
      <c r="E866" s="19">
        <v>43186.0</v>
      </c>
      <c r="F866" s="18" t="s">
        <v>81</v>
      </c>
      <c r="G866" s="18"/>
      <c r="H866" s="18" t="s">
        <v>213</v>
      </c>
      <c r="I866" s="18" t="s">
        <v>81</v>
      </c>
      <c r="J866" s="18"/>
      <c r="K866" s="20"/>
      <c r="L866" s="18"/>
      <c r="M866" s="20"/>
      <c r="N866" s="18"/>
    </row>
    <row r="867">
      <c r="A867" s="17" t="str">
        <f t="shared" si="1"/>
        <v>PD-1601</v>
      </c>
      <c r="B867" s="18" t="s">
        <v>321</v>
      </c>
      <c r="C867" s="18" t="s">
        <v>322</v>
      </c>
      <c r="D867" s="18">
        <v>1.966666667</v>
      </c>
      <c r="E867" s="19">
        <v>43186.0</v>
      </c>
      <c r="F867" s="18" t="s">
        <v>81</v>
      </c>
      <c r="G867" s="18"/>
      <c r="H867" s="18"/>
      <c r="I867" s="18" t="s">
        <v>132</v>
      </c>
      <c r="J867" s="18"/>
      <c r="K867" s="20"/>
      <c r="L867" s="18"/>
      <c r="M867" s="20"/>
      <c r="N867" s="18"/>
    </row>
    <row r="868">
      <c r="A868" s="17" t="str">
        <f t="shared" si="1"/>
        <v>PD-1605</v>
      </c>
      <c r="B868" s="18" t="s">
        <v>475</v>
      </c>
      <c r="C868" s="18" t="s">
        <v>476</v>
      </c>
      <c r="D868" s="18">
        <v>0.8</v>
      </c>
      <c r="E868" s="19">
        <v>43186.0</v>
      </c>
      <c r="F868" s="18" t="s">
        <v>81</v>
      </c>
      <c r="G868" s="18"/>
      <c r="H868" s="18"/>
      <c r="I868" s="18" t="s">
        <v>81</v>
      </c>
      <c r="J868" s="18"/>
      <c r="K868" s="20"/>
      <c r="L868" s="18"/>
      <c r="M868" s="20"/>
      <c r="N868" s="18"/>
    </row>
    <row r="869">
      <c r="A869" s="17" t="str">
        <f t="shared" si="1"/>
        <v>PD-1606</v>
      </c>
      <c r="B869" s="18" t="s">
        <v>477</v>
      </c>
      <c r="C869" s="18" t="s">
        <v>478</v>
      </c>
      <c r="D869" s="18">
        <v>2.033333333</v>
      </c>
      <c r="E869" s="19">
        <v>43186.0</v>
      </c>
      <c r="F869" s="18" t="s">
        <v>81</v>
      </c>
      <c r="G869" s="18"/>
      <c r="H869" s="18"/>
      <c r="I869" s="18" t="s">
        <v>81</v>
      </c>
      <c r="J869" s="18"/>
      <c r="K869" s="20"/>
      <c r="L869" s="18"/>
      <c r="M869" s="20"/>
      <c r="N869" s="18"/>
    </row>
    <row r="870">
      <c r="A870" s="17" t="str">
        <f t="shared" si="1"/>
        <v>PD-1597</v>
      </c>
      <c r="B870" s="18" t="s">
        <v>452</v>
      </c>
      <c r="C870" s="18" t="s">
        <v>453</v>
      </c>
      <c r="D870" s="18">
        <v>0.683333333</v>
      </c>
      <c r="E870" s="19">
        <v>43186.0</v>
      </c>
      <c r="F870" s="18" t="s">
        <v>81</v>
      </c>
      <c r="G870" s="18"/>
      <c r="H870" s="18" t="s">
        <v>106</v>
      </c>
      <c r="I870" s="18" t="s">
        <v>81</v>
      </c>
      <c r="J870" s="18"/>
      <c r="K870" s="20"/>
      <c r="L870" s="18"/>
      <c r="M870" s="20"/>
      <c r="N870" s="18"/>
    </row>
    <row r="871">
      <c r="A871" s="17" t="str">
        <f t="shared" si="1"/>
        <v>PD-1607</v>
      </c>
      <c r="B871" s="18" t="s">
        <v>479</v>
      </c>
      <c r="C871" s="18" t="s">
        <v>480</v>
      </c>
      <c r="D871" s="18">
        <v>0.9</v>
      </c>
      <c r="E871" s="19">
        <v>43186.0</v>
      </c>
      <c r="F871" s="18" t="s">
        <v>81</v>
      </c>
      <c r="G871" s="18"/>
      <c r="H871" s="18" t="s">
        <v>106</v>
      </c>
      <c r="I871" s="18" t="s">
        <v>81</v>
      </c>
      <c r="J871" s="18"/>
      <c r="K871" s="20"/>
      <c r="L871" s="18"/>
      <c r="M871" s="20"/>
      <c r="N871" s="18"/>
    </row>
    <row r="872">
      <c r="A872" s="17" t="str">
        <f t="shared" si="1"/>
        <v>IOP-867</v>
      </c>
      <c r="B872" s="18" t="s">
        <v>143</v>
      </c>
      <c r="C872" s="18" t="s">
        <v>144</v>
      </c>
      <c r="D872" s="18">
        <v>0.033333333</v>
      </c>
      <c r="E872" s="19">
        <v>43187.0</v>
      </c>
      <c r="F872" s="18" t="s">
        <v>81</v>
      </c>
      <c r="G872" s="18"/>
      <c r="H872" s="18" t="s">
        <v>119</v>
      </c>
      <c r="I872" s="18" t="s">
        <v>120</v>
      </c>
      <c r="J872" s="18"/>
      <c r="K872" s="20"/>
      <c r="L872" s="18"/>
      <c r="M872" s="20"/>
      <c r="N872" s="18"/>
    </row>
    <row r="873">
      <c r="A873" s="17" t="str">
        <f t="shared" si="1"/>
        <v>IOP-866</v>
      </c>
      <c r="B873" s="18" t="s">
        <v>117</v>
      </c>
      <c r="C873" s="18" t="s">
        <v>118</v>
      </c>
      <c r="D873" s="18">
        <v>0.066666667</v>
      </c>
      <c r="E873" s="19">
        <v>43187.0</v>
      </c>
      <c r="F873" s="18" t="s">
        <v>81</v>
      </c>
      <c r="G873" s="18"/>
      <c r="H873" s="18" t="s">
        <v>119</v>
      </c>
      <c r="I873" s="18" t="s">
        <v>120</v>
      </c>
      <c r="J873" s="18"/>
      <c r="K873" s="20"/>
      <c r="L873" s="18"/>
      <c r="M873" s="20"/>
      <c r="N873" s="18"/>
    </row>
    <row r="874">
      <c r="A874" s="17" t="str">
        <f t="shared" si="1"/>
        <v>PD-1573</v>
      </c>
      <c r="B874" s="18" t="s">
        <v>162</v>
      </c>
      <c r="C874" s="18" t="s">
        <v>163</v>
      </c>
      <c r="D874" s="18">
        <v>0.25</v>
      </c>
      <c r="E874" s="19">
        <v>43187.0</v>
      </c>
      <c r="F874" s="18" t="s">
        <v>81</v>
      </c>
      <c r="G874" s="18"/>
      <c r="H874" s="18" t="s">
        <v>164</v>
      </c>
      <c r="I874" s="18" t="s">
        <v>77</v>
      </c>
      <c r="J874" s="18"/>
      <c r="K874" s="20"/>
      <c r="L874" s="18"/>
      <c r="M874" s="20"/>
      <c r="N874" s="18"/>
    </row>
    <row r="875">
      <c r="A875" s="17" t="str">
        <f t="shared" si="1"/>
        <v>PD-1596</v>
      </c>
      <c r="B875" s="18" t="s">
        <v>450</v>
      </c>
      <c r="C875" s="18" t="s">
        <v>451</v>
      </c>
      <c r="D875" s="18">
        <v>3.616666667</v>
      </c>
      <c r="E875" s="19">
        <v>43187.0</v>
      </c>
      <c r="F875" s="18" t="s">
        <v>81</v>
      </c>
      <c r="G875" s="18"/>
      <c r="H875" s="18" t="s">
        <v>213</v>
      </c>
      <c r="I875" s="18" t="s">
        <v>81</v>
      </c>
      <c r="J875" s="18"/>
      <c r="K875" s="20"/>
      <c r="L875" s="18"/>
      <c r="M875" s="20"/>
      <c r="N875" s="18"/>
    </row>
    <row r="876">
      <c r="A876" s="17" t="str">
        <f t="shared" si="1"/>
        <v>PD-1607</v>
      </c>
      <c r="B876" s="18" t="s">
        <v>479</v>
      </c>
      <c r="C876" s="18" t="s">
        <v>480</v>
      </c>
      <c r="D876" s="18">
        <v>2.666666667</v>
      </c>
      <c r="E876" s="19">
        <v>43187.0</v>
      </c>
      <c r="F876" s="18" t="s">
        <v>81</v>
      </c>
      <c r="G876" s="18"/>
      <c r="H876" s="18" t="s">
        <v>106</v>
      </c>
      <c r="I876" s="18" t="s">
        <v>81</v>
      </c>
      <c r="J876" s="18"/>
      <c r="K876" s="20"/>
      <c r="L876" s="18"/>
      <c r="M876" s="20"/>
      <c r="N876" s="18"/>
    </row>
    <row r="877">
      <c r="A877" s="17" t="str">
        <f t="shared" si="1"/>
        <v>IOP-879</v>
      </c>
      <c r="B877" s="18" t="s">
        <v>155</v>
      </c>
      <c r="C877" s="18" t="s">
        <v>156</v>
      </c>
      <c r="D877" s="18">
        <v>1.05</v>
      </c>
      <c r="E877" s="19">
        <v>43187.0</v>
      </c>
      <c r="F877" s="18" t="s">
        <v>81</v>
      </c>
      <c r="G877" s="18"/>
      <c r="H877" s="18" t="s">
        <v>157</v>
      </c>
      <c r="I877" s="18" t="s">
        <v>120</v>
      </c>
      <c r="J877" s="18"/>
      <c r="K877" s="20"/>
      <c r="L877" s="18"/>
      <c r="M877" s="20"/>
      <c r="N877" s="18"/>
    </row>
    <row r="878">
      <c r="A878" s="17" t="str">
        <f t="shared" si="1"/>
        <v>PD-1609</v>
      </c>
      <c r="B878" s="18" t="s">
        <v>485</v>
      </c>
      <c r="C878" s="18" t="s">
        <v>486</v>
      </c>
      <c r="D878" s="18">
        <v>0.65</v>
      </c>
      <c r="E878" s="19">
        <v>43187.0</v>
      </c>
      <c r="F878" s="18" t="s">
        <v>81</v>
      </c>
      <c r="G878" s="18"/>
      <c r="H878" s="18" t="s">
        <v>96</v>
      </c>
      <c r="I878" s="18" t="s">
        <v>81</v>
      </c>
      <c r="J878" s="18"/>
      <c r="K878" s="20"/>
      <c r="L878" s="18"/>
      <c r="M878" s="20"/>
      <c r="N878" s="18"/>
    </row>
    <row r="879">
      <c r="A879" s="17" t="str">
        <f t="shared" si="1"/>
        <v>PD-1598</v>
      </c>
      <c r="B879" s="18" t="s">
        <v>454</v>
      </c>
      <c r="C879" s="18" t="s">
        <v>455</v>
      </c>
      <c r="D879" s="18">
        <v>0.066666667</v>
      </c>
      <c r="E879" s="19">
        <v>43187.0</v>
      </c>
      <c r="F879" s="18" t="s">
        <v>81</v>
      </c>
      <c r="G879" s="18"/>
      <c r="H879" s="18" t="s">
        <v>106</v>
      </c>
      <c r="I879" s="18" t="s">
        <v>81</v>
      </c>
      <c r="J879" s="18"/>
      <c r="K879" s="20"/>
      <c r="L879" s="18"/>
      <c r="M879" s="20"/>
      <c r="N879" s="18"/>
    </row>
    <row r="880">
      <c r="A880" s="17" t="str">
        <f t="shared" si="1"/>
        <v>IOP-867</v>
      </c>
      <c r="B880" s="18" t="s">
        <v>143</v>
      </c>
      <c r="C880" s="18" t="s">
        <v>144</v>
      </c>
      <c r="D880" s="18">
        <v>0.166666667</v>
      </c>
      <c r="E880" s="19">
        <v>43188.0</v>
      </c>
      <c r="F880" s="18" t="s">
        <v>81</v>
      </c>
      <c r="G880" s="18"/>
      <c r="H880" s="18" t="s">
        <v>119</v>
      </c>
      <c r="I880" s="18" t="s">
        <v>120</v>
      </c>
      <c r="J880" s="18"/>
      <c r="K880" s="20"/>
      <c r="L880" s="18"/>
      <c r="M880" s="20"/>
      <c r="N880" s="18"/>
    </row>
    <row r="881">
      <c r="A881" s="17" t="str">
        <f t="shared" si="1"/>
        <v>IOP-866</v>
      </c>
      <c r="B881" s="18" t="s">
        <v>117</v>
      </c>
      <c r="C881" s="18" t="s">
        <v>118</v>
      </c>
      <c r="D881" s="18">
        <v>0.1</v>
      </c>
      <c r="E881" s="19">
        <v>43188.0</v>
      </c>
      <c r="F881" s="18" t="s">
        <v>81</v>
      </c>
      <c r="G881" s="18"/>
      <c r="H881" s="18" t="s">
        <v>119</v>
      </c>
      <c r="I881" s="18" t="s">
        <v>120</v>
      </c>
      <c r="J881" s="18"/>
      <c r="K881" s="20"/>
      <c r="L881" s="18"/>
      <c r="M881" s="20"/>
      <c r="N881" s="18"/>
    </row>
    <row r="882">
      <c r="A882" s="17" t="str">
        <f t="shared" si="1"/>
        <v>PD-1609</v>
      </c>
      <c r="B882" s="18" t="s">
        <v>485</v>
      </c>
      <c r="C882" s="18" t="s">
        <v>486</v>
      </c>
      <c r="D882" s="18">
        <v>4.833333333</v>
      </c>
      <c r="E882" s="19">
        <v>43188.0</v>
      </c>
      <c r="F882" s="18" t="s">
        <v>81</v>
      </c>
      <c r="G882" s="18"/>
      <c r="H882" s="18" t="s">
        <v>96</v>
      </c>
      <c r="I882" s="18" t="s">
        <v>81</v>
      </c>
      <c r="J882" s="18"/>
      <c r="K882" s="20"/>
      <c r="L882" s="20"/>
      <c r="M882" s="20"/>
      <c r="N882" s="18"/>
    </row>
    <row r="883">
      <c r="A883" s="17" t="str">
        <f t="shared" si="1"/>
        <v>PD-1607</v>
      </c>
      <c r="B883" s="18" t="s">
        <v>479</v>
      </c>
      <c r="C883" s="18" t="s">
        <v>480</v>
      </c>
      <c r="D883" s="18">
        <v>1.483333333</v>
      </c>
      <c r="E883" s="19">
        <v>43188.0</v>
      </c>
      <c r="F883" s="18" t="s">
        <v>81</v>
      </c>
      <c r="G883" s="18"/>
      <c r="H883" s="18" t="s">
        <v>106</v>
      </c>
      <c r="I883" s="18" t="s">
        <v>81</v>
      </c>
      <c r="J883" s="18"/>
      <c r="K883" s="20"/>
      <c r="L883" s="20"/>
      <c r="M883" s="20"/>
      <c r="N883" s="18"/>
    </row>
    <row r="884">
      <c r="A884" s="17" t="str">
        <f t="shared" si="1"/>
        <v>PD-1611</v>
      </c>
      <c r="B884" s="18" t="s">
        <v>487</v>
      </c>
      <c r="C884" s="18" t="s">
        <v>488</v>
      </c>
      <c r="D884" s="18">
        <v>0.766666667</v>
      </c>
      <c r="E884" s="19">
        <v>43188.0</v>
      </c>
      <c r="F884" s="18" t="s">
        <v>81</v>
      </c>
      <c r="G884" s="18"/>
      <c r="H884" s="18" t="s">
        <v>101</v>
      </c>
      <c r="I884" s="18" t="s">
        <v>89</v>
      </c>
      <c r="J884" s="18"/>
      <c r="K884" s="20"/>
      <c r="L884" s="20"/>
      <c r="M884" s="20"/>
      <c r="N884" s="18"/>
    </row>
    <row r="885">
      <c r="A885" s="17" t="str">
        <f t="shared" si="1"/>
        <v>IOP-867</v>
      </c>
      <c r="B885" s="18" t="s">
        <v>143</v>
      </c>
      <c r="C885" s="18" t="s">
        <v>144</v>
      </c>
      <c r="D885" s="18">
        <v>0.033333333</v>
      </c>
      <c r="E885" s="19">
        <v>43192.0</v>
      </c>
      <c r="F885" s="18" t="s">
        <v>81</v>
      </c>
      <c r="G885" s="18"/>
      <c r="H885" s="18" t="s">
        <v>119</v>
      </c>
      <c r="I885" s="18" t="s">
        <v>120</v>
      </c>
      <c r="J885" s="18"/>
      <c r="K885" s="20"/>
      <c r="L885" s="20"/>
      <c r="M885" s="20"/>
      <c r="N885" s="18"/>
    </row>
    <row r="886">
      <c r="A886" s="17" t="str">
        <f t="shared" si="1"/>
        <v>PD-1540</v>
      </c>
      <c r="B886" s="18" t="s">
        <v>165</v>
      </c>
      <c r="C886" s="18" t="s">
        <v>166</v>
      </c>
      <c r="D886" s="18">
        <v>0.066666667</v>
      </c>
      <c r="E886" s="19">
        <v>43192.0</v>
      </c>
      <c r="F886" s="18" t="s">
        <v>81</v>
      </c>
      <c r="G886" s="18"/>
      <c r="H886" s="18" t="s">
        <v>167</v>
      </c>
      <c r="I886" s="18" t="s">
        <v>78</v>
      </c>
      <c r="J886" s="18"/>
      <c r="K886" s="20"/>
      <c r="L886" s="20"/>
      <c r="M886" s="20"/>
      <c r="N886" s="18"/>
    </row>
    <row r="887">
      <c r="A887" s="17" t="str">
        <f t="shared" si="1"/>
        <v>PD-1505</v>
      </c>
      <c r="B887" s="18" t="s">
        <v>260</v>
      </c>
      <c r="C887" s="18" t="s">
        <v>261</v>
      </c>
      <c r="D887" s="18">
        <v>0.233333333</v>
      </c>
      <c r="E887" s="19">
        <v>43192.0</v>
      </c>
      <c r="F887" s="18" t="s">
        <v>81</v>
      </c>
      <c r="G887" s="18"/>
      <c r="H887" s="18"/>
      <c r="I887" s="18" t="s">
        <v>77</v>
      </c>
      <c r="J887" s="18"/>
      <c r="K887" s="20"/>
      <c r="L887" s="20"/>
      <c r="M887" s="20"/>
      <c r="N887" s="18"/>
    </row>
    <row r="888">
      <c r="A888" s="17" t="str">
        <f t="shared" si="1"/>
        <v>PD-1609</v>
      </c>
      <c r="B888" s="18" t="s">
        <v>485</v>
      </c>
      <c r="C888" s="18" t="s">
        <v>486</v>
      </c>
      <c r="D888" s="18">
        <v>0.016666667</v>
      </c>
      <c r="E888" s="19">
        <v>43192.0</v>
      </c>
      <c r="F888" s="18" t="s">
        <v>81</v>
      </c>
      <c r="G888" s="18"/>
      <c r="H888" s="18" t="s">
        <v>96</v>
      </c>
      <c r="I888" s="18" t="s">
        <v>81</v>
      </c>
      <c r="J888" s="18"/>
      <c r="K888" s="20"/>
      <c r="L888" s="20"/>
      <c r="M888" s="20"/>
      <c r="N888" s="18"/>
    </row>
    <row r="889">
      <c r="A889" s="17" t="str">
        <f t="shared" si="1"/>
        <v>PD-1440</v>
      </c>
      <c r="B889" s="18" t="s">
        <v>158</v>
      </c>
      <c r="C889" s="18" t="s">
        <v>159</v>
      </c>
      <c r="D889" s="18">
        <v>0.316666667</v>
      </c>
      <c r="E889" s="19">
        <v>43192.0</v>
      </c>
      <c r="F889" s="18" t="s">
        <v>81</v>
      </c>
      <c r="G889" s="18"/>
      <c r="H889" s="18"/>
      <c r="I889" s="18" t="s">
        <v>81</v>
      </c>
      <c r="J889" s="18"/>
      <c r="K889" s="20"/>
      <c r="L889" s="20"/>
      <c r="M889" s="20"/>
      <c r="N889" s="18"/>
    </row>
    <row r="890">
      <c r="A890" s="17" t="str">
        <f t="shared" si="1"/>
        <v>PD-1612</v>
      </c>
      <c r="B890" s="18" t="s">
        <v>365</v>
      </c>
      <c r="C890" s="18" t="s">
        <v>366</v>
      </c>
      <c r="D890" s="18">
        <v>0.866666667</v>
      </c>
      <c r="E890" s="19">
        <v>43192.0</v>
      </c>
      <c r="F890" s="18" t="s">
        <v>81</v>
      </c>
      <c r="G890" s="18"/>
      <c r="H890" s="18" t="s">
        <v>88</v>
      </c>
      <c r="I890" s="18" t="s">
        <v>132</v>
      </c>
      <c r="J890" s="18"/>
      <c r="K890" s="20"/>
      <c r="L890" s="20"/>
      <c r="M890" s="20"/>
      <c r="N890" s="18"/>
    </row>
    <row r="891">
      <c r="A891" s="17" t="str">
        <f t="shared" si="1"/>
        <v>PD-1613</v>
      </c>
      <c r="B891" s="18" t="s">
        <v>397</v>
      </c>
      <c r="C891" s="18" t="s">
        <v>398</v>
      </c>
      <c r="D891" s="18">
        <v>0.95</v>
      </c>
      <c r="E891" s="19">
        <v>43192.0</v>
      </c>
      <c r="F891" s="18" t="s">
        <v>81</v>
      </c>
      <c r="G891" s="18"/>
      <c r="H891" s="18" t="s">
        <v>88</v>
      </c>
      <c r="I891" s="18" t="s">
        <v>132</v>
      </c>
      <c r="J891" s="18"/>
      <c r="K891" s="20"/>
      <c r="L891" s="20"/>
      <c r="M891" s="20"/>
      <c r="N891" s="18"/>
    </row>
    <row r="892">
      <c r="A892" s="17" t="str">
        <f t="shared" si="1"/>
        <v>PD-1606</v>
      </c>
      <c r="B892" s="18" t="s">
        <v>477</v>
      </c>
      <c r="C892" s="18" t="s">
        <v>478</v>
      </c>
      <c r="D892" s="18">
        <v>0.216666667</v>
      </c>
      <c r="E892" s="19">
        <v>43192.0</v>
      </c>
      <c r="F892" s="18" t="s">
        <v>81</v>
      </c>
      <c r="G892" s="18"/>
      <c r="H892" s="18"/>
      <c r="I892" s="18" t="s">
        <v>81</v>
      </c>
      <c r="J892" s="18"/>
      <c r="K892" s="20"/>
      <c r="L892" s="20"/>
      <c r="M892" s="20"/>
      <c r="N892" s="18"/>
    </row>
    <row r="893">
      <c r="A893" s="17" t="str">
        <f t="shared" si="1"/>
        <v>PD-1604</v>
      </c>
      <c r="B893" s="18" t="s">
        <v>330</v>
      </c>
      <c r="C893" s="18" t="s">
        <v>331</v>
      </c>
      <c r="D893" s="18">
        <v>0.916666667</v>
      </c>
      <c r="E893" s="19">
        <v>43192.0</v>
      </c>
      <c r="F893" s="18" t="s">
        <v>81</v>
      </c>
      <c r="G893" s="18"/>
      <c r="H893" s="18" t="s">
        <v>106</v>
      </c>
      <c r="I893" s="18" t="s">
        <v>81</v>
      </c>
      <c r="J893" s="18"/>
      <c r="K893" s="20"/>
      <c r="L893" s="18"/>
      <c r="M893" s="20"/>
      <c r="N893" s="18"/>
    </row>
    <row r="894">
      <c r="A894" s="17" t="str">
        <f t="shared" si="1"/>
        <v>PD-1614</v>
      </c>
      <c r="B894" s="18" t="s">
        <v>489</v>
      </c>
      <c r="C894" s="18" t="s">
        <v>490</v>
      </c>
      <c r="D894" s="18">
        <v>0.1</v>
      </c>
      <c r="E894" s="19">
        <v>43192.0</v>
      </c>
      <c r="F894" s="18" t="s">
        <v>81</v>
      </c>
      <c r="G894" s="18"/>
      <c r="H894" s="18" t="s">
        <v>106</v>
      </c>
      <c r="I894" s="18" t="s">
        <v>81</v>
      </c>
      <c r="J894" s="18"/>
      <c r="K894" s="20"/>
      <c r="L894" s="20"/>
      <c r="M894" s="20"/>
      <c r="N894" s="18"/>
    </row>
    <row r="895">
      <c r="A895" s="17" t="str">
        <f t="shared" si="1"/>
        <v>PD-1607</v>
      </c>
      <c r="B895" s="18" t="s">
        <v>479</v>
      </c>
      <c r="C895" s="18" t="s">
        <v>480</v>
      </c>
      <c r="D895" s="18">
        <v>2.283333333</v>
      </c>
      <c r="E895" s="19">
        <v>43192.0</v>
      </c>
      <c r="F895" s="18" t="s">
        <v>81</v>
      </c>
      <c r="G895" s="18"/>
      <c r="H895" s="18" t="s">
        <v>106</v>
      </c>
      <c r="I895" s="18" t="s">
        <v>81</v>
      </c>
      <c r="J895" s="18"/>
      <c r="K895" s="20"/>
      <c r="L895" s="18"/>
      <c r="M895" s="20"/>
      <c r="N895" s="18"/>
    </row>
    <row r="896">
      <c r="A896" s="17" t="str">
        <f t="shared" si="1"/>
        <v>PD-1596</v>
      </c>
      <c r="B896" s="18" t="s">
        <v>450</v>
      </c>
      <c r="C896" s="18" t="s">
        <v>451</v>
      </c>
      <c r="D896" s="18">
        <v>1.733333333</v>
      </c>
      <c r="E896" s="19">
        <v>43192.0</v>
      </c>
      <c r="F896" s="18" t="s">
        <v>81</v>
      </c>
      <c r="G896" s="18"/>
      <c r="H896" s="18" t="s">
        <v>213</v>
      </c>
      <c r="I896" s="18" t="s">
        <v>81</v>
      </c>
      <c r="J896" s="18"/>
      <c r="K896" s="20"/>
      <c r="L896" s="18"/>
      <c r="M896" s="20"/>
      <c r="N896" s="18"/>
    </row>
    <row r="897">
      <c r="A897" s="17" t="str">
        <f t="shared" si="1"/>
        <v>IOP-866</v>
      </c>
      <c r="B897" s="18" t="s">
        <v>117</v>
      </c>
      <c r="C897" s="18" t="s">
        <v>118</v>
      </c>
      <c r="D897" s="18">
        <v>0.15</v>
      </c>
      <c r="E897" s="19">
        <v>43192.0</v>
      </c>
      <c r="F897" s="18" t="s">
        <v>81</v>
      </c>
      <c r="G897" s="18"/>
      <c r="H897" s="18" t="s">
        <v>119</v>
      </c>
      <c r="I897" s="18" t="s">
        <v>120</v>
      </c>
      <c r="J897" s="18"/>
      <c r="K897" s="20"/>
      <c r="L897" s="20"/>
      <c r="M897" s="20"/>
      <c r="N897" s="18"/>
    </row>
    <row r="898">
      <c r="A898" s="17" t="str">
        <f t="shared" si="1"/>
        <v>IOP-867</v>
      </c>
      <c r="B898" s="18" t="s">
        <v>143</v>
      </c>
      <c r="C898" s="18" t="s">
        <v>144</v>
      </c>
      <c r="D898" s="18">
        <v>0.033333333</v>
      </c>
      <c r="E898" s="19">
        <v>43193.0</v>
      </c>
      <c r="F898" s="18" t="s">
        <v>81</v>
      </c>
      <c r="G898" s="18"/>
      <c r="H898" s="18" t="s">
        <v>119</v>
      </c>
      <c r="I898" s="18" t="s">
        <v>120</v>
      </c>
      <c r="J898" s="18"/>
      <c r="K898" s="20"/>
      <c r="L898" s="20"/>
      <c r="M898" s="20"/>
      <c r="N898" s="18"/>
    </row>
    <row r="899">
      <c r="A899" s="17" t="str">
        <f t="shared" si="1"/>
        <v>IOP-866</v>
      </c>
      <c r="B899" s="18" t="s">
        <v>117</v>
      </c>
      <c r="C899" s="18" t="s">
        <v>118</v>
      </c>
      <c r="D899" s="18">
        <v>0.1</v>
      </c>
      <c r="E899" s="19">
        <v>43193.0</v>
      </c>
      <c r="F899" s="18" t="s">
        <v>81</v>
      </c>
      <c r="G899" s="18"/>
      <c r="H899" s="18" t="s">
        <v>119</v>
      </c>
      <c r="I899" s="18" t="s">
        <v>120</v>
      </c>
      <c r="J899" s="18"/>
      <c r="K899" s="20"/>
      <c r="L899" s="18"/>
      <c r="M899" s="20"/>
      <c r="N899" s="18"/>
    </row>
    <row r="900">
      <c r="A900" s="17" t="str">
        <f t="shared" si="1"/>
        <v>PD-1596</v>
      </c>
      <c r="B900" s="18" t="s">
        <v>450</v>
      </c>
      <c r="C900" s="18" t="s">
        <v>451</v>
      </c>
      <c r="D900" s="18">
        <v>2.266666667</v>
      </c>
      <c r="E900" s="19">
        <v>43193.0</v>
      </c>
      <c r="F900" s="18" t="s">
        <v>81</v>
      </c>
      <c r="G900" s="18"/>
      <c r="H900" s="18" t="s">
        <v>213</v>
      </c>
      <c r="I900" s="18" t="s">
        <v>81</v>
      </c>
      <c r="J900" s="18"/>
      <c r="K900" s="20"/>
      <c r="L900" s="18"/>
      <c r="M900" s="20"/>
      <c r="N900" s="18"/>
    </row>
    <row r="901">
      <c r="A901" s="17" t="str">
        <f t="shared" si="1"/>
        <v>PD-1473</v>
      </c>
      <c r="B901" s="18" t="s">
        <v>371</v>
      </c>
      <c r="C901" s="18" t="s">
        <v>372</v>
      </c>
      <c r="D901" s="18">
        <v>0.3</v>
      </c>
      <c r="E901" s="19">
        <v>43193.0</v>
      </c>
      <c r="F901" s="18" t="s">
        <v>81</v>
      </c>
      <c r="G901" s="18"/>
      <c r="H901" s="18" t="s">
        <v>88</v>
      </c>
      <c r="I901" s="18" t="s">
        <v>132</v>
      </c>
      <c r="J901" s="18"/>
      <c r="K901" s="20"/>
      <c r="L901" s="18"/>
      <c r="M901" s="20"/>
      <c r="N901" s="18"/>
    </row>
    <row r="902">
      <c r="A902" s="17" t="str">
        <f t="shared" si="1"/>
        <v>PD-1612</v>
      </c>
      <c r="B902" s="18" t="s">
        <v>365</v>
      </c>
      <c r="C902" s="18" t="s">
        <v>366</v>
      </c>
      <c r="D902" s="18">
        <v>0.083333333</v>
      </c>
      <c r="E902" s="19">
        <v>43193.0</v>
      </c>
      <c r="F902" s="18" t="s">
        <v>81</v>
      </c>
      <c r="G902" s="18"/>
      <c r="H902" s="18" t="s">
        <v>88</v>
      </c>
      <c r="I902" s="18" t="s">
        <v>132</v>
      </c>
      <c r="J902" s="18"/>
      <c r="K902" s="20"/>
      <c r="L902" s="18"/>
      <c r="M902" s="20"/>
      <c r="N902" s="18"/>
    </row>
    <row r="903">
      <c r="A903" s="17" t="str">
        <f t="shared" si="1"/>
        <v>PD-1613</v>
      </c>
      <c r="B903" s="18" t="s">
        <v>397</v>
      </c>
      <c r="C903" s="18" t="s">
        <v>398</v>
      </c>
      <c r="D903" s="18">
        <v>0.016666667</v>
      </c>
      <c r="E903" s="19">
        <v>43193.0</v>
      </c>
      <c r="F903" s="18" t="s">
        <v>81</v>
      </c>
      <c r="G903" s="18"/>
      <c r="H903" s="18" t="s">
        <v>88</v>
      </c>
      <c r="I903" s="18" t="s">
        <v>132</v>
      </c>
      <c r="J903" s="18"/>
      <c r="K903" s="20"/>
      <c r="L903" s="20"/>
      <c r="M903" s="20"/>
      <c r="N903" s="18"/>
    </row>
    <row r="904">
      <c r="A904" s="17" t="str">
        <f t="shared" si="1"/>
        <v>PD-1607</v>
      </c>
      <c r="B904" s="18" t="s">
        <v>479</v>
      </c>
      <c r="C904" s="18" t="s">
        <v>480</v>
      </c>
      <c r="D904" s="18">
        <v>1.916666667</v>
      </c>
      <c r="E904" s="19">
        <v>43193.0</v>
      </c>
      <c r="F904" s="18" t="s">
        <v>81</v>
      </c>
      <c r="G904" s="18"/>
      <c r="H904" s="18" t="s">
        <v>106</v>
      </c>
      <c r="I904" s="18" t="s">
        <v>81</v>
      </c>
      <c r="J904" s="18"/>
      <c r="K904" s="20"/>
      <c r="L904" s="20"/>
      <c r="M904" s="20"/>
      <c r="N904" s="18"/>
    </row>
    <row r="905">
      <c r="A905" s="17" t="str">
        <f t="shared" si="1"/>
        <v>IOP-884</v>
      </c>
      <c r="B905" s="18" t="s">
        <v>491</v>
      </c>
      <c r="C905" s="18" t="s">
        <v>492</v>
      </c>
      <c r="D905" s="18">
        <v>0.433333333</v>
      </c>
      <c r="E905" s="19">
        <v>43193.0</v>
      </c>
      <c r="F905" s="18" t="s">
        <v>81</v>
      </c>
      <c r="G905" s="18"/>
      <c r="H905" s="18" t="s">
        <v>125</v>
      </c>
      <c r="I905" s="18" t="s">
        <v>120</v>
      </c>
      <c r="J905" s="18"/>
      <c r="K905" s="20"/>
      <c r="L905" s="20"/>
      <c r="M905" s="20"/>
      <c r="N905" s="18"/>
    </row>
    <row r="906">
      <c r="A906" s="17" t="str">
        <f t="shared" si="1"/>
        <v>PD-1611</v>
      </c>
      <c r="B906" s="18" t="s">
        <v>487</v>
      </c>
      <c r="C906" s="18" t="s">
        <v>488</v>
      </c>
      <c r="D906" s="18">
        <v>0.45</v>
      </c>
      <c r="E906" s="19">
        <v>43193.0</v>
      </c>
      <c r="F906" s="18" t="s">
        <v>81</v>
      </c>
      <c r="G906" s="18"/>
      <c r="H906" s="18" t="s">
        <v>101</v>
      </c>
      <c r="I906" s="18" t="s">
        <v>89</v>
      </c>
      <c r="J906" s="18"/>
      <c r="K906" s="20"/>
      <c r="L906" s="20"/>
      <c r="M906" s="20"/>
      <c r="N906" s="18"/>
    </row>
    <row r="907">
      <c r="A907" s="17" t="str">
        <f t="shared" si="1"/>
        <v>PD-1614</v>
      </c>
      <c r="B907" s="18" t="s">
        <v>489</v>
      </c>
      <c r="C907" s="18" t="s">
        <v>490</v>
      </c>
      <c r="D907" s="18">
        <v>1.55</v>
      </c>
      <c r="E907" s="19">
        <v>43193.0</v>
      </c>
      <c r="F907" s="18" t="s">
        <v>81</v>
      </c>
      <c r="G907" s="18"/>
      <c r="H907" s="18" t="s">
        <v>106</v>
      </c>
      <c r="I907" s="18" t="s">
        <v>81</v>
      </c>
      <c r="J907" s="18"/>
      <c r="K907" s="20"/>
      <c r="L907" s="20"/>
      <c r="M907" s="20"/>
      <c r="N907" s="18"/>
    </row>
    <row r="908">
      <c r="A908" s="17" t="str">
        <f t="shared" si="1"/>
        <v>IOP-875</v>
      </c>
      <c r="B908" s="18" t="s">
        <v>123</v>
      </c>
      <c r="C908" s="18" t="s">
        <v>124</v>
      </c>
      <c r="D908" s="18">
        <v>0.333333333</v>
      </c>
      <c r="E908" s="19">
        <v>43193.0</v>
      </c>
      <c r="F908" s="18" t="s">
        <v>81</v>
      </c>
      <c r="G908" s="18"/>
      <c r="H908" s="18" t="s">
        <v>125</v>
      </c>
      <c r="I908" s="18" t="s">
        <v>120</v>
      </c>
      <c r="J908" s="18"/>
      <c r="K908" s="20"/>
      <c r="L908" s="18"/>
      <c r="M908" s="20"/>
      <c r="N908" s="18"/>
    </row>
    <row r="909">
      <c r="A909" s="17" t="str">
        <f t="shared" si="1"/>
        <v>IOP-867</v>
      </c>
      <c r="B909" s="18" t="s">
        <v>143</v>
      </c>
      <c r="C909" s="18" t="s">
        <v>144</v>
      </c>
      <c r="D909" s="18">
        <v>0.166666667</v>
      </c>
      <c r="E909" s="19">
        <v>43194.0</v>
      </c>
      <c r="F909" s="18" t="s">
        <v>81</v>
      </c>
      <c r="G909" s="18"/>
      <c r="H909" s="18" t="s">
        <v>119</v>
      </c>
      <c r="I909" s="18" t="s">
        <v>120</v>
      </c>
      <c r="J909" s="18"/>
      <c r="K909" s="20"/>
      <c r="L909" s="20"/>
      <c r="M909" s="20"/>
      <c r="N909" s="18"/>
    </row>
    <row r="910">
      <c r="A910" s="17" t="str">
        <f t="shared" si="1"/>
        <v>IOP-866</v>
      </c>
      <c r="B910" s="18" t="s">
        <v>117</v>
      </c>
      <c r="C910" s="18" t="s">
        <v>118</v>
      </c>
      <c r="D910" s="18">
        <v>0.05</v>
      </c>
      <c r="E910" s="19">
        <v>43194.0</v>
      </c>
      <c r="F910" s="18" t="s">
        <v>81</v>
      </c>
      <c r="G910" s="18"/>
      <c r="H910" s="18" t="s">
        <v>119</v>
      </c>
      <c r="I910" s="18" t="s">
        <v>120</v>
      </c>
      <c r="J910" s="18"/>
      <c r="K910" s="20"/>
      <c r="L910" s="20"/>
      <c r="M910" s="20"/>
      <c r="N910" s="18"/>
    </row>
    <row r="911">
      <c r="A911" s="17" t="str">
        <f t="shared" si="1"/>
        <v>PD-1596</v>
      </c>
      <c r="B911" s="18" t="s">
        <v>450</v>
      </c>
      <c r="C911" s="18" t="s">
        <v>451</v>
      </c>
      <c r="D911" s="18">
        <v>0.1</v>
      </c>
      <c r="E911" s="19">
        <v>43194.0</v>
      </c>
      <c r="F911" s="18" t="s">
        <v>81</v>
      </c>
      <c r="G911" s="18"/>
      <c r="H911" s="18" t="s">
        <v>213</v>
      </c>
      <c r="I911" s="18" t="s">
        <v>81</v>
      </c>
      <c r="J911" s="18"/>
      <c r="K911" s="20"/>
      <c r="L911" s="20"/>
      <c r="M911" s="20"/>
      <c r="N911" s="18"/>
    </row>
    <row r="912">
      <c r="A912" s="17" t="str">
        <f t="shared" si="1"/>
        <v>PD-1565</v>
      </c>
      <c r="B912" s="18" t="s">
        <v>75</v>
      </c>
      <c r="C912" s="18" t="s">
        <v>76</v>
      </c>
      <c r="D912" s="18">
        <v>1.833333333</v>
      </c>
      <c r="E912" s="19">
        <v>43194.0</v>
      </c>
      <c r="F912" s="18" t="s">
        <v>81</v>
      </c>
      <c r="G912" s="18"/>
      <c r="H912" s="18"/>
      <c r="I912" s="18" t="s">
        <v>78</v>
      </c>
      <c r="J912" s="18"/>
      <c r="K912" s="20"/>
      <c r="L912" s="18"/>
      <c r="M912" s="20"/>
      <c r="N912" s="18"/>
    </row>
    <row r="913">
      <c r="A913" s="17" t="str">
        <f t="shared" si="1"/>
        <v>PD-1607</v>
      </c>
      <c r="B913" s="18" t="s">
        <v>479</v>
      </c>
      <c r="C913" s="18" t="s">
        <v>480</v>
      </c>
      <c r="D913" s="18">
        <v>5.516666667</v>
      </c>
      <c r="E913" s="19">
        <v>43194.0</v>
      </c>
      <c r="F913" s="18" t="s">
        <v>81</v>
      </c>
      <c r="G913" s="18"/>
      <c r="H913" s="18" t="s">
        <v>106</v>
      </c>
      <c r="I913" s="18" t="s">
        <v>81</v>
      </c>
      <c r="J913" s="18"/>
      <c r="K913" s="20"/>
      <c r="L913" s="18"/>
      <c r="M913" s="20"/>
      <c r="N913" s="18"/>
    </row>
    <row r="914">
      <c r="A914" s="17" t="str">
        <f t="shared" si="1"/>
        <v>IOP-879</v>
      </c>
      <c r="B914" s="18" t="s">
        <v>155</v>
      </c>
      <c r="C914" s="18" t="s">
        <v>156</v>
      </c>
      <c r="D914" s="18">
        <v>0.8</v>
      </c>
      <c r="E914" s="19">
        <v>43194.0</v>
      </c>
      <c r="F914" s="18" t="s">
        <v>81</v>
      </c>
      <c r="G914" s="18"/>
      <c r="H914" s="18" t="s">
        <v>157</v>
      </c>
      <c r="I914" s="18" t="s">
        <v>120</v>
      </c>
      <c r="J914" s="18"/>
      <c r="K914" s="20"/>
      <c r="L914" s="18"/>
      <c r="M914" s="20"/>
      <c r="N914" s="18"/>
    </row>
    <row r="915">
      <c r="A915" s="17" t="str">
        <f t="shared" si="1"/>
        <v>IOP-867</v>
      </c>
      <c r="B915" s="18" t="s">
        <v>143</v>
      </c>
      <c r="C915" s="18" t="s">
        <v>144</v>
      </c>
      <c r="D915" s="18">
        <v>0.15</v>
      </c>
      <c r="E915" s="19">
        <v>43195.0</v>
      </c>
      <c r="F915" s="18" t="s">
        <v>81</v>
      </c>
      <c r="G915" s="18"/>
      <c r="H915" s="18" t="s">
        <v>119</v>
      </c>
      <c r="I915" s="18" t="s">
        <v>120</v>
      </c>
      <c r="J915" s="18"/>
      <c r="K915" s="20"/>
      <c r="L915" s="18"/>
      <c r="M915" s="20"/>
      <c r="N915" s="18"/>
    </row>
    <row r="916">
      <c r="A916" s="17" t="str">
        <f t="shared" si="1"/>
        <v>IOP-866</v>
      </c>
      <c r="B916" s="18" t="s">
        <v>117</v>
      </c>
      <c r="C916" s="18" t="s">
        <v>118</v>
      </c>
      <c r="D916" s="18">
        <v>0.183333333</v>
      </c>
      <c r="E916" s="19">
        <v>43195.0</v>
      </c>
      <c r="F916" s="18" t="s">
        <v>81</v>
      </c>
      <c r="G916" s="18"/>
      <c r="H916" s="18" t="s">
        <v>119</v>
      </c>
      <c r="I916" s="18" t="s">
        <v>120</v>
      </c>
      <c r="J916" s="18"/>
      <c r="K916" s="20"/>
      <c r="L916" s="18"/>
      <c r="M916" s="20"/>
      <c r="N916" s="18"/>
    </row>
    <row r="917">
      <c r="A917" s="17" t="str">
        <f t="shared" si="1"/>
        <v>PD-1565</v>
      </c>
      <c r="B917" s="18" t="s">
        <v>75</v>
      </c>
      <c r="C917" s="18" t="s">
        <v>76</v>
      </c>
      <c r="D917" s="18">
        <v>1.283333333</v>
      </c>
      <c r="E917" s="19">
        <v>43195.0</v>
      </c>
      <c r="F917" s="18" t="s">
        <v>81</v>
      </c>
      <c r="G917" s="18"/>
      <c r="H917" s="18"/>
      <c r="I917" s="18" t="s">
        <v>78</v>
      </c>
      <c r="J917" s="18"/>
      <c r="K917" s="20"/>
      <c r="L917" s="18"/>
      <c r="M917" s="20"/>
      <c r="N917" s="18"/>
    </row>
    <row r="918">
      <c r="A918" s="17" t="str">
        <f t="shared" si="1"/>
        <v>PD-1607</v>
      </c>
      <c r="B918" s="18" t="s">
        <v>479</v>
      </c>
      <c r="C918" s="18" t="s">
        <v>480</v>
      </c>
      <c r="D918" s="18">
        <v>5.75</v>
      </c>
      <c r="E918" s="19">
        <v>43195.0</v>
      </c>
      <c r="F918" s="18" t="s">
        <v>81</v>
      </c>
      <c r="G918" s="18"/>
      <c r="H918" s="18" t="s">
        <v>106</v>
      </c>
      <c r="I918" s="18" t="s">
        <v>81</v>
      </c>
      <c r="J918" s="18"/>
      <c r="K918" s="20"/>
      <c r="L918" s="20"/>
      <c r="M918" s="20"/>
      <c r="N918" s="18"/>
    </row>
    <row r="919">
      <c r="A919" s="17" t="str">
        <f t="shared" si="1"/>
        <v>IOP-867</v>
      </c>
      <c r="B919" s="18" t="s">
        <v>143</v>
      </c>
      <c r="C919" s="18" t="s">
        <v>144</v>
      </c>
      <c r="D919" s="18">
        <v>0.016666667</v>
      </c>
      <c r="E919" s="19">
        <v>43196.0</v>
      </c>
      <c r="F919" s="18" t="s">
        <v>81</v>
      </c>
      <c r="G919" s="18"/>
      <c r="H919" s="18" t="s">
        <v>119</v>
      </c>
      <c r="I919" s="18" t="s">
        <v>120</v>
      </c>
      <c r="J919" s="18"/>
      <c r="K919" s="20"/>
      <c r="L919" s="20"/>
      <c r="M919" s="20"/>
      <c r="N919" s="18"/>
    </row>
    <row r="920">
      <c r="A920" s="17" t="str">
        <f t="shared" si="1"/>
        <v>IOP-866</v>
      </c>
      <c r="B920" s="18" t="s">
        <v>117</v>
      </c>
      <c r="C920" s="18" t="s">
        <v>118</v>
      </c>
      <c r="D920" s="18">
        <v>0.166666667</v>
      </c>
      <c r="E920" s="19">
        <v>43196.0</v>
      </c>
      <c r="F920" s="18" t="s">
        <v>81</v>
      </c>
      <c r="G920" s="18"/>
      <c r="H920" s="18" t="s">
        <v>119</v>
      </c>
      <c r="I920" s="18" t="s">
        <v>120</v>
      </c>
      <c r="J920" s="18"/>
      <c r="K920" s="20"/>
      <c r="L920" s="20"/>
      <c r="M920" s="20"/>
      <c r="N920" s="18"/>
    </row>
    <row r="921">
      <c r="A921" s="17" t="str">
        <f t="shared" si="1"/>
        <v>PD-1607</v>
      </c>
      <c r="B921" s="18" t="s">
        <v>479</v>
      </c>
      <c r="C921" s="18" t="s">
        <v>480</v>
      </c>
      <c r="D921" s="18">
        <v>1.216666667</v>
      </c>
      <c r="E921" s="19">
        <v>43196.0</v>
      </c>
      <c r="F921" s="18" t="s">
        <v>81</v>
      </c>
      <c r="G921" s="18"/>
      <c r="H921" s="18" t="s">
        <v>106</v>
      </c>
      <c r="I921" s="18" t="s">
        <v>81</v>
      </c>
      <c r="J921" s="18"/>
      <c r="K921" s="20"/>
      <c r="L921" s="20"/>
      <c r="M921" s="20"/>
      <c r="N921" s="18"/>
    </row>
    <row r="922">
      <c r="A922" s="17" t="str">
        <f t="shared" si="1"/>
        <v>PD-1436</v>
      </c>
      <c r="B922" s="18" t="s">
        <v>493</v>
      </c>
      <c r="C922" s="18" t="s">
        <v>494</v>
      </c>
      <c r="D922" s="18">
        <v>0.35</v>
      </c>
      <c r="E922" s="19">
        <v>43196.0</v>
      </c>
      <c r="F922" s="18" t="s">
        <v>81</v>
      </c>
      <c r="G922" s="18"/>
      <c r="H922" s="18" t="s">
        <v>302</v>
      </c>
      <c r="I922" s="18" t="s">
        <v>77</v>
      </c>
      <c r="J922" s="18"/>
      <c r="K922" s="20"/>
      <c r="L922" s="20"/>
      <c r="M922" s="18"/>
      <c r="N922" s="18"/>
    </row>
    <row r="923">
      <c r="A923" s="17" t="str">
        <f t="shared" si="1"/>
        <v>PD-1614</v>
      </c>
      <c r="B923" s="18" t="s">
        <v>489</v>
      </c>
      <c r="C923" s="18" t="s">
        <v>490</v>
      </c>
      <c r="D923" s="18">
        <v>5.883333333</v>
      </c>
      <c r="E923" s="19">
        <v>43196.0</v>
      </c>
      <c r="F923" s="18" t="s">
        <v>81</v>
      </c>
      <c r="G923" s="18"/>
      <c r="H923" s="18" t="s">
        <v>106</v>
      </c>
      <c r="I923" s="18" t="s">
        <v>81</v>
      </c>
      <c r="J923" s="18"/>
      <c r="K923" s="20"/>
      <c r="L923" s="20"/>
      <c r="M923" s="18"/>
      <c r="N923" s="18"/>
    </row>
    <row r="924">
      <c r="A924" s="17" t="str">
        <f t="shared" si="1"/>
        <v>PD-1588</v>
      </c>
      <c r="B924" s="18" t="s">
        <v>444</v>
      </c>
      <c r="C924" s="18" t="s">
        <v>445</v>
      </c>
      <c r="D924" s="18">
        <v>0.283333333</v>
      </c>
      <c r="E924" s="19">
        <v>43196.0</v>
      </c>
      <c r="F924" s="18" t="s">
        <v>81</v>
      </c>
      <c r="G924" s="18"/>
      <c r="H924" s="18" t="s">
        <v>106</v>
      </c>
      <c r="I924" s="18" t="s">
        <v>81</v>
      </c>
      <c r="J924" s="18"/>
      <c r="K924" s="20"/>
      <c r="L924" s="20"/>
      <c r="M924" s="18"/>
      <c r="N924" s="18"/>
    </row>
    <row r="925">
      <c r="A925" s="17" t="str">
        <f t="shared" si="1"/>
        <v>IOP-867</v>
      </c>
      <c r="B925" s="18" t="s">
        <v>143</v>
      </c>
      <c r="C925" s="18" t="s">
        <v>144</v>
      </c>
      <c r="D925" s="18">
        <v>0.1</v>
      </c>
      <c r="E925" s="19">
        <v>43199.0</v>
      </c>
      <c r="F925" s="18" t="s">
        <v>81</v>
      </c>
      <c r="G925" s="18"/>
      <c r="H925" s="18" t="s">
        <v>119</v>
      </c>
      <c r="I925" s="18" t="s">
        <v>120</v>
      </c>
      <c r="J925" s="18"/>
      <c r="K925" s="20"/>
      <c r="L925" s="20"/>
      <c r="M925" s="20"/>
      <c r="N925" s="18"/>
    </row>
    <row r="926">
      <c r="A926" s="17" t="str">
        <f t="shared" si="1"/>
        <v>IOP-866</v>
      </c>
      <c r="B926" s="18" t="s">
        <v>117</v>
      </c>
      <c r="C926" s="18" t="s">
        <v>118</v>
      </c>
      <c r="D926" s="18">
        <v>0.116666667</v>
      </c>
      <c r="E926" s="19">
        <v>43199.0</v>
      </c>
      <c r="F926" s="18" t="s">
        <v>81</v>
      </c>
      <c r="G926" s="18"/>
      <c r="H926" s="18" t="s">
        <v>119</v>
      </c>
      <c r="I926" s="18" t="s">
        <v>120</v>
      </c>
      <c r="J926" s="18"/>
      <c r="K926" s="20"/>
      <c r="L926" s="20"/>
      <c r="M926" s="18"/>
      <c r="N926" s="18"/>
    </row>
    <row r="927">
      <c r="A927" s="17" t="str">
        <f t="shared" si="1"/>
        <v>PD-1614</v>
      </c>
      <c r="B927" s="18" t="s">
        <v>489</v>
      </c>
      <c r="C927" s="18" t="s">
        <v>490</v>
      </c>
      <c r="D927" s="18">
        <v>1.466666667</v>
      </c>
      <c r="E927" s="19">
        <v>43199.0</v>
      </c>
      <c r="F927" s="18" t="s">
        <v>81</v>
      </c>
      <c r="G927" s="18"/>
      <c r="H927" s="18" t="s">
        <v>106</v>
      </c>
      <c r="I927" s="18" t="s">
        <v>81</v>
      </c>
      <c r="J927" s="18"/>
      <c r="K927" s="20"/>
      <c r="L927" s="20"/>
      <c r="M927" s="18"/>
      <c r="N927" s="18"/>
    </row>
    <row r="928">
      <c r="A928" s="17" t="str">
        <f t="shared" si="1"/>
        <v>PD-1565</v>
      </c>
      <c r="B928" s="18" t="s">
        <v>75</v>
      </c>
      <c r="C928" s="18" t="s">
        <v>76</v>
      </c>
      <c r="D928" s="18">
        <v>0.083333333</v>
      </c>
      <c r="E928" s="19">
        <v>43199.0</v>
      </c>
      <c r="F928" s="18" t="s">
        <v>81</v>
      </c>
      <c r="G928" s="18"/>
      <c r="H928" s="18"/>
      <c r="I928" s="18" t="s">
        <v>78</v>
      </c>
      <c r="J928" s="18"/>
      <c r="K928" s="20"/>
      <c r="L928" s="20"/>
      <c r="M928" s="18"/>
      <c r="N928" s="18"/>
    </row>
    <row r="929">
      <c r="A929" s="17" t="str">
        <f t="shared" si="1"/>
        <v>PD-1604</v>
      </c>
      <c r="B929" s="18" t="s">
        <v>330</v>
      </c>
      <c r="C929" s="18" t="s">
        <v>331</v>
      </c>
      <c r="D929" s="18">
        <v>1.433333333</v>
      </c>
      <c r="E929" s="19">
        <v>43199.0</v>
      </c>
      <c r="F929" s="18" t="s">
        <v>81</v>
      </c>
      <c r="G929" s="18"/>
      <c r="H929" s="18" t="s">
        <v>106</v>
      </c>
      <c r="I929" s="18" t="s">
        <v>81</v>
      </c>
      <c r="J929" s="18"/>
      <c r="K929" s="20"/>
      <c r="L929" s="18"/>
      <c r="M929" s="20"/>
      <c r="N929" s="18"/>
    </row>
    <row r="930">
      <c r="A930" s="17" t="str">
        <f t="shared" si="1"/>
        <v>IOP-910</v>
      </c>
      <c r="B930" s="18" t="s">
        <v>495</v>
      </c>
      <c r="C930" s="18" t="s">
        <v>496</v>
      </c>
      <c r="D930" s="18">
        <v>0.233333333</v>
      </c>
      <c r="E930" s="19">
        <v>43199.0</v>
      </c>
      <c r="F930" s="18" t="s">
        <v>81</v>
      </c>
      <c r="G930" s="18"/>
      <c r="H930" s="18"/>
      <c r="I930" s="18" t="s">
        <v>132</v>
      </c>
      <c r="J930" s="18"/>
      <c r="K930" s="20"/>
      <c r="L930" s="18"/>
      <c r="M930" s="20"/>
      <c r="N930" s="18"/>
    </row>
    <row r="931">
      <c r="A931" s="17" t="str">
        <f t="shared" si="1"/>
        <v>PD-1502</v>
      </c>
      <c r="B931" s="18" t="s">
        <v>99</v>
      </c>
      <c r="C931" s="18" t="s">
        <v>100</v>
      </c>
      <c r="D931" s="18">
        <v>1.1</v>
      </c>
      <c r="E931" s="19">
        <v>43199.0</v>
      </c>
      <c r="F931" s="18" t="s">
        <v>81</v>
      </c>
      <c r="G931" s="18"/>
      <c r="H931" s="18" t="s">
        <v>101</v>
      </c>
      <c r="I931" s="18" t="s">
        <v>93</v>
      </c>
      <c r="J931" s="18"/>
      <c r="K931" s="20"/>
      <c r="L931" s="18"/>
      <c r="M931" s="20"/>
      <c r="N931" s="18"/>
    </row>
    <row r="932">
      <c r="A932" s="17" t="str">
        <f t="shared" si="1"/>
        <v>PD-1615</v>
      </c>
      <c r="B932" s="18" t="s">
        <v>497</v>
      </c>
      <c r="C932" s="18" t="s">
        <v>498</v>
      </c>
      <c r="D932" s="18">
        <v>1.5</v>
      </c>
      <c r="E932" s="19">
        <v>43199.0</v>
      </c>
      <c r="F932" s="18" t="s">
        <v>81</v>
      </c>
      <c r="G932" s="18"/>
      <c r="H932" s="18" t="s">
        <v>106</v>
      </c>
      <c r="I932" s="18" t="s">
        <v>81</v>
      </c>
      <c r="J932" s="18"/>
      <c r="K932" s="20"/>
      <c r="L932" s="18"/>
      <c r="M932" s="20"/>
      <c r="N932" s="18"/>
    </row>
    <row r="933">
      <c r="A933" s="17" t="str">
        <f t="shared" si="1"/>
        <v>PD-1616</v>
      </c>
      <c r="B933" s="18" t="s">
        <v>499</v>
      </c>
      <c r="C933" s="18" t="s">
        <v>500</v>
      </c>
      <c r="D933" s="18">
        <v>0.25</v>
      </c>
      <c r="E933" s="19">
        <v>43199.0</v>
      </c>
      <c r="F933" s="18" t="s">
        <v>81</v>
      </c>
      <c r="G933" s="18"/>
      <c r="H933" s="18"/>
      <c r="I933" s="18" t="s">
        <v>81</v>
      </c>
      <c r="J933" s="18"/>
      <c r="K933" s="20"/>
      <c r="L933" s="18"/>
      <c r="M933" s="20"/>
      <c r="N933" s="18"/>
    </row>
    <row r="934">
      <c r="A934" s="17" t="str">
        <f t="shared" si="1"/>
        <v>PD-1617</v>
      </c>
      <c r="B934" s="18" t="s">
        <v>501</v>
      </c>
      <c r="C934" s="18" t="s">
        <v>502</v>
      </c>
      <c r="D934" s="18">
        <v>0.25</v>
      </c>
      <c r="E934" s="19">
        <v>43199.0</v>
      </c>
      <c r="F934" s="18" t="s">
        <v>81</v>
      </c>
      <c r="G934" s="18"/>
      <c r="H934" s="18"/>
      <c r="I934" s="18" t="s">
        <v>81</v>
      </c>
      <c r="J934" s="18"/>
      <c r="K934" s="20"/>
      <c r="L934" s="18"/>
      <c r="M934" s="20"/>
      <c r="N934" s="18"/>
    </row>
    <row r="935">
      <c r="A935" s="17" t="str">
        <f t="shared" si="1"/>
        <v>PD-1618</v>
      </c>
      <c r="B935" s="18" t="s">
        <v>503</v>
      </c>
      <c r="C935" s="18" t="s">
        <v>504</v>
      </c>
      <c r="D935" s="18">
        <v>0.35</v>
      </c>
      <c r="E935" s="19">
        <v>43199.0</v>
      </c>
      <c r="F935" s="18" t="s">
        <v>81</v>
      </c>
      <c r="G935" s="18"/>
      <c r="H935" s="18" t="s">
        <v>106</v>
      </c>
      <c r="I935" s="18" t="s">
        <v>81</v>
      </c>
      <c r="J935" s="18"/>
      <c r="K935" s="20"/>
      <c r="L935" s="18"/>
      <c r="M935" s="20"/>
      <c r="N935" s="18"/>
    </row>
    <row r="936">
      <c r="A936" s="17" t="str">
        <f t="shared" si="1"/>
        <v>PD-1619</v>
      </c>
      <c r="B936" s="18" t="s">
        <v>505</v>
      </c>
      <c r="C936" s="18" t="s">
        <v>506</v>
      </c>
      <c r="D936" s="18">
        <v>0.083333333</v>
      </c>
      <c r="E936" s="19">
        <v>43199.0</v>
      </c>
      <c r="F936" s="18" t="s">
        <v>81</v>
      </c>
      <c r="G936" s="18"/>
      <c r="H936" s="18" t="s">
        <v>106</v>
      </c>
      <c r="I936" s="18" t="s">
        <v>81</v>
      </c>
      <c r="J936" s="18"/>
      <c r="K936" s="20"/>
      <c r="L936" s="18"/>
      <c r="M936" s="20"/>
      <c r="N936" s="18"/>
    </row>
    <row r="937">
      <c r="A937" s="17" t="str">
        <f t="shared" si="1"/>
        <v>PD-1620</v>
      </c>
      <c r="B937" s="18" t="s">
        <v>507</v>
      </c>
      <c r="C937" s="18" t="s">
        <v>508</v>
      </c>
      <c r="D937" s="18">
        <v>0.066666667</v>
      </c>
      <c r="E937" s="19">
        <v>43199.0</v>
      </c>
      <c r="F937" s="18" t="s">
        <v>81</v>
      </c>
      <c r="G937" s="18"/>
      <c r="H937" s="18"/>
      <c r="I937" s="18" t="s">
        <v>81</v>
      </c>
      <c r="J937" s="18"/>
      <c r="K937" s="20"/>
      <c r="L937" s="20"/>
      <c r="M937" s="18"/>
      <c r="N937" s="18"/>
    </row>
    <row r="938">
      <c r="A938" s="17" t="str">
        <f t="shared" si="1"/>
        <v>PD-1621</v>
      </c>
      <c r="B938" s="18" t="s">
        <v>509</v>
      </c>
      <c r="C938" s="18" t="s">
        <v>510</v>
      </c>
      <c r="D938" s="18">
        <v>0.15</v>
      </c>
      <c r="E938" s="19">
        <v>43199.0</v>
      </c>
      <c r="F938" s="18" t="s">
        <v>81</v>
      </c>
      <c r="G938" s="18"/>
      <c r="H938" s="18" t="s">
        <v>106</v>
      </c>
      <c r="I938" s="18" t="s">
        <v>81</v>
      </c>
      <c r="J938" s="18"/>
      <c r="K938" s="20"/>
      <c r="L938" s="20"/>
      <c r="M938" s="20"/>
      <c r="N938" s="18"/>
    </row>
    <row r="939">
      <c r="A939" s="17" t="str">
        <f t="shared" si="1"/>
        <v>PD-1607</v>
      </c>
      <c r="B939" s="18" t="s">
        <v>479</v>
      </c>
      <c r="C939" s="18" t="s">
        <v>480</v>
      </c>
      <c r="D939" s="18">
        <v>0.083333333</v>
      </c>
      <c r="E939" s="19">
        <v>43199.0</v>
      </c>
      <c r="F939" s="18" t="s">
        <v>81</v>
      </c>
      <c r="G939" s="18"/>
      <c r="H939" s="18" t="s">
        <v>106</v>
      </c>
      <c r="I939" s="18" t="s">
        <v>81</v>
      </c>
      <c r="J939" s="18"/>
      <c r="K939" s="20"/>
      <c r="L939" s="20"/>
      <c r="M939" s="20"/>
      <c r="N939" s="18"/>
    </row>
    <row r="940">
      <c r="A940" s="17" t="str">
        <f t="shared" si="1"/>
        <v>PD-1440</v>
      </c>
      <c r="B940" s="18" t="s">
        <v>158</v>
      </c>
      <c r="C940" s="18" t="s">
        <v>159</v>
      </c>
      <c r="D940" s="18">
        <v>0.45</v>
      </c>
      <c r="E940" s="19">
        <v>43199.0</v>
      </c>
      <c r="F940" s="18" t="s">
        <v>81</v>
      </c>
      <c r="G940" s="18"/>
      <c r="H940" s="18"/>
      <c r="I940" s="18" t="s">
        <v>81</v>
      </c>
      <c r="J940" s="18"/>
      <c r="K940" s="20"/>
      <c r="L940" s="20"/>
      <c r="M940" s="20"/>
      <c r="N940" s="18"/>
    </row>
    <row r="941">
      <c r="A941" s="17" t="str">
        <f t="shared" si="1"/>
        <v>IOP-867</v>
      </c>
      <c r="B941" s="18" t="s">
        <v>143</v>
      </c>
      <c r="C941" s="18" t="s">
        <v>144</v>
      </c>
      <c r="D941" s="18">
        <v>1.0</v>
      </c>
      <c r="E941" s="19">
        <v>43183.0</v>
      </c>
      <c r="F941" s="18" t="s">
        <v>77</v>
      </c>
      <c r="G941" s="18"/>
      <c r="H941" s="18" t="s">
        <v>119</v>
      </c>
      <c r="I941" s="18" t="s">
        <v>120</v>
      </c>
      <c r="J941" s="18"/>
      <c r="K941" s="20"/>
      <c r="L941" s="20"/>
      <c r="M941" s="20"/>
      <c r="N941" s="18"/>
    </row>
    <row r="942">
      <c r="A942" s="17" t="str">
        <f t="shared" si="1"/>
        <v>IOP-895</v>
      </c>
      <c r="B942" s="18" t="s">
        <v>470</v>
      </c>
      <c r="C942" s="18" t="s">
        <v>471</v>
      </c>
      <c r="D942" s="18">
        <v>3.0</v>
      </c>
      <c r="E942" s="19">
        <v>43185.0</v>
      </c>
      <c r="F942" s="18" t="s">
        <v>77</v>
      </c>
      <c r="G942" s="18"/>
      <c r="H942" s="18" t="s">
        <v>472</v>
      </c>
      <c r="I942" s="18" t="s">
        <v>77</v>
      </c>
      <c r="J942" s="18"/>
      <c r="K942" s="20"/>
      <c r="L942" s="20"/>
      <c r="M942" s="20"/>
      <c r="N942" s="18"/>
    </row>
    <row r="943">
      <c r="A943" s="17" t="str">
        <f t="shared" si="1"/>
        <v>IOP-22</v>
      </c>
      <c r="B943" s="18" t="s">
        <v>216</v>
      </c>
      <c r="C943" s="18" t="s">
        <v>217</v>
      </c>
      <c r="D943" s="18">
        <v>2.0</v>
      </c>
      <c r="E943" s="19">
        <v>43185.0</v>
      </c>
      <c r="F943" s="18" t="s">
        <v>77</v>
      </c>
      <c r="G943" s="18"/>
      <c r="H943" s="18"/>
      <c r="I943" s="18" t="s">
        <v>190</v>
      </c>
      <c r="J943" s="18"/>
      <c r="K943" s="20"/>
      <c r="L943" s="20"/>
      <c r="M943" s="20"/>
      <c r="N943" s="18"/>
    </row>
    <row r="944">
      <c r="A944" s="17" t="str">
        <f t="shared" si="1"/>
        <v>IOP-867</v>
      </c>
      <c r="B944" s="18" t="s">
        <v>143</v>
      </c>
      <c r="C944" s="18" t="s">
        <v>144</v>
      </c>
      <c r="D944" s="18">
        <v>1.0</v>
      </c>
      <c r="E944" s="19">
        <v>43187.0</v>
      </c>
      <c r="F944" s="18" t="s">
        <v>77</v>
      </c>
      <c r="G944" s="18"/>
      <c r="H944" s="18" t="s">
        <v>119</v>
      </c>
      <c r="I944" s="18" t="s">
        <v>120</v>
      </c>
      <c r="J944" s="18"/>
      <c r="K944" s="20"/>
      <c r="L944" s="20"/>
      <c r="M944" s="20"/>
      <c r="N944" s="18"/>
    </row>
    <row r="945">
      <c r="A945" s="17" t="str">
        <f t="shared" si="1"/>
        <v>IOP-22</v>
      </c>
      <c r="B945" s="18" t="s">
        <v>216</v>
      </c>
      <c r="C945" s="18" t="s">
        <v>217</v>
      </c>
      <c r="D945" s="18">
        <v>1.5</v>
      </c>
      <c r="E945" s="19">
        <v>43192.0</v>
      </c>
      <c r="F945" s="18" t="s">
        <v>77</v>
      </c>
      <c r="G945" s="18"/>
      <c r="H945" s="18"/>
      <c r="I945" s="18" t="s">
        <v>190</v>
      </c>
      <c r="J945" s="18"/>
      <c r="K945" s="20"/>
      <c r="L945" s="20"/>
      <c r="M945" s="20"/>
      <c r="N945" s="18"/>
    </row>
    <row r="946">
      <c r="A946" s="17" t="str">
        <f t="shared" si="1"/>
        <v>IOP-867</v>
      </c>
      <c r="B946" s="18" t="s">
        <v>143</v>
      </c>
      <c r="C946" s="18" t="s">
        <v>144</v>
      </c>
      <c r="D946" s="18">
        <v>2.0</v>
      </c>
      <c r="E946" s="19">
        <v>43192.0</v>
      </c>
      <c r="F946" s="18" t="s">
        <v>77</v>
      </c>
      <c r="G946" s="18"/>
      <c r="H946" s="18" t="s">
        <v>119</v>
      </c>
      <c r="I946" s="18" t="s">
        <v>120</v>
      </c>
      <c r="J946" s="18"/>
      <c r="K946" s="20"/>
      <c r="L946" s="20"/>
      <c r="M946" s="20"/>
      <c r="N946" s="18"/>
    </row>
    <row r="947">
      <c r="A947" s="17" t="str">
        <f t="shared" si="1"/>
        <v>IOP-895</v>
      </c>
      <c r="B947" s="18" t="s">
        <v>470</v>
      </c>
      <c r="C947" s="18" t="s">
        <v>471</v>
      </c>
      <c r="D947" s="18">
        <v>2.0</v>
      </c>
      <c r="E947" s="19">
        <v>43193.0</v>
      </c>
      <c r="F947" s="18" t="s">
        <v>77</v>
      </c>
      <c r="G947" s="18"/>
      <c r="H947" s="18" t="s">
        <v>472</v>
      </c>
      <c r="I947" s="18" t="s">
        <v>77</v>
      </c>
      <c r="J947" s="18"/>
      <c r="K947" s="20"/>
      <c r="L947" s="18"/>
      <c r="M947" s="20"/>
      <c r="N947" s="18"/>
    </row>
    <row r="948">
      <c r="A948" s="17" t="str">
        <f t="shared" si="1"/>
        <v>IOP-867</v>
      </c>
      <c r="B948" s="18" t="s">
        <v>143</v>
      </c>
      <c r="C948" s="18" t="s">
        <v>144</v>
      </c>
      <c r="D948" s="18">
        <v>1.0</v>
      </c>
      <c r="E948" s="19">
        <v>43193.0</v>
      </c>
      <c r="F948" s="18" t="s">
        <v>77</v>
      </c>
      <c r="G948" s="18"/>
      <c r="H948" s="18" t="s">
        <v>119</v>
      </c>
      <c r="I948" s="18" t="s">
        <v>120</v>
      </c>
      <c r="J948" s="18"/>
      <c r="K948" s="20"/>
      <c r="L948" s="18"/>
      <c r="M948" s="20"/>
      <c r="N948" s="18"/>
    </row>
    <row r="949">
      <c r="A949" s="17" t="str">
        <f t="shared" si="1"/>
        <v>IOP-866</v>
      </c>
      <c r="B949" s="18" t="s">
        <v>117</v>
      </c>
      <c r="C949" s="18" t="s">
        <v>118</v>
      </c>
      <c r="D949" s="18">
        <v>0.1</v>
      </c>
      <c r="E949" s="19">
        <v>43200.0</v>
      </c>
      <c r="F949" s="18" t="s">
        <v>81</v>
      </c>
      <c r="G949" s="18"/>
      <c r="H949" s="18" t="s">
        <v>119</v>
      </c>
      <c r="I949" s="18" t="s">
        <v>120</v>
      </c>
      <c r="J949" s="18"/>
      <c r="K949" s="20"/>
      <c r="L949" s="18"/>
      <c r="M949" s="20"/>
      <c r="N949" s="18"/>
    </row>
    <row r="950">
      <c r="A950" s="17" t="str">
        <f t="shared" si="1"/>
        <v>IOP-867</v>
      </c>
      <c r="B950" s="18" t="s">
        <v>143</v>
      </c>
      <c r="C950" s="18" t="s">
        <v>144</v>
      </c>
      <c r="D950" s="18">
        <v>3.0</v>
      </c>
      <c r="E950" s="19">
        <v>43196.0</v>
      </c>
      <c r="F950" s="18" t="s">
        <v>77</v>
      </c>
      <c r="G950" s="18"/>
      <c r="H950" s="18" t="s">
        <v>119</v>
      </c>
      <c r="I950" s="18" t="s">
        <v>120</v>
      </c>
      <c r="J950" s="18"/>
      <c r="K950" s="20"/>
      <c r="L950" s="20"/>
      <c r="M950" s="20"/>
      <c r="N950" s="18"/>
    </row>
    <row r="951">
      <c r="A951" s="17" t="str">
        <f t="shared" si="1"/>
        <v>PD-1615</v>
      </c>
      <c r="B951" s="18" t="s">
        <v>497</v>
      </c>
      <c r="C951" s="18" t="s">
        <v>498</v>
      </c>
      <c r="D951" s="18">
        <v>4.016666667</v>
      </c>
      <c r="E951" s="19">
        <v>43200.0</v>
      </c>
      <c r="F951" s="18" t="s">
        <v>81</v>
      </c>
      <c r="G951" s="18"/>
      <c r="H951" s="18" t="s">
        <v>106</v>
      </c>
      <c r="I951" s="18" t="s">
        <v>81</v>
      </c>
      <c r="J951" s="18"/>
      <c r="K951" s="20"/>
      <c r="L951" s="20"/>
      <c r="M951" s="20"/>
      <c r="N951" s="18"/>
    </row>
    <row r="952">
      <c r="A952" s="17" t="str">
        <f t="shared" si="1"/>
        <v>PD-1502</v>
      </c>
      <c r="B952" s="18" t="s">
        <v>99</v>
      </c>
      <c r="C952" s="18" t="s">
        <v>100</v>
      </c>
      <c r="D952" s="18">
        <v>1.383333333</v>
      </c>
      <c r="E952" s="19">
        <v>43200.0</v>
      </c>
      <c r="F952" s="18" t="s">
        <v>81</v>
      </c>
      <c r="G952" s="18"/>
      <c r="H952" s="18" t="s">
        <v>101</v>
      </c>
      <c r="I952" s="18" t="s">
        <v>93</v>
      </c>
      <c r="J952" s="18"/>
      <c r="K952" s="20"/>
      <c r="L952" s="20"/>
      <c r="M952" s="20"/>
      <c r="N952" s="18"/>
    </row>
    <row r="953">
      <c r="A953" s="17" t="str">
        <f t="shared" si="1"/>
        <v>PD-1616</v>
      </c>
      <c r="B953" s="18" t="s">
        <v>499</v>
      </c>
      <c r="C953" s="18" t="s">
        <v>500</v>
      </c>
      <c r="D953" s="18">
        <v>0.166666667</v>
      </c>
      <c r="E953" s="19">
        <v>43200.0</v>
      </c>
      <c r="F953" s="18" t="s">
        <v>81</v>
      </c>
      <c r="G953" s="18"/>
      <c r="H953" s="18"/>
      <c r="I953" s="18" t="s">
        <v>81</v>
      </c>
      <c r="J953" s="18"/>
      <c r="K953" s="20"/>
      <c r="L953" s="20"/>
      <c r="M953" s="20"/>
      <c r="N953" s="18"/>
    </row>
    <row r="954">
      <c r="A954" s="17" t="str">
        <f t="shared" si="1"/>
        <v>PD-1617</v>
      </c>
      <c r="B954" s="18" t="s">
        <v>501</v>
      </c>
      <c r="C954" s="18" t="s">
        <v>502</v>
      </c>
      <c r="D954" s="18">
        <v>2.316666667</v>
      </c>
      <c r="E954" s="19">
        <v>43200.0</v>
      </c>
      <c r="F954" s="18" t="s">
        <v>81</v>
      </c>
      <c r="G954" s="18"/>
      <c r="H954" s="18"/>
      <c r="I954" s="18" t="s">
        <v>81</v>
      </c>
      <c r="J954" s="18"/>
      <c r="K954" s="20"/>
      <c r="L954" s="20"/>
      <c r="M954" s="20"/>
      <c r="N954" s="18"/>
    </row>
    <row r="955">
      <c r="A955" s="17" t="str">
        <f t="shared" si="1"/>
        <v>IOP-867</v>
      </c>
      <c r="B955" s="18" t="s">
        <v>143</v>
      </c>
      <c r="C955" s="18" t="s">
        <v>144</v>
      </c>
      <c r="D955" s="18">
        <v>0.016666667</v>
      </c>
      <c r="E955" s="19">
        <v>43201.0</v>
      </c>
      <c r="F955" s="18" t="s">
        <v>81</v>
      </c>
      <c r="G955" s="18"/>
      <c r="H955" s="18" t="s">
        <v>119</v>
      </c>
      <c r="I955" s="18" t="s">
        <v>120</v>
      </c>
      <c r="J955" s="18"/>
      <c r="K955" s="20"/>
      <c r="L955" s="20"/>
      <c r="M955" s="20"/>
      <c r="N955" s="18"/>
    </row>
    <row r="956">
      <c r="A956" s="17" t="str">
        <f t="shared" si="1"/>
        <v>IOP-866</v>
      </c>
      <c r="B956" s="18" t="s">
        <v>117</v>
      </c>
      <c r="C956" s="18" t="s">
        <v>118</v>
      </c>
      <c r="D956" s="18">
        <v>0.1</v>
      </c>
      <c r="E956" s="19">
        <v>43201.0</v>
      </c>
      <c r="F956" s="18" t="s">
        <v>81</v>
      </c>
      <c r="G956" s="18"/>
      <c r="H956" s="18" t="s">
        <v>119</v>
      </c>
      <c r="I956" s="18" t="s">
        <v>120</v>
      </c>
      <c r="J956" s="18"/>
      <c r="K956" s="20"/>
      <c r="L956" s="20"/>
      <c r="M956" s="20"/>
      <c r="N956" s="18"/>
    </row>
    <row r="957">
      <c r="A957" s="17" t="str">
        <f t="shared" si="1"/>
        <v>PD-1502</v>
      </c>
      <c r="B957" s="18" t="s">
        <v>99</v>
      </c>
      <c r="C957" s="18" t="s">
        <v>100</v>
      </c>
      <c r="D957" s="18">
        <v>2.083333333</v>
      </c>
      <c r="E957" s="19">
        <v>43201.0</v>
      </c>
      <c r="F957" s="18" t="s">
        <v>81</v>
      </c>
      <c r="G957" s="18"/>
      <c r="H957" s="18" t="s">
        <v>101</v>
      </c>
      <c r="I957" s="18" t="s">
        <v>93</v>
      </c>
      <c r="J957" s="18"/>
      <c r="K957" s="20"/>
      <c r="L957" s="20"/>
      <c r="M957" s="20"/>
      <c r="N957" s="18"/>
    </row>
    <row r="958">
      <c r="A958" s="17" t="str">
        <f t="shared" si="1"/>
        <v>PD-1615</v>
      </c>
      <c r="B958" s="18" t="s">
        <v>497</v>
      </c>
      <c r="C958" s="18" t="s">
        <v>498</v>
      </c>
      <c r="D958" s="18">
        <v>4.6</v>
      </c>
      <c r="E958" s="19">
        <v>43201.0</v>
      </c>
      <c r="F958" s="18" t="s">
        <v>81</v>
      </c>
      <c r="G958" s="18"/>
      <c r="H958" s="18" t="s">
        <v>106</v>
      </c>
      <c r="I958" s="18" t="s">
        <v>81</v>
      </c>
      <c r="J958" s="18"/>
      <c r="K958" s="20"/>
      <c r="L958" s="20"/>
      <c r="M958" s="20"/>
      <c r="N958" s="18"/>
    </row>
    <row r="959">
      <c r="A959" s="17" t="str">
        <f t="shared" si="1"/>
        <v>IOP-879</v>
      </c>
      <c r="B959" s="18" t="s">
        <v>155</v>
      </c>
      <c r="C959" s="18" t="s">
        <v>156</v>
      </c>
      <c r="D959" s="18">
        <v>1.15</v>
      </c>
      <c r="E959" s="19">
        <v>43201.0</v>
      </c>
      <c r="F959" s="18" t="s">
        <v>81</v>
      </c>
      <c r="G959" s="18"/>
      <c r="H959" s="18" t="s">
        <v>157</v>
      </c>
      <c r="I959" s="18" t="s">
        <v>120</v>
      </c>
      <c r="J959" s="18"/>
      <c r="K959" s="20"/>
      <c r="L959" s="20"/>
      <c r="M959" s="20"/>
      <c r="N959" s="18"/>
    </row>
    <row r="960">
      <c r="A960" s="17" t="str">
        <f t="shared" si="1"/>
        <v>IOP-867</v>
      </c>
      <c r="B960" s="18" t="s">
        <v>143</v>
      </c>
      <c r="C960" s="18" t="s">
        <v>144</v>
      </c>
      <c r="D960" s="18">
        <v>0.083333333</v>
      </c>
      <c r="E960" s="19">
        <v>43202.0</v>
      </c>
      <c r="F960" s="18" t="s">
        <v>81</v>
      </c>
      <c r="G960" s="18"/>
      <c r="H960" s="18" t="s">
        <v>119</v>
      </c>
      <c r="I960" s="18" t="s">
        <v>120</v>
      </c>
      <c r="J960" s="18"/>
      <c r="K960" s="20"/>
      <c r="L960" s="20"/>
      <c r="M960" s="18"/>
      <c r="N960" s="18"/>
    </row>
    <row r="961">
      <c r="A961" s="17" t="str">
        <f t="shared" si="1"/>
        <v>IOP-866</v>
      </c>
      <c r="B961" s="18" t="s">
        <v>117</v>
      </c>
      <c r="C961" s="18" t="s">
        <v>118</v>
      </c>
      <c r="D961" s="18">
        <v>0.083333333</v>
      </c>
      <c r="E961" s="19">
        <v>43202.0</v>
      </c>
      <c r="F961" s="18" t="s">
        <v>81</v>
      </c>
      <c r="G961" s="18"/>
      <c r="H961" s="18" t="s">
        <v>119</v>
      </c>
      <c r="I961" s="18" t="s">
        <v>120</v>
      </c>
      <c r="J961" s="18"/>
      <c r="K961" s="20"/>
      <c r="L961" s="20"/>
      <c r="M961" s="18"/>
      <c r="N961" s="18"/>
    </row>
    <row r="962">
      <c r="A962" s="17" t="str">
        <f t="shared" si="1"/>
        <v>PD-1588</v>
      </c>
      <c r="B962" s="18" t="s">
        <v>444</v>
      </c>
      <c r="C962" s="18" t="s">
        <v>445</v>
      </c>
      <c r="D962" s="18">
        <v>1.533333333</v>
      </c>
      <c r="E962" s="19">
        <v>43202.0</v>
      </c>
      <c r="F962" s="18" t="s">
        <v>81</v>
      </c>
      <c r="G962" s="18"/>
      <c r="H962" s="18" t="s">
        <v>106</v>
      </c>
      <c r="I962" s="18" t="s">
        <v>81</v>
      </c>
      <c r="J962" s="18"/>
      <c r="K962" s="20"/>
      <c r="L962" s="20"/>
      <c r="M962" s="18"/>
      <c r="N962" s="18"/>
    </row>
    <row r="963">
      <c r="A963" s="17" t="str">
        <f t="shared" si="1"/>
        <v>IOP-875</v>
      </c>
      <c r="B963" s="18" t="s">
        <v>123</v>
      </c>
      <c r="C963" s="18" t="s">
        <v>124</v>
      </c>
      <c r="D963" s="18">
        <v>0.55</v>
      </c>
      <c r="E963" s="19">
        <v>43202.0</v>
      </c>
      <c r="F963" s="18" t="s">
        <v>81</v>
      </c>
      <c r="G963" s="18"/>
      <c r="H963" s="18" t="s">
        <v>125</v>
      </c>
      <c r="I963" s="18" t="s">
        <v>120</v>
      </c>
      <c r="J963" s="18"/>
      <c r="K963" s="20"/>
      <c r="L963" s="20"/>
      <c r="M963" s="18"/>
      <c r="N963" s="18"/>
    </row>
    <row r="964">
      <c r="A964" s="17" t="str">
        <f t="shared" si="1"/>
        <v>IOP-909</v>
      </c>
      <c r="B964" s="18" t="s">
        <v>511</v>
      </c>
      <c r="C964" s="18" t="s">
        <v>512</v>
      </c>
      <c r="D964" s="18">
        <v>3.1</v>
      </c>
      <c r="E964" s="19">
        <v>43202.0</v>
      </c>
      <c r="F964" s="18" t="s">
        <v>81</v>
      </c>
      <c r="G964" s="18"/>
      <c r="H964" s="18"/>
      <c r="I964" s="18" t="s">
        <v>132</v>
      </c>
      <c r="J964" s="18"/>
      <c r="K964" s="20"/>
      <c r="L964" s="20"/>
      <c r="M964" s="18"/>
      <c r="N964" s="18"/>
    </row>
    <row r="965">
      <c r="A965" s="17" t="str">
        <f t="shared" si="1"/>
        <v>PD-1615</v>
      </c>
      <c r="B965" s="18" t="s">
        <v>497</v>
      </c>
      <c r="C965" s="18" t="s">
        <v>498</v>
      </c>
      <c r="D965" s="18">
        <v>2.116666667</v>
      </c>
      <c r="E965" s="19">
        <v>43202.0</v>
      </c>
      <c r="F965" s="18" t="s">
        <v>81</v>
      </c>
      <c r="G965" s="18"/>
      <c r="H965" s="18" t="s">
        <v>106</v>
      </c>
      <c r="I965" s="18" t="s">
        <v>81</v>
      </c>
      <c r="J965" s="18"/>
      <c r="K965" s="20"/>
      <c r="L965" s="20"/>
      <c r="M965" s="20"/>
      <c r="N965" s="18"/>
    </row>
    <row r="966">
      <c r="A966" s="17" t="str">
        <f t="shared" si="1"/>
        <v>PD-1543</v>
      </c>
      <c r="B966" s="18" t="s">
        <v>177</v>
      </c>
      <c r="C966" s="18" t="s">
        <v>178</v>
      </c>
      <c r="D966" s="18">
        <v>0.516666667</v>
      </c>
      <c r="E966" s="19">
        <v>43202.0</v>
      </c>
      <c r="F966" s="18" t="s">
        <v>81</v>
      </c>
      <c r="G966" s="18"/>
      <c r="H966" s="18" t="s">
        <v>88</v>
      </c>
      <c r="I966" s="18" t="s">
        <v>81</v>
      </c>
      <c r="J966" s="18"/>
      <c r="K966" s="20"/>
      <c r="L966" s="18"/>
      <c r="M966" s="20"/>
      <c r="N966" s="18"/>
    </row>
    <row r="967">
      <c r="A967" s="17" t="str">
        <f t="shared" si="1"/>
        <v>IOP-895</v>
      </c>
      <c r="B967" s="18" t="s">
        <v>470</v>
      </c>
      <c r="C967" s="18" t="s">
        <v>471</v>
      </c>
      <c r="D967" s="18">
        <v>1.5</v>
      </c>
      <c r="E967" s="19">
        <v>43199.0</v>
      </c>
      <c r="F967" s="18" t="s">
        <v>77</v>
      </c>
      <c r="G967" s="18"/>
      <c r="H967" s="18" t="s">
        <v>472</v>
      </c>
      <c r="I967" s="18" t="s">
        <v>77</v>
      </c>
      <c r="J967" s="18"/>
      <c r="K967" s="20"/>
      <c r="L967" s="18"/>
      <c r="M967" s="20"/>
      <c r="N967" s="18"/>
    </row>
    <row r="968">
      <c r="A968" s="17" t="str">
        <f t="shared" si="1"/>
        <v>IOP-22</v>
      </c>
      <c r="B968" s="18" t="s">
        <v>216</v>
      </c>
      <c r="C968" s="18" t="s">
        <v>217</v>
      </c>
      <c r="D968" s="18">
        <v>1.5</v>
      </c>
      <c r="E968" s="19">
        <v>43199.0</v>
      </c>
      <c r="F968" s="18" t="s">
        <v>77</v>
      </c>
      <c r="G968" s="18"/>
      <c r="H968" s="18"/>
      <c r="I968" s="18" t="s">
        <v>190</v>
      </c>
      <c r="J968" s="18"/>
      <c r="K968" s="20"/>
      <c r="L968" s="18"/>
      <c r="M968" s="20"/>
      <c r="N968" s="18"/>
    </row>
    <row r="969">
      <c r="A969" s="17" t="str">
        <f t="shared" si="1"/>
        <v>IOP-40</v>
      </c>
      <c r="B969" s="18" t="s">
        <v>264</v>
      </c>
      <c r="C969" s="18" t="s">
        <v>265</v>
      </c>
      <c r="D969" s="18">
        <v>1.5</v>
      </c>
      <c r="E969" s="19">
        <v>43199.0</v>
      </c>
      <c r="F969" s="18" t="s">
        <v>77</v>
      </c>
      <c r="G969" s="18"/>
      <c r="H969" s="18"/>
      <c r="I969" s="18" t="s">
        <v>190</v>
      </c>
      <c r="J969" s="18"/>
      <c r="K969" s="20"/>
      <c r="L969" s="20"/>
      <c r="M969" s="20"/>
      <c r="N969" s="18"/>
    </row>
    <row r="970">
      <c r="A970" s="17" t="str">
        <f t="shared" si="1"/>
        <v>IOP-867</v>
      </c>
      <c r="B970" s="18" t="s">
        <v>143</v>
      </c>
      <c r="C970" s="18" t="s">
        <v>144</v>
      </c>
      <c r="D970" s="18">
        <v>2.0</v>
      </c>
      <c r="E970" s="19">
        <v>43203.0</v>
      </c>
      <c r="F970" s="18" t="s">
        <v>77</v>
      </c>
      <c r="G970" s="18"/>
      <c r="H970" s="18" t="s">
        <v>119</v>
      </c>
      <c r="I970" s="18" t="s">
        <v>120</v>
      </c>
      <c r="J970" s="18"/>
      <c r="K970" s="20"/>
      <c r="L970" s="20"/>
      <c r="M970" s="20"/>
      <c r="N970" s="18"/>
    </row>
    <row r="971">
      <c r="A971" s="17" t="str">
        <f t="shared" si="1"/>
        <v>IOP-867</v>
      </c>
      <c r="B971" s="18" t="s">
        <v>143</v>
      </c>
      <c r="C971" s="18" t="s">
        <v>144</v>
      </c>
      <c r="D971" s="18">
        <v>0.5</v>
      </c>
      <c r="E971" s="19">
        <v>43201.0</v>
      </c>
      <c r="F971" s="18" t="s">
        <v>77</v>
      </c>
      <c r="G971" s="18"/>
      <c r="H971" s="18" t="s">
        <v>119</v>
      </c>
      <c r="I971" s="18" t="s">
        <v>120</v>
      </c>
      <c r="J971" s="18"/>
      <c r="K971" s="20"/>
      <c r="L971" s="20"/>
      <c r="M971" s="20"/>
      <c r="N971" s="18"/>
    </row>
    <row r="972">
      <c r="A972" s="17" t="str">
        <f t="shared" si="1"/>
        <v>IOP-41</v>
      </c>
      <c r="B972" s="18" t="s">
        <v>193</v>
      </c>
      <c r="C972" s="18" t="s">
        <v>194</v>
      </c>
      <c r="D972" s="18">
        <v>0.25</v>
      </c>
      <c r="E972" s="19">
        <v>43205.0</v>
      </c>
      <c r="F972" s="18" t="s">
        <v>77</v>
      </c>
      <c r="G972" s="18"/>
      <c r="H972" s="18"/>
      <c r="I972" s="18" t="s">
        <v>190</v>
      </c>
      <c r="J972" s="18"/>
      <c r="K972" s="20"/>
      <c r="L972" s="18"/>
      <c r="M972" s="20"/>
      <c r="N972" s="18"/>
    </row>
    <row r="973">
      <c r="A973" s="17" t="str">
        <f t="shared" si="1"/>
        <v>IOP-867</v>
      </c>
      <c r="B973" s="18" t="s">
        <v>143</v>
      </c>
      <c r="C973" s="18" t="s">
        <v>144</v>
      </c>
      <c r="D973" s="18">
        <v>0.05</v>
      </c>
      <c r="E973" s="19">
        <v>43203.0</v>
      </c>
      <c r="F973" s="18" t="s">
        <v>81</v>
      </c>
      <c r="G973" s="18"/>
      <c r="H973" s="18" t="s">
        <v>119</v>
      </c>
      <c r="I973" s="18" t="s">
        <v>120</v>
      </c>
      <c r="J973" s="18"/>
      <c r="K973" s="20"/>
      <c r="L973" s="18"/>
      <c r="M973" s="20"/>
      <c r="N973" s="18"/>
    </row>
    <row r="974">
      <c r="A974" s="17" t="str">
        <f t="shared" si="1"/>
        <v>IOP-866</v>
      </c>
      <c r="B974" s="18" t="s">
        <v>117</v>
      </c>
      <c r="C974" s="18" t="s">
        <v>118</v>
      </c>
      <c r="D974" s="18">
        <v>0.15</v>
      </c>
      <c r="E974" s="19">
        <v>43203.0</v>
      </c>
      <c r="F974" s="18" t="s">
        <v>81</v>
      </c>
      <c r="G974" s="18"/>
      <c r="H974" s="18" t="s">
        <v>119</v>
      </c>
      <c r="I974" s="18" t="s">
        <v>120</v>
      </c>
      <c r="J974" s="18"/>
      <c r="K974" s="20"/>
      <c r="L974" s="18"/>
      <c r="M974" s="20"/>
      <c r="N974" s="18"/>
    </row>
    <row r="975">
      <c r="A975" s="17" t="str">
        <f t="shared" si="1"/>
        <v>PD-1615</v>
      </c>
      <c r="B975" s="18" t="s">
        <v>497</v>
      </c>
      <c r="C975" s="18" t="s">
        <v>498</v>
      </c>
      <c r="D975" s="18">
        <v>1.033333333</v>
      </c>
      <c r="E975" s="19">
        <v>43203.0</v>
      </c>
      <c r="F975" s="18" t="s">
        <v>81</v>
      </c>
      <c r="G975" s="18"/>
      <c r="H975" s="18" t="s">
        <v>106</v>
      </c>
      <c r="I975" s="18" t="s">
        <v>81</v>
      </c>
      <c r="J975" s="18"/>
      <c r="K975" s="20"/>
      <c r="L975" s="18"/>
      <c r="M975" s="20"/>
      <c r="N975" s="18"/>
    </row>
    <row r="976">
      <c r="A976" s="17" t="str">
        <f t="shared" si="1"/>
        <v>PD-1588</v>
      </c>
      <c r="B976" s="18" t="s">
        <v>444</v>
      </c>
      <c r="C976" s="18" t="s">
        <v>445</v>
      </c>
      <c r="D976" s="18">
        <v>2.95</v>
      </c>
      <c r="E976" s="19">
        <v>43203.0</v>
      </c>
      <c r="F976" s="18" t="s">
        <v>81</v>
      </c>
      <c r="G976" s="18"/>
      <c r="H976" s="18" t="s">
        <v>106</v>
      </c>
      <c r="I976" s="18" t="s">
        <v>81</v>
      </c>
      <c r="J976" s="18"/>
      <c r="K976" s="20"/>
      <c r="L976" s="18"/>
      <c r="M976" s="20"/>
      <c r="N976" s="18"/>
    </row>
    <row r="977">
      <c r="A977" s="17" t="str">
        <f t="shared" si="1"/>
        <v>PD-1618</v>
      </c>
      <c r="B977" s="18" t="s">
        <v>503</v>
      </c>
      <c r="C977" s="18" t="s">
        <v>504</v>
      </c>
      <c r="D977" s="18">
        <v>3.5</v>
      </c>
      <c r="E977" s="19">
        <v>43203.0</v>
      </c>
      <c r="F977" s="18" t="s">
        <v>81</v>
      </c>
      <c r="G977" s="18"/>
      <c r="H977" s="18" t="s">
        <v>106</v>
      </c>
      <c r="I977" s="18" t="s">
        <v>81</v>
      </c>
      <c r="J977" s="18"/>
      <c r="K977" s="20"/>
      <c r="L977" s="18"/>
      <c r="M977" s="20"/>
      <c r="N977" s="18"/>
    </row>
    <row r="978">
      <c r="A978" s="17" t="str">
        <f t="shared" si="1"/>
        <v>PD-1597</v>
      </c>
      <c r="B978" s="18" t="s">
        <v>452</v>
      </c>
      <c r="C978" s="18" t="s">
        <v>453</v>
      </c>
      <c r="D978" s="18">
        <v>0.283333333</v>
      </c>
      <c r="E978" s="19">
        <v>43203.0</v>
      </c>
      <c r="F978" s="18" t="s">
        <v>81</v>
      </c>
      <c r="G978" s="18"/>
      <c r="H978" s="18" t="s">
        <v>106</v>
      </c>
      <c r="I978" s="18" t="s">
        <v>81</v>
      </c>
      <c r="J978" s="18"/>
      <c r="K978" s="20"/>
      <c r="L978" s="18"/>
      <c r="M978" s="20"/>
      <c r="N978" s="18"/>
    </row>
    <row r="979">
      <c r="A979" s="17" t="str">
        <f t="shared" si="1"/>
        <v>PD-1647</v>
      </c>
      <c r="B979" s="18" t="s">
        <v>307</v>
      </c>
      <c r="C979" s="18" t="s">
        <v>308</v>
      </c>
      <c r="D979" s="18">
        <v>3.033333333</v>
      </c>
      <c r="E979" s="19">
        <v>43223.0</v>
      </c>
      <c r="F979" s="18" t="s">
        <v>81</v>
      </c>
      <c r="G979" s="18"/>
      <c r="H979" s="18"/>
      <c r="I979" s="18" t="s">
        <v>89</v>
      </c>
      <c r="J979" s="18"/>
      <c r="K979" s="20"/>
      <c r="L979" s="18"/>
      <c r="M979" s="20"/>
      <c r="N979" s="18"/>
    </row>
    <row r="980">
      <c r="A980" s="17" t="str">
        <f t="shared" si="1"/>
        <v>IOP-867</v>
      </c>
      <c r="B980" s="18" t="s">
        <v>143</v>
      </c>
      <c r="C980" s="18" t="s">
        <v>144</v>
      </c>
      <c r="D980" s="18">
        <v>0.116666667</v>
      </c>
      <c r="E980" s="19">
        <v>43206.0</v>
      </c>
      <c r="F980" s="18" t="s">
        <v>81</v>
      </c>
      <c r="G980" s="18"/>
      <c r="H980" s="18" t="s">
        <v>119</v>
      </c>
      <c r="I980" s="18" t="s">
        <v>120</v>
      </c>
      <c r="J980" s="18"/>
      <c r="K980" s="20"/>
      <c r="L980" s="18"/>
      <c r="M980" s="20"/>
      <c r="N980" s="18"/>
    </row>
    <row r="981">
      <c r="A981" s="17" t="str">
        <f t="shared" si="1"/>
        <v>IOP-866</v>
      </c>
      <c r="B981" s="18" t="s">
        <v>117</v>
      </c>
      <c r="C981" s="18" t="s">
        <v>118</v>
      </c>
      <c r="D981" s="18">
        <v>0.133333333</v>
      </c>
      <c r="E981" s="19">
        <v>43206.0</v>
      </c>
      <c r="F981" s="18" t="s">
        <v>81</v>
      </c>
      <c r="G981" s="18"/>
      <c r="H981" s="18" t="s">
        <v>119</v>
      </c>
      <c r="I981" s="18" t="s">
        <v>120</v>
      </c>
      <c r="J981" s="18"/>
      <c r="K981" s="20"/>
      <c r="L981" s="18"/>
      <c r="M981" s="20"/>
      <c r="N981" s="18"/>
    </row>
    <row r="982">
      <c r="A982" s="17" t="str">
        <f t="shared" si="1"/>
        <v>PD-1573</v>
      </c>
      <c r="B982" s="18" t="s">
        <v>162</v>
      </c>
      <c r="C982" s="18" t="s">
        <v>163</v>
      </c>
      <c r="D982" s="18">
        <v>0.133333333</v>
      </c>
      <c r="E982" s="19">
        <v>43206.0</v>
      </c>
      <c r="F982" s="18" t="s">
        <v>81</v>
      </c>
      <c r="G982" s="18"/>
      <c r="H982" s="18" t="s">
        <v>164</v>
      </c>
      <c r="I982" s="18" t="s">
        <v>77</v>
      </c>
      <c r="J982" s="18"/>
      <c r="K982" s="20"/>
      <c r="L982" s="18"/>
      <c r="M982" s="20"/>
      <c r="N982" s="18"/>
    </row>
    <row r="983">
      <c r="A983" s="17" t="str">
        <f t="shared" si="1"/>
        <v>PD-1615</v>
      </c>
      <c r="B983" s="18" t="s">
        <v>497</v>
      </c>
      <c r="C983" s="18" t="s">
        <v>498</v>
      </c>
      <c r="D983" s="18">
        <v>0.833333333</v>
      </c>
      <c r="E983" s="19">
        <v>43206.0</v>
      </c>
      <c r="F983" s="18" t="s">
        <v>81</v>
      </c>
      <c r="G983" s="18"/>
      <c r="H983" s="18" t="s">
        <v>106</v>
      </c>
      <c r="I983" s="18" t="s">
        <v>81</v>
      </c>
      <c r="J983" s="18"/>
      <c r="K983" s="20"/>
      <c r="L983" s="18"/>
      <c r="M983" s="20"/>
      <c r="N983" s="18"/>
    </row>
    <row r="984">
      <c r="A984" s="17" t="str">
        <f t="shared" si="1"/>
        <v>PD-1604</v>
      </c>
      <c r="B984" s="18" t="s">
        <v>330</v>
      </c>
      <c r="C984" s="18" t="s">
        <v>331</v>
      </c>
      <c r="D984" s="18">
        <v>1.45</v>
      </c>
      <c r="E984" s="19">
        <v>43206.0</v>
      </c>
      <c r="F984" s="18" t="s">
        <v>81</v>
      </c>
      <c r="G984" s="18"/>
      <c r="H984" s="18" t="s">
        <v>106</v>
      </c>
      <c r="I984" s="18" t="s">
        <v>81</v>
      </c>
      <c r="J984" s="18"/>
      <c r="K984" s="20"/>
      <c r="L984" s="18"/>
      <c r="M984" s="20"/>
      <c r="N984" s="18"/>
    </row>
    <row r="985">
      <c r="A985" s="17" t="str">
        <f t="shared" si="1"/>
        <v>PD-1614</v>
      </c>
      <c r="B985" s="18" t="s">
        <v>489</v>
      </c>
      <c r="C985" s="18" t="s">
        <v>490</v>
      </c>
      <c r="D985" s="18">
        <v>5.416666667</v>
      </c>
      <c r="E985" s="19">
        <v>43206.0</v>
      </c>
      <c r="F985" s="18" t="s">
        <v>81</v>
      </c>
      <c r="G985" s="18"/>
      <c r="H985" s="18" t="s">
        <v>106</v>
      </c>
      <c r="I985" s="18" t="s">
        <v>81</v>
      </c>
      <c r="J985" s="18"/>
      <c r="K985" s="20"/>
      <c r="L985" s="20"/>
      <c r="M985" s="20"/>
      <c r="N985" s="18"/>
    </row>
    <row r="986">
      <c r="A986" s="17" t="str">
        <f t="shared" si="1"/>
        <v>PD-1604</v>
      </c>
      <c r="B986" s="18" t="s">
        <v>330</v>
      </c>
      <c r="C986" s="18" t="s">
        <v>331</v>
      </c>
      <c r="D986" s="18">
        <v>0.3</v>
      </c>
      <c r="E986" s="19">
        <v>43223.0</v>
      </c>
      <c r="F986" s="18" t="s">
        <v>81</v>
      </c>
      <c r="G986" s="18"/>
      <c r="H986" s="18" t="s">
        <v>106</v>
      </c>
      <c r="I986" s="18" t="s">
        <v>81</v>
      </c>
      <c r="J986" s="18"/>
      <c r="K986" s="20"/>
      <c r="L986" s="20"/>
      <c r="M986" s="20"/>
      <c r="N986" s="18"/>
    </row>
    <row r="987">
      <c r="A987" s="17" t="str">
        <f t="shared" si="1"/>
        <v>IOP-867</v>
      </c>
      <c r="B987" s="18" t="s">
        <v>143</v>
      </c>
      <c r="C987" s="18" t="s">
        <v>144</v>
      </c>
      <c r="D987" s="18">
        <v>0.016666667</v>
      </c>
      <c r="E987" s="19">
        <v>43207.0</v>
      </c>
      <c r="F987" s="18" t="s">
        <v>81</v>
      </c>
      <c r="G987" s="18"/>
      <c r="H987" s="18" t="s">
        <v>119</v>
      </c>
      <c r="I987" s="18" t="s">
        <v>120</v>
      </c>
      <c r="J987" s="18"/>
      <c r="K987" s="20"/>
      <c r="L987" s="20"/>
      <c r="M987" s="20"/>
      <c r="N987" s="18"/>
    </row>
    <row r="988">
      <c r="A988" s="17" t="str">
        <f t="shared" si="1"/>
        <v>PD-866</v>
      </c>
      <c r="B988" s="18" t="s">
        <v>513</v>
      </c>
      <c r="C988" s="18" t="s">
        <v>514</v>
      </c>
      <c r="D988" s="18">
        <v>0.183333333</v>
      </c>
      <c r="E988" s="19">
        <v>43207.0</v>
      </c>
      <c r="F988" s="18" t="s">
        <v>81</v>
      </c>
      <c r="G988" s="18"/>
      <c r="H988" s="18"/>
      <c r="I988" s="18" t="s">
        <v>77</v>
      </c>
      <c r="J988" s="18"/>
      <c r="K988" s="20"/>
      <c r="L988" s="20"/>
      <c r="M988" s="20"/>
      <c r="N988" s="18"/>
    </row>
    <row r="989">
      <c r="A989" s="17" t="str">
        <f t="shared" si="1"/>
        <v>PD-1604</v>
      </c>
      <c r="B989" s="18" t="s">
        <v>330</v>
      </c>
      <c r="C989" s="18" t="s">
        <v>331</v>
      </c>
      <c r="D989" s="18">
        <v>0.333333333</v>
      </c>
      <c r="E989" s="19">
        <v>43207.0</v>
      </c>
      <c r="F989" s="18" t="s">
        <v>81</v>
      </c>
      <c r="G989" s="18"/>
      <c r="H989" s="18" t="s">
        <v>106</v>
      </c>
      <c r="I989" s="18" t="s">
        <v>81</v>
      </c>
      <c r="J989" s="18"/>
      <c r="K989" s="20"/>
      <c r="L989" s="20"/>
      <c r="M989" s="20"/>
      <c r="N989" s="18"/>
    </row>
    <row r="990">
      <c r="A990" s="17" t="str">
        <f t="shared" si="1"/>
        <v>PD-1615</v>
      </c>
      <c r="B990" s="18" t="s">
        <v>497</v>
      </c>
      <c r="C990" s="18" t="s">
        <v>498</v>
      </c>
      <c r="D990" s="18">
        <v>7.283333333</v>
      </c>
      <c r="E990" s="19">
        <v>43207.0</v>
      </c>
      <c r="F990" s="18" t="s">
        <v>81</v>
      </c>
      <c r="G990" s="18"/>
      <c r="H990" s="18" t="s">
        <v>106</v>
      </c>
      <c r="I990" s="18" t="s">
        <v>81</v>
      </c>
      <c r="J990" s="18"/>
      <c r="K990" s="20"/>
      <c r="L990" s="20"/>
      <c r="M990" s="20"/>
      <c r="N990" s="18"/>
    </row>
    <row r="991">
      <c r="A991" s="17" t="str">
        <f t="shared" si="1"/>
        <v>PD-1364</v>
      </c>
      <c r="B991" s="18" t="s">
        <v>172</v>
      </c>
      <c r="C991" s="18" t="s">
        <v>173</v>
      </c>
      <c r="D991" s="18">
        <v>0.566666667</v>
      </c>
      <c r="E991" s="19">
        <v>43207.0</v>
      </c>
      <c r="F991" s="18" t="s">
        <v>81</v>
      </c>
      <c r="G991" s="18"/>
      <c r="H991" s="18" t="s">
        <v>167</v>
      </c>
      <c r="I991" s="18" t="s">
        <v>78</v>
      </c>
      <c r="J991" s="18"/>
      <c r="K991" s="20"/>
      <c r="L991" s="20"/>
      <c r="M991" s="20"/>
      <c r="N991" s="18"/>
    </row>
    <row r="992">
      <c r="A992" s="17" t="str">
        <f t="shared" si="1"/>
        <v>IOP-867</v>
      </c>
      <c r="B992" s="18" t="s">
        <v>143</v>
      </c>
      <c r="C992" s="18" t="s">
        <v>144</v>
      </c>
      <c r="D992" s="18">
        <v>0.15</v>
      </c>
      <c r="E992" s="19">
        <v>43208.0</v>
      </c>
      <c r="F992" s="18" t="s">
        <v>81</v>
      </c>
      <c r="G992" s="18"/>
      <c r="H992" s="18" t="s">
        <v>119</v>
      </c>
      <c r="I992" s="18" t="s">
        <v>120</v>
      </c>
      <c r="J992" s="18"/>
      <c r="K992" s="20"/>
      <c r="L992" s="20"/>
      <c r="M992" s="20"/>
      <c r="N992" s="18"/>
    </row>
    <row r="993">
      <c r="A993" s="17" t="str">
        <f t="shared" si="1"/>
        <v>IOP-866</v>
      </c>
      <c r="B993" s="18" t="s">
        <v>117</v>
      </c>
      <c r="C993" s="18" t="s">
        <v>118</v>
      </c>
      <c r="D993" s="18">
        <v>0.166666667</v>
      </c>
      <c r="E993" s="19">
        <v>43208.0</v>
      </c>
      <c r="F993" s="18" t="s">
        <v>81</v>
      </c>
      <c r="G993" s="18"/>
      <c r="H993" s="18" t="s">
        <v>119</v>
      </c>
      <c r="I993" s="18" t="s">
        <v>120</v>
      </c>
      <c r="J993" s="18"/>
      <c r="K993" s="20"/>
      <c r="L993" s="20"/>
      <c r="M993" s="20"/>
      <c r="N993" s="18"/>
    </row>
    <row r="994">
      <c r="A994" s="17" t="str">
        <f t="shared" si="1"/>
        <v>PD-1573</v>
      </c>
      <c r="B994" s="18" t="s">
        <v>162</v>
      </c>
      <c r="C994" s="18" t="s">
        <v>163</v>
      </c>
      <c r="D994" s="18">
        <v>2.1</v>
      </c>
      <c r="E994" s="19">
        <v>43208.0</v>
      </c>
      <c r="F994" s="18" t="s">
        <v>81</v>
      </c>
      <c r="G994" s="18"/>
      <c r="H994" s="18" t="s">
        <v>164</v>
      </c>
      <c r="I994" s="18" t="s">
        <v>77</v>
      </c>
      <c r="J994" s="18"/>
      <c r="K994" s="20"/>
      <c r="L994" s="20"/>
      <c r="M994" s="20"/>
      <c r="N994" s="18"/>
    </row>
    <row r="995">
      <c r="A995" s="17" t="str">
        <f t="shared" si="1"/>
        <v>PD-1614</v>
      </c>
      <c r="B995" s="18" t="s">
        <v>489</v>
      </c>
      <c r="C995" s="18" t="s">
        <v>490</v>
      </c>
      <c r="D995" s="18">
        <v>4.466666667</v>
      </c>
      <c r="E995" s="19">
        <v>43208.0</v>
      </c>
      <c r="F995" s="18" t="s">
        <v>81</v>
      </c>
      <c r="G995" s="18"/>
      <c r="H995" s="18" t="s">
        <v>106</v>
      </c>
      <c r="I995" s="18" t="s">
        <v>81</v>
      </c>
      <c r="J995" s="18"/>
      <c r="K995" s="20"/>
      <c r="L995" s="20"/>
      <c r="M995" s="20"/>
      <c r="N995" s="18"/>
    </row>
    <row r="996">
      <c r="A996" s="17" t="str">
        <f t="shared" si="1"/>
        <v>IOP-879</v>
      </c>
      <c r="B996" s="18" t="s">
        <v>155</v>
      </c>
      <c r="C996" s="18" t="s">
        <v>156</v>
      </c>
      <c r="D996" s="18">
        <v>1.066666667</v>
      </c>
      <c r="E996" s="19">
        <v>43208.0</v>
      </c>
      <c r="F996" s="18" t="s">
        <v>81</v>
      </c>
      <c r="G996" s="18"/>
      <c r="H996" s="18" t="s">
        <v>157</v>
      </c>
      <c r="I996" s="18" t="s">
        <v>120</v>
      </c>
      <c r="J996" s="18"/>
      <c r="K996" s="20"/>
      <c r="L996" s="20"/>
      <c r="M996" s="20"/>
      <c r="N996" s="18"/>
    </row>
    <row r="997">
      <c r="A997" s="17" t="str">
        <f t="shared" si="1"/>
        <v>IOP-875</v>
      </c>
      <c r="B997" s="18" t="s">
        <v>123</v>
      </c>
      <c r="C997" s="18" t="s">
        <v>124</v>
      </c>
      <c r="D997" s="18">
        <v>0.066666667</v>
      </c>
      <c r="E997" s="19">
        <v>43208.0</v>
      </c>
      <c r="F997" s="18" t="s">
        <v>81</v>
      </c>
      <c r="G997" s="18"/>
      <c r="H997" s="18" t="s">
        <v>125</v>
      </c>
      <c r="I997" s="18" t="s">
        <v>120</v>
      </c>
      <c r="J997" s="18"/>
      <c r="K997" s="20"/>
      <c r="L997" s="20"/>
      <c r="M997" s="20"/>
      <c r="N997" s="18"/>
    </row>
    <row r="998">
      <c r="A998" s="17" t="str">
        <f t="shared" si="1"/>
        <v>PD-1364</v>
      </c>
      <c r="B998" s="18" t="s">
        <v>172</v>
      </c>
      <c r="C998" s="18" t="s">
        <v>173</v>
      </c>
      <c r="D998" s="18">
        <v>0.05</v>
      </c>
      <c r="E998" s="19">
        <v>43208.0</v>
      </c>
      <c r="F998" s="18" t="s">
        <v>81</v>
      </c>
      <c r="G998" s="18"/>
      <c r="H998" s="18" t="s">
        <v>167</v>
      </c>
      <c r="I998" s="18" t="s">
        <v>78</v>
      </c>
      <c r="J998" s="18"/>
      <c r="K998" s="20"/>
      <c r="L998" s="20"/>
      <c r="M998" s="20"/>
      <c r="N998" s="18"/>
    </row>
    <row r="999">
      <c r="A999" s="17" t="str">
        <f t="shared" si="1"/>
        <v>IOP-866</v>
      </c>
      <c r="B999" s="18" t="s">
        <v>117</v>
      </c>
      <c r="C999" s="18" t="s">
        <v>118</v>
      </c>
      <c r="D999" s="18">
        <v>0.033333333</v>
      </c>
      <c r="E999" s="19">
        <v>43209.0</v>
      </c>
      <c r="F999" s="18" t="s">
        <v>81</v>
      </c>
      <c r="G999" s="18"/>
      <c r="H999" s="18" t="s">
        <v>119</v>
      </c>
      <c r="I999" s="18" t="s">
        <v>120</v>
      </c>
      <c r="J999" s="18"/>
      <c r="K999" s="20"/>
      <c r="L999" s="20"/>
      <c r="M999" s="20"/>
      <c r="N999" s="18"/>
    </row>
    <row r="1000">
      <c r="A1000" s="17" t="str">
        <f t="shared" si="1"/>
        <v>PD-1614</v>
      </c>
      <c r="B1000" s="18" t="s">
        <v>489</v>
      </c>
      <c r="C1000" s="18" t="s">
        <v>490</v>
      </c>
      <c r="D1000" s="18">
        <v>5.35</v>
      </c>
      <c r="E1000" s="19">
        <v>43209.0</v>
      </c>
      <c r="F1000" s="18" t="s">
        <v>81</v>
      </c>
      <c r="G1000" s="18"/>
      <c r="H1000" s="18" t="s">
        <v>106</v>
      </c>
      <c r="I1000" s="18" t="s">
        <v>81</v>
      </c>
      <c r="J1000" s="18"/>
      <c r="K1000" s="20"/>
      <c r="L1000" s="20"/>
      <c r="M1000" s="20"/>
      <c r="N1000" s="18"/>
    </row>
    <row r="1001">
      <c r="A1001" s="17" t="str">
        <f t="shared" si="1"/>
        <v>PD-1604</v>
      </c>
      <c r="B1001" s="18" t="s">
        <v>330</v>
      </c>
      <c r="C1001" s="18" t="s">
        <v>331</v>
      </c>
      <c r="D1001" s="18">
        <v>0.583333333</v>
      </c>
      <c r="E1001" s="19">
        <v>43209.0</v>
      </c>
      <c r="F1001" s="18" t="s">
        <v>81</v>
      </c>
      <c r="G1001" s="18"/>
      <c r="H1001" s="18" t="s">
        <v>106</v>
      </c>
      <c r="I1001" s="18" t="s">
        <v>81</v>
      </c>
      <c r="J1001" s="18"/>
      <c r="K1001" s="20"/>
      <c r="L1001" s="20"/>
      <c r="M1001" s="20"/>
      <c r="N1001" s="18"/>
    </row>
    <row r="1002">
      <c r="A1002" s="17" t="str">
        <f t="shared" si="1"/>
        <v>PD-1597</v>
      </c>
      <c r="B1002" s="18" t="s">
        <v>452</v>
      </c>
      <c r="C1002" s="18" t="s">
        <v>453</v>
      </c>
      <c r="D1002" s="18">
        <v>2.033333333</v>
      </c>
      <c r="E1002" s="19">
        <v>43209.0</v>
      </c>
      <c r="F1002" s="18" t="s">
        <v>81</v>
      </c>
      <c r="G1002" s="18"/>
      <c r="H1002" s="18" t="s">
        <v>106</v>
      </c>
      <c r="I1002" s="18" t="s">
        <v>81</v>
      </c>
      <c r="J1002" s="18"/>
      <c r="K1002" s="20"/>
      <c r="L1002" s="20"/>
      <c r="M1002" s="20"/>
      <c r="N1002" s="18"/>
    </row>
    <row r="1003">
      <c r="A1003" s="17" t="str">
        <f t="shared" si="1"/>
        <v>PD-1614</v>
      </c>
      <c r="B1003" s="18" t="s">
        <v>489</v>
      </c>
      <c r="C1003" s="18" t="s">
        <v>490</v>
      </c>
      <c r="D1003" s="18">
        <v>7.383333333</v>
      </c>
      <c r="E1003" s="19">
        <v>43210.0</v>
      </c>
      <c r="F1003" s="18" t="s">
        <v>81</v>
      </c>
      <c r="G1003" s="18"/>
      <c r="H1003" s="18" t="s">
        <v>106</v>
      </c>
      <c r="I1003" s="18" t="s">
        <v>81</v>
      </c>
      <c r="J1003" s="18"/>
      <c r="K1003" s="20"/>
      <c r="L1003" s="20"/>
      <c r="M1003" s="20"/>
      <c r="N1003" s="18"/>
    </row>
    <row r="1004">
      <c r="A1004" s="17" t="str">
        <f t="shared" si="1"/>
        <v>IOP-866</v>
      </c>
      <c r="B1004" s="18" t="s">
        <v>117</v>
      </c>
      <c r="C1004" s="18" t="s">
        <v>118</v>
      </c>
      <c r="D1004" s="18">
        <v>0.1</v>
      </c>
      <c r="E1004" s="19">
        <v>43210.0</v>
      </c>
      <c r="F1004" s="18" t="s">
        <v>81</v>
      </c>
      <c r="G1004" s="18"/>
      <c r="H1004" s="18" t="s">
        <v>119</v>
      </c>
      <c r="I1004" s="18" t="s">
        <v>120</v>
      </c>
      <c r="J1004" s="18"/>
      <c r="K1004" s="20"/>
      <c r="L1004" s="20"/>
      <c r="M1004" s="20"/>
      <c r="N1004" s="18"/>
    </row>
    <row r="1005">
      <c r="A1005" s="17" t="str">
        <f t="shared" si="1"/>
        <v>IOP-875</v>
      </c>
      <c r="B1005" s="18" t="s">
        <v>123</v>
      </c>
      <c r="C1005" s="18" t="s">
        <v>124</v>
      </c>
      <c r="D1005" s="18">
        <v>0.166666667</v>
      </c>
      <c r="E1005" s="19">
        <v>43210.0</v>
      </c>
      <c r="F1005" s="18" t="s">
        <v>81</v>
      </c>
      <c r="G1005" s="18"/>
      <c r="H1005" s="18" t="s">
        <v>125</v>
      </c>
      <c r="I1005" s="18" t="s">
        <v>120</v>
      </c>
      <c r="J1005" s="18"/>
      <c r="K1005" s="20"/>
      <c r="L1005" s="20"/>
      <c r="M1005" s="20"/>
      <c r="N1005" s="18"/>
    </row>
    <row r="1006">
      <c r="A1006" s="17" t="str">
        <f t="shared" si="1"/>
        <v>PD-1623</v>
      </c>
      <c r="B1006" s="18" t="s">
        <v>515</v>
      </c>
      <c r="C1006" s="18" t="s">
        <v>516</v>
      </c>
      <c r="D1006" s="18">
        <v>0.25</v>
      </c>
      <c r="E1006" s="19">
        <v>43210.0</v>
      </c>
      <c r="F1006" s="18" t="s">
        <v>81</v>
      </c>
      <c r="G1006" s="18"/>
      <c r="H1006" s="18" t="s">
        <v>167</v>
      </c>
      <c r="I1006" s="18" t="s">
        <v>89</v>
      </c>
      <c r="J1006" s="18"/>
      <c r="K1006" s="20"/>
      <c r="L1006" s="20"/>
      <c r="M1006" s="20"/>
      <c r="N1006" s="18"/>
    </row>
    <row r="1007">
      <c r="A1007" s="17" t="str">
        <f t="shared" si="1"/>
        <v>IOP-867</v>
      </c>
      <c r="B1007" s="18" t="s">
        <v>143</v>
      </c>
      <c r="C1007" s="18" t="s">
        <v>144</v>
      </c>
      <c r="D1007" s="18">
        <v>0.083333333</v>
      </c>
      <c r="E1007" s="19">
        <v>43213.0</v>
      </c>
      <c r="F1007" s="18" t="s">
        <v>81</v>
      </c>
      <c r="G1007" s="18"/>
      <c r="H1007" s="18" t="s">
        <v>119</v>
      </c>
      <c r="I1007" s="18" t="s">
        <v>120</v>
      </c>
      <c r="J1007" s="18"/>
      <c r="K1007" s="20"/>
      <c r="L1007" s="20"/>
      <c r="M1007" s="20"/>
      <c r="N1007" s="18"/>
    </row>
    <row r="1008">
      <c r="A1008" s="17" t="str">
        <f t="shared" si="1"/>
        <v>IOP-866</v>
      </c>
      <c r="B1008" s="18" t="s">
        <v>117</v>
      </c>
      <c r="C1008" s="18" t="s">
        <v>118</v>
      </c>
      <c r="D1008" s="18">
        <v>0.116666667</v>
      </c>
      <c r="E1008" s="19">
        <v>43213.0</v>
      </c>
      <c r="F1008" s="18" t="s">
        <v>81</v>
      </c>
      <c r="G1008" s="18"/>
      <c r="H1008" s="18" t="s">
        <v>119</v>
      </c>
      <c r="I1008" s="18" t="s">
        <v>120</v>
      </c>
      <c r="J1008" s="18"/>
      <c r="K1008" s="20"/>
      <c r="L1008" s="20"/>
      <c r="M1008" s="20"/>
      <c r="N1008" s="18"/>
    </row>
    <row r="1009">
      <c r="A1009" s="17" t="str">
        <f t="shared" si="1"/>
        <v>PD-1614</v>
      </c>
      <c r="B1009" s="18" t="s">
        <v>489</v>
      </c>
      <c r="C1009" s="18" t="s">
        <v>490</v>
      </c>
      <c r="D1009" s="18">
        <v>6.916666667</v>
      </c>
      <c r="E1009" s="19">
        <v>43213.0</v>
      </c>
      <c r="F1009" s="18" t="s">
        <v>81</v>
      </c>
      <c r="G1009" s="18"/>
      <c r="H1009" s="18" t="s">
        <v>106</v>
      </c>
      <c r="I1009" s="18" t="s">
        <v>81</v>
      </c>
      <c r="J1009" s="18"/>
      <c r="K1009" s="20"/>
      <c r="L1009" s="20"/>
      <c r="M1009" s="20"/>
      <c r="N1009" s="18"/>
    </row>
    <row r="1010">
      <c r="A1010" s="17" t="str">
        <f t="shared" si="1"/>
        <v>PD-1604</v>
      </c>
      <c r="B1010" s="18" t="s">
        <v>330</v>
      </c>
      <c r="C1010" s="18" t="s">
        <v>331</v>
      </c>
      <c r="D1010" s="18">
        <v>1.0</v>
      </c>
      <c r="E1010" s="19">
        <v>43213.0</v>
      </c>
      <c r="F1010" s="18" t="s">
        <v>81</v>
      </c>
      <c r="G1010" s="18"/>
      <c r="H1010" s="18" t="s">
        <v>106</v>
      </c>
      <c r="I1010" s="18" t="s">
        <v>81</v>
      </c>
      <c r="J1010" s="18"/>
      <c r="K1010" s="20"/>
      <c r="L1010" s="20"/>
      <c r="M1010" s="20"/>
      <c r="N1010" s="18"/>
    </row>
    <row r="1011">
      <c r="A1011" s="17" t="str">
        <f t="shared" si="1"/>
        <v>IOP-867</v>
      </c>
      <c r="B1011" s="18" t="s">
        <v>143</v>
      </c>
      <c r="C1011" s="18" t="s">
        <v>144</v>
      </c>
      <c r="D1011" s="18">
        <v>0.166666667</v>
      </c>
      <c r="E1011" s="19">
        <v>43214.0</v>
      </c>
      <c r="F1011" s="18" t="s">
        <v>81</v>
      </c>
      <c r="G1011" s="18"/>
      <c r="H1011" s="18" t="s">
        <v>119</v>
      </c>
      <c r="I1011" s="18" t="s">
        <v>120</v>
      </c>
      <c r="J1011" s="18"/>
      <c r="K1011" s="20"/>
      <c r="L1011" s="20"/>
      <c r="M1011" s="20"/>
      <c r="N1011" s="18"/>
    </row>
    <row r="1012">
      <c r="A1012" s="17" t="str">
        <f t="shared" si="1"/>
        <v>IOP-866</v>
      </c>
      <c r="B1012" s="18" t="s">
        <v>117</v>
      </c>
      <c r="C1012" s="18" t="s">
        <v>118</v>
      </c>
      <c r="D1012" s="18">
        <v>0.05</v>
      </c>
      <c r="E1012" s="19">
        <v>43214.0</v>
      </c>
      <c r="F1012" s="18" t="s">
        <v>81</v>
      </c>
      <c r="G1012" s="18"/>
      <c r="H1012" s="18" t="s">
        <v>119</v>
      </c>
      <c r="I1012" s="18" t="s">
        <v>120</v>
      </c>
      <c r="J1012" s="18"/>
      <c r="K1012" s="20"/>
      <c r="L1012" s="20"/>
      <c r="M1012" s="20"/>
      <c r="N1012" s="18"/>
    </row>
    <row r="1013">
      <c r="A1013" s="17" t="str">
        <f t="shared" si="1"/>
        <v>PD-1626</v>
      </c>
      <c r="B1013" s="18" t="s">
        <v>517</v>
      </c>
      <c r="C1013" s="18" t="s">
        <v>518</v>
      </c>
      <c r="D1013" s="18">
        <v>1.15</v>
      </c>
      <c r="E1013" s="19">
        <v>43214.0</v>
      </c>
      <c r="F1013" s="18" t="s">
        <v>81</v>
      </c>
      <c r="G1013" s="18"/>
      <c r="H1013" s="18" t="s">
        <v>106</v>
      </c>
      <c r="I1013" s="18" t="s">
        <v>77</v>
      </c>
      <c r="J1013" s="18"/>
      <c r="K1013" s="20"/>
      <c r="L1013" s="20"/>
      <c r="M1013" s="20"/>
      <c r="N1013" s="18"/>
    </row>
    <row r="1014">
      <c r="A1014" s="17" t="str">
        <f t="shared" si="1"/>
        <v>IOP-875</v>
      </c>
      <c r="B1014" s="18" t="s">
        <v>123</v>
      </c>
      <c r="C1014" s="18" t="s">
        <v>124</v>
      </c>
      <c r="D1014" s="18">
        <v>0.216666667</v>
      </c>
      <c r="E1014" s="19">
        <v>43214.0</v>
      </c>
      <c r="F1014" s="18" t="s">
        <v>81</v>
      </c>
      <c r="G1014" s="18"/>
      <c r="H1014" s="18" t="s">
        <v>125</v>
      </c>
      <c r="I1014" s="18" t="s">
        <v>120</v>
      </c>
      <c r="J1014" s="18"/>
      <c r="K1014" s="20"/>
      <c r="L1014" s="20"/>
      <c r="M1014" s="20"/>
      <c r="N1014" s="18"/>
    </row>
    <row r="1015">
      <c r="A1015" s="17" t="str">
        <f t="shared" si="1"/>
        <v>PD-1625</v>
      </c>
      <c r="B1015" s="18" t="s">
        <v>346</v>
      </c>
      <c r="C1015" s="18" t="s">
        <v>347</v>
      </c>
      <c r="D1015" s="18">
        <v>0.166666667</v>
      </c>
      <c r="E1015" s="19">
        <v>43214.0</v>
      </c>
      <c r="F1015" s="18" t="s">
        <v>81</v>
      </c>
      <c r="G1015" s="18"/>
      <c r="H1015" s="18" t="s">
        <v>96</v>
      </c>
      <c r="I1015" s="18" t="s">
        <v>81</v>
      </c>
      <c r="J1015" s="18"/>
      <c r="K1015" s="20"/>
      <c r="L1015" s="20"/>
      <c r="M1015" s="20"/>
      <c r="N1015" s="18"/>
    </row>
    <row r="1016">
      <c r="A1016" s="17" t="str">
        <f t="shared" si="1"/>
        <v>PD-1627</v>
      </c>
      <c r="B1016" s="18" t="s">
        <v>519</v>
      </c>
      <c r="C1016" s="18" t="s">
        <v>520</v>
      </c>
      <c r="D1016" s="18">
        <v>1.383333333</v>
      </c>
      <c r="E1016" s="19">
        <v>43214.0</v>
      </c>
      <c r="F1016" s="18" t="s">
        <v>81</v>
      </c>
      <c r="G1016" s="18"/>
      <c r="H1016" s="18" t="s">
        <v>106</v>
      </c>
      <c r="I1016" s="18" t="s">
        <v>77</v>
      </c>
      <c r="J1016" s="18"/>
      <c r="K1016" s="20"/>
      <c r="L1016" s="20"/>
      <c r="M1016" s="20"/>
      <c r="N1016" s="18"/>
    </row>
    <row r="1017">
      <c r="A1017" s="17" t="str">
        <f t="shared" si="1"/>
        <v>PD-1614</v>
      </c>
      <c r="B1017" s="18" t="s">
        <v>489</v>
      </c>
      <c r="C1017" s="18" t="s">
        <v>490</v>
      </c>
      <c r="D1017" s="18">
        <v>3.866666667</v>
      </c>
      <c r="E1017" s="19">
        <v>43214.0</v>
      </c>
      <c r="F1017" s="18" t="s">
        <v>81</v>
      </c>
      <c r="G1017" s="18"/>
      <c r="H1017" s="18" t="s">
        <v>106</v>
      </c>
      <c r="I1017" s="18" t="s">
        <v>81</v>
      </c>
      <c r="J1017" s="18"/>
      <c r="K1017" s="20"/>
      <c r="L1017" s="20"/>
      <c r="M1017" s="20"/>
      <c r="N1017" s="18"/>
    </row>
    <row r="1018">
      <c r="A1018" s="17" t="str">
        <f t="shared" si="1"/>
        <v>PD-1649</v>
      </c>
      <c r="B1018" s="18" t="s">
        <v>521</v>
      </c>
      <c r="C1018" s="18" t="s">
        <v>522</v>
      </c>
      <c r="D1018" s="18">
        <v>2.016666667</v>
      </c>
      <c r="E1018" s="19">
        <v>43223.0</v>
      </c>
      <c r="F1018" s="18" t="s">
        <v>81</v>
      </c>
      <c r="G1018" s="18"/>
      <c r="H1018" s="18" t="s">
        <v>106</v>
      </c>
      <c r="I1018" s="18" t="s">
        <v>77</v>
      </c>
      <c r="J1018" s="18"/>
      <c r="K1018" s="20"/>
      <c r="L1018" s="20"/>
      <c r="M1018" s="20"/>
      <c r="N1018" s="18"/>
    </row>
    <row r="1019">
      <c r="A1019" s="17" t="str">
        <f t="shared" si="1"/>
        <v>IOP-867</v>
      </c>
      <c r="B1019" s="18" t="s">
        <v>143</v>
      </c>
      <c r="C1019" s="18" t="s">
        <v>144</v>
      </c>
      <c r="D1019" s="18">
        <v>0.116666667</v>
      </c>
      <c r="E1019" s="19">
        <v>43215.0</v>
      </c>
      <c r="F1019" s="18" t="s">
        <v>81</v>
      </c>
      <c r="G1019" s="18"/>
      <c r="H1019" s="18" t="s">
        <v>119</v>
      </c>
      <c r="I1019" s="18" t="s">
        <v>120</v>
      </c>
      <c r="J1019" s="18"/>
      <c r="K1019" s="20"/>
      <c r="L1019" s="20"/>
      <c r="M1019" s="20"/>
      <c r="N1019" s="18"/>
    </row>
    <row r="1020">
      <c r="A1020" s="17" t="str">
        <f t="shared" si="1"/>
        <v>IOP-866</v>
      </c>
      <c r="B1020" s="18" t="s">
        <v>117</v>
      </c>
      <c r="C1020" s="18" t="s">
        <v>118</v>
      </c>
      <c r="D1020" s="18">
        <v>0.166666667</v>
      </c>
      <c r="E1020" s="19">
        <v>43215.0</v>
      </c>
      <c r="F1020" s="18" t="s">
        <v>81</v>
      </c>
      <c r="G1020" s="18"/>
      <c r="H1020" s="18" t="s">
        <v>119</v>
      </c>
      <c r="I1020" s="18" t="s">
        <v>120</v>
      </c>
      <c r="J1020" s="18"/>
      <c r="K1020" s="20"/>
      <c r="L1020" s="20"/>
      <c r="M1020" s="20"/>
      <c r="N1020" s="18"/>
    </row>
    <row r="1021">
      <c r="A1021" s="17" t="str">
        <f t="shared" si="1"/>
        <v>PD-1614</v>
      </c>
      <c r="B1021" s="18" t="s">
        <v>489</v>
      </c>
      <c r="C1021" s="18" t="s">
        <v>490</v>
      </c>
      <c r="D1021" s="18">
        <v>5.216666667</v>
      </c>
      <c r="E1021" s="19">
        <v>43215.0</v>
      </c>
      <c r="F1021" s="18" t="s">
        <v>81</v>
      </c>
      <c r="G1021" s="18"/>
      <c r="H1021" s="18" t="s">
        <v>106</v>
      </c>
      <c r="I1021" s="18" t="s">
        <v>81</v>
      </c>
      <c r="J1021" s="18"/>
      <c r="K1021" s="20"/>
      <c r="L1021" s="20"/>
      <c r="M1021" s="20"/>
      <c r="N1021" s="18"/>
    </row>
    <row r="1022">
      <c r="A1022" s="17" t="str">
        <f t="shared" si="1"/>
        <v>PD-1627</v>
      </c>
      <c r="B1022" s="18" t="s">
        <v>519</v>
      </c>
      <c r="C1022" s="18" t="s">
        <v>520</v>
      </c>
      <c r="D1022" s="18">
        <v>0.283333333</v>
      </c>
      <c r="E1022" s="19">
        <v>43215.0</v>
      </c>
      <c r="F1022" s="18" t="s">
        <v>81</v>
      </c>
      <c r="G1022" s="18"/>
      <c r="H1022" s="18" t="s">
        <v>106</v>
      </c>
      <c r="I1022" s="18" t="s">
        <v>77</v>
      </c>
      <c r="J1022" s="18"/>
      <c r="K1022" s="20"/>
      <c r="L1022" s="20"/>
      <c r="M1022" s="20"/>
      <c r="N1022" s="18"/>
    </row>
    <row r="1023">
      <c r="A1023" s="17" t="str">
        <f t="shared" si="1"/>
        <v>PD-1628</v>
      </c>
      <c r="B1023" s="18" t="s">
        <v>523</v>
      </c>
      <c r="C1023" s="18" t="s">
        <v>524</v>
      </c>
      <c r="D1023" s="18">
        <v>1.75</v>
      </c>
      <c r="E1023" s="19">
        <v>43215.0</v>
      </c>
      <c r="F1023" s="18" t="s">
        <v>81</v>
      </c>
      <c r="G1023" s="18"/>
      <c r="H1023" s="18" t="s">
        <v>106</v>
      </c>
      <c r="I1023" s="18" t="s">
        <v>77</v>
      </c>
      <c r="J1023" s="18"/>
      <c r="K1023" s="20"/>
      <c r="L1023" s="18"/>
      <c r="M1023" s="20"/>
      <c r="N1023" s="18"/>
    </row>
    <row r="1024">
      <c r="A1024" s="17" t="str">
        <f t="shared" si="1"/>
        <v>PD-1629</v>
      </c>
      <c r="B1024" s="18" t="s">
        <v>525</v>
      </c>
      <c r="C1024" s="18" t="s">
        <v>526</v>
      </c>
      <c r="D1024" s="18">
        <v>0.65</v>
      </c>
      <c r="E1024" s="19">
        <v>43215.0</v>
      </c>
      <c r="F1024" s="18" t="s">
        <v>81</v>
      </c>
      <c r="G1024" s="18"/>
      <c r="H1024" s="18" t="s">
        <v>106</v>
      </c>
      <c r="I1024" s="18" t="s">
        <v>77</v>
      </c>
      <c r="J1024" s="18"/>
      <c r="K1024" s="20"/>
      <c r="L1024" s="18"/>
      <c r="M1024" s="20"/>
      <c r="N1024" s="18"/>
    </row>
    <row r="1025">
      <c r="A1025" s="17" t="str">
        <f t="shared" si="1"/>
        <v>IOP-880</v>
      </c>
      <c r="B1025" s="18" t="s">
        <v>527</v>
      </c>
      <c r="C1025" s="18" t="s">
        <v>528</v>
      </c>
      <c r="D1025" s="18">
        <v>3.283333333</v>
      </c>
      <c r="E1025" s="19">
        <v>43216.0</v>
      </c>
      <c r="F1025" s="18" t="s">
        <v>81</v>
      </c>
      <c r="G1025" s="18"/>
      <c r="H1025" s="18" t="s">
        <v>157</v>
      </c>
      <c r="I1025" s="18" t="s">
        <v>120</v>
      </c>
      <c r="J1025" s="18"/>
      <c r="K1025" s="20"/>
      <c r="L1025" s="18"/>
      <c r="M1025" s="20"/>
      <c r="N1025" s="18"/>
    </row>
    <row r="1026">
      <c r="A1026" s="17" t="str">
        <f t="shared" si="1"/>
        <v>IOP-867</v>
      </c>
      <c r="B1026" s="18" t="s">
        <v>143</v>
      </c>
      <c r="C1026" s="18" t="s">
        <v>144</v>
      </c>
      <c r="D1026" s="18">
        <v>0.183333333</v>
      </c>
      <c r="E1026" s="19">
        <v>43216.0</v>
      </c>
      <c r="F1026" s="18" t="s">
        <v>81</v>
      </c>
      <c r="G1026" s="18"/>
      <c r="H1026" s="18" t="s">
        <v>119</v>
      </c>
      <c r="I1026" s="18" t="s">
        <v>120</v>
      </c>
      <c r="J1026" s="18"/>
      <c r="K1026" s="20"/>
      <c r="L1026" s="18"/>
      <c r="M1026" s="20"/>
      <c r="N1026" s="18"/>
    </row>
    <row r="1027">
      <c r="A1027" s="17" t="str">
        <f t="shared" si="1"/>
        <v>IOP-866</v>
      </c>
      <c r="B1027" s="18" t="s">
        <v>117</v>
      </c>
      <c r="C1027" s="18" t="s">
        <v>118</v>
      </c>
      <c r="D1027" s="18">
        <v>0.116666667</v>
      </c>
      <c r="E1027" s="19">
        <v>43216.0</v>
      </c>
      <c r="F1027" s="18" t="s">
        <v>81</v>
      </c>
      <c r="G1027" s="18"/>
      <c r="H1027" s="18" t="s">
        <v>119</v>
      </c>
      <c r="I1027" s="18" t="s">
        <v>120</v>
      </c>
      <c r="J1027" s="18"/>
      <c r="K1027" s="20"/>
      <c r="L1027" s="18"/>
      <c r="M1027" s="20"/>
      <c r="N1027" s="18"/>
    </row>
    <row r="1028">
      <c r="A1028" s="17" t="str">
        <f t="shared" si="1"/>
        <v>PD-1598</v>
      </c>
      <c r="B1028" s="18" t="s">
        <v>454</v>
      </c>
      <c r="C1028" s="18" t="s">
        <v>455</v>
      </c>
      <c r="D1028" s="18">
        <v>0.516666667</v>
      </c>
      <c r="E1028" s="19">
        <v>43216.0</v>
      </c>
      <c r="F1028" s="18" t="s">
        <v>81</v>
      </c>
      <c r="G1028" s="18"/>
      <c r="H1028" s="18" t="s">
        <v>106</v>
      </c>
      <c r="I1028" s="18" t="s">
        <v>81</v>
      </c>
      <c r="J1028" s="18"/>
      <c r="K1028" s="20"/>
      <c r="L1028" s="20"/>
      <c r="M1028" s="20"/>
      <c r="N1028" s="18"/>
    </row>
    <row r="1029">
      <c r="A1029" s="17" t="str">
        <f t="shared" si="1"/>
        <v>PD-1630</v>
      </c>
      <c r="B1029" s="18" t="s">
        <v>529</v>
      </c>
      <c r="C1029" s="18" t="s">
        <v>530</v>
      </c>
      <c r="D1029" s="18">
        <v>1.766666667</v>
      </c>
      <c r="E1029" s="19">
        <v>43216.0</v>
      </c>
      <c r="F1029" s="18" t="s">
        <v>81</v>
      </c>
      <c r="G1029" s="18"/>
      <c r="H1029" s="18" t="s">
        <v>96</v>
      </c>
      <c r="I1029" s="18" t="s">
        <v>81</v>
      </c>
      <c r="J1029" s="18"/>
      <c r="K1029" s="18"/>
      <c r="L1029" s="20"/>
      <c r="M1029" s="20"/>
      <c r="N1029" s="18"/>
    </row>
    <row r="1030">
      <c r="A1030" s="17" t="str">
        <f t="shared" si="1"/>
        <v>PD-1614</v>
      </c>
      <c r="B1030" s="18" t="s">
        <v>489</v>
      </c>
      <c r="C1030" s="18" t="s">
        <v>490</v>
      </c>
      <c r="D1030" s="18">
        <v>2.266666667</v>
      </c>
      <c r="E1030" s="19">
        <v>43216.0</v>
      </c>
      <c r="F1030" s="18" t="s">
        <v>81</v>
      </c>
      <c r="G1030" s="18"/>
      <c r="H1030" s="18" t="s">
        <v>106</v>
      </c>
      <c r="I1030" s="18" t="s">
        <v>81</v>
      </c>
      <c r="J1030" s="18"/>
      <c r="K1030" s="20"/>
      <c r="L1030" s="20"/>
      <c r="M1030" s="18"/>
      <c r="N1030" s="18"/>
    </row>
    <row r="1031">
      <c r="A1031" s="17" t="str">
        <f t="shared" si="1"/>
        <v>IOP-867</v>
      </c>
      <c r="B1031" s="18" t="s">
        <v>143</v>
      </c>
      <c r="C1031" s="18" t="s">
        <v>144</v>
      </c>
      <c r="D1031" s="18">
        <v>0.033333333</v>
      </c>
      <c r="E1031" s="19">
        <v>43217.0</v>
      </c>
      <c r="F1031" s="18" t="s">
        <v>81</v>
      </c>
      <c r="G1031" s="18"/>
      <c r="H1031" s="18" t="s">
        <v>119</v>
      </c>
      <c r="I1031" s="18" t="s">
        <v>120</v>
      </c>
      <c r="J1031" s="18"/>
      <c r="K1031" s="20"/>
      <c r="L1031" s="20"/>
      <c r="M1031" s="18"/>
      <c r="N1031" s="18"/>
    </row>
    <row r="1032">
      <c r="A1032" s="17" t="str">
        <f t="shared" si="1"/>
        <v>IOP-866</v>
      </c>
      <c r="B1032" s="18" t="s">
        <v>117</v>
      </c>
      <c r="C1032" s="18" t="s">
        <v>118</v>
      </c>
      <c r="D1032" s="18">
        <v>0.1</v>
      </c>
      <c r="E1032" s="19">
        <v>43217.0</v>
      </c>
      <c r="F1032" s="18" t="s">
        <v>81</v>
      </c>
      <c r="G1032" s="18"/>
      <c r="H1032" s="18" t="s">
        <v>119</v>
      </c>
      <c r="I1032" s="18" t="s">
        <v>120</v>
      </c>
      <c r="J1032" s="18"/>
      <c r="K1032" s="20"/>
      <c r="L1032" s="20"/>
      <c r="M1032" s="18"/>
      <c r="N1032" s="18"/>
    </row>
    <row r="1033">
      <c r="A1033" s="17" t="str">
        <f t="shared" si="1"/>
        <v>PD-1630</v>
      </c>
      <c r="B1033" s="18" t="s">
        <v>529</v>
      </c>
      <c r="C1033" s="18" t="s">
        <v>530</v>
      </c>
      <c r="D1033" s="18">
        <v>1.25</v>
      </c>
      <c r="E1033" s="19">
        <v>43217.0</v>
      </c>
      <c r="F1033" s="18" t="s">
        <v>81</v>
      </c>
      <c r="G1033" s="18"/>
      <c r="H1033" s="18" t="s">
        <v>96</v>
      </c>
      <c r="I1033" s="18" t="s">
        <v>81</v>
      </c>
      <c r="J1033" s="18"/>
      <c r="K1033" s="20"/>
      <c r="L1033" s="20"/>
      <c r="M1033" s="18"/>
      <c r="N1033" s="18"/>
    </row>
    <row r="1034">
      <c r="A1034" s="17" t="str">
        <f t="shared" si="1"/>
        <v>PD-1614</v>
      </c>
      <c r="B1034" s="18" t="s">
        <v>489</v>
      </c>
      <c r="C1034" s="18" t="s">
        <v>490</v>
      </c>
      <c r="D1034" s="18">
        <v>4.35</v>
      </c>
      <c r="E1034" s="19">
        <v>43217.0</v>
      </c>
      <c r="F1034" s="18" t="s">
        <v>81</v>
      </c>
      <c r="G1034" s="18"/>
      <c r="H1034" s="18" t="s">
        <v>106</v>
      </c>
      <c r="I1034" s="18" t="s">
        <v>81</v>
      </c>
      <c r="J1034" s="18"/>
      <c r="K1034" s="20"/>
      <c r="L1034" s="20"/>
      <c r="M1034" s="18"/>
      <c r="N1034" s="18"/>
    </row>
    <row r="1035">
      <c r="A1035" s="17" t="str">
        <f t="shared" si="1"/>
        <v>PD-1631</v>
      </c>
      <c r="B1035" s="18" t="s">
        <v>531</v>
      </c>
      <c r="C1035" s="18" t="s">
        <v>532</v>
      </c>
      <c r="D1035" s="18">
        <v>0.516666667</v>
      </c>
      <c r="E1035" s="19">
        <v>43217.0</v>
      </c>
      <c r="F1035" s="18" t="s">
        <v>81</v>
      </c>
      <c r="G1035" s="18"/>
      <c r="H1035" s="18" t="s">
        <v>106</v>
      </c>
      <c r="I1035" s="18" t="s">
        <v>81</v>
      </c>
      <c r="J1035" s="18"/>
      <c r="K1035" s="20"/>
      <c r="L1035" s="20"/>
      <c r="M1035" s="18"/>
      <c r="N1035" s="18"/>
    </row>
    <row r="1036">
      <c r="A1036" s="17" t="str">
        <f t="shared" si="1"/>
        <v>IOP-915</v>
      </c>
      <c r="B1036" s="18" t="s">
        <v>533</v>
      </c>
      <c r="C1036" s="18" t="s">
        <v>534</v>
      </c>
      <c r="D1036" s="18">
        <v>0.166666667</v>
      </c>
      <c r="E1036" s="19">
        <v>43217.0</v>
      </c>
      <c r="F1036" s="18" t="s">
        <v>81</v>
      </c>
      <c r="G1036" s="18"/>
      <c r="H1036" s="18"/>
      <c r="I1036" s="18" t="s">
        <v>116</v>
      </c>
      <c r="J1036" s="18"/>
      <c r="K1036" s="20"/>
      <c r="L1036" s="20"/>
      <c r="M1036" s="18"/>
      <c r="N1036" s="18"/>
    </row>
    <row r="1037">
      <c r="A1037" s="17" t="str">
        <f t="shared" si="1"/>
        <v>PD-1609</v>
      </c>
      <c r="B1037" s="18" t="s">
        <v>485</v>
      </c>
      <c r="C1037" s="18" t="s">
        <v>486</v>
      </c>
      <c r="D1037" s="18">
        <v>0.1</v>
      </c>
      <c r="E1037" s="19">
        <v>43217.0</v>
      </c>
      <c r="F1037" s="18" t="s">
        <v>81</v>
      </c>
      <c r="G1037" s="18"/>
      <c r="H1037" s="18" t="s">
        <v>96</v>
      </c>
      <c r="I1037" s="18" t="s">
        <v>81</v>
      </c>
      <c r="J1037" s="18"/>
      <c r="K1037" s="20"/>
      <c r="L1037" s="20"/>
      <c r="M1037" s="18"/>
      <c r="N1037" s="18"/>
    </row>
    <row r="1038">
      <c r="A1038" s="17" t="str">
        <f t="shared" si="1"/>
        <v>PD-1573</v>
      </c>
      <c r="B1038" s="18" t="s">
        <v>162</v>
      </c>
      <c r="C1038" s="18" t="s">
        <v>163</v>
      </c>
      <c r="D1038" s="18">
        <v>0.066666667</v>
      </c>
      <c r="E1038" s="19">
        <v>43217.0</v>
      </c>
      <c r="F1038" s="18" t="s">
        <v>81</v>
      </c>
      <c r="G1038" s="18"/>
      <c r="H1038" s="18" t="s">
        <v>164</v>
      </c>
      <c r="I1038" s="18" t="s">
        <v>77</v>
      </c>
      <c r="J1038" s="18"/>
      <c r="K1038" s="20"/>
      <c r="L1038" s="20"/>
      <c r="M1038" s="18"/>
      <c r="N1038" s="18"/>
    </row>
    <row r="1039">
      <c r="A1039" s="17" t="str">
        <f t="shared" si="1"/>
        <v>PD-1505</v>
      </c>
      <c r="B1039" s="18" t="s">
        <v>260</v>
      </c>
      <c r="C1039" s="18" t="s">
        <v>261</v>
      </c>
      <c r="D1039" s="18">
        <v>0.05</v>
      </c>
      <c r="E1039" s="19">
        <v>43217.0</v>
      </c>
      <c r="F1039" s="18" t="s">
        <v>81</v>
      </c>
      <c r="G1039" s="18"/>
      <c r="H1039" s="18"/>
      <c r="I1039" s="18" t="s">
        <v>77</v>
      </c>
      <c r="J1039" s="18"/>
      <c r="K1039" s="20"/>
      <c r="L1039" s="20"/>
      <c r="M1039" s="18"/>
      <c r="N1039" s="18"/>
    </row>
    <row r="1040">
      <c r="A1040" s="17" t="str">
        <f t="shared" si="1"/>
        <v>PD-1554</v>
      </c>
      <c r="B1040" s="18" t="s">
        <v>102</v>
      </c>
      <c r="C1040" s="18" t="s">
        <v>103</v>
      </c>
      <c r="D1040" s="18">
        <v>0.1</v>
      </c>
      <c r="E1040" s="19">
        <v>43217.0</v>
      </c>
      <c r="F1040" s="18" t="s">
        <v>81</v>
      </c>
      <c r="G1040" s="18"/>
      <c r="H1040" s="18" t="s">
        <v>88</v>
      </c>
      <c r="I1040" s="18" t="s">
        <v>93</v>
      </c>
      <c r="J1040" s="18"/>
      <c r="K1040" s="20"/>
      <c r="L1040" s="20"/>
      <c r="M1040" s="20"/>
      <c r="N1040" s="18"/>
    </row>
    <row r="1041">
      <c r="A1041" s="17" t="str">
        <f t="shared" si="1"/>
        <v>PD-1502</v>
      </c>
      <c r="B1041" s="18" t="s">
        <v>99</v>
      </c>
      <c r="C1041" s="18" t="s">
        <v>100</v>
      </c>
      <c r="D1041" s="18">
        <v>0.033333333</v>
      </c>
      <c r="E1041" s="19">
        <v>43217.0</v>
      </c>
      <c r="F1041" s="18" t="s">
        <v>81</v>
      </c>
      <c r="G1041" s="18"/>
      <c r="H1041" s="18" t="s">
        <v>101</v>
      </c>
      <c r="I1041" s="18" t="s">
        <v>93</v>
      </c>
      <c r="J1041" s="18"/>
      <c r="K1041" s="20"/>
      <c r="L1041" s="20"/>
      <c r="M1041" s="20"/>
      <c r="N1041" s="18"/>
    </row>
    <row r="1042">
      <c r="A1042" s="17" t="str">
        <f t="shared" si="1"/>
        <v>PD-1588</v>
      </c>
      <c r="B1042" s="18" t="s">
        <v>444</v>
      </c>
      <c r="C1042" s="18" t="s">
        <v>445</v>
      </c>
      <c r="D1042" s="18">
        <v>0.033333333</v>
      </c>
      <c r="E1042" s="19">
        <v>43217.0</v>
      </c>
      <c r="F1042" s="18" t="s">
        <v>81</v>
      </c>
      <c r="G1042" s="18"/>
      <c r="H1042" s="18" t="s">
        <v>106</v>
      </c>
      <c r="I1042" s="18" t="s">
        <v>81</v>
      </c>
      <c r="J1042" s="18"/>
      <c r="K1042" s="20"/>
      <c r="L1042" s="20"/>
      <c r="M1042" s="20"/>
      <c r="N1042" s="18"/>
    </row>
    <row r="1043">
      <c r="A1043" s="17" t="str">
        <f t="shared" si="1"/>
        <v>PD-1364</v>
      </c>
      <c r="B1043" s="18" t="s">
        <v>172</v>
      </c>
      <c r="C1043" s="18" t="s">
        <v>173</v>
      </c>
      <c r="D1043" s="18">
        <v>0.1</v>
      </c>
      <c r="E1043" s="19">
        <v>43217.0</v>
      </c>
      <c r="F1043" s="18" t="s">
        <v>81</v>
      </c>
      <c r="G1043" s="18"/>
      <c r="H1043" s="18" t="s">
        <v>167</v>
      </c>
      <c r="I1043" s="18" t="s">
        <v>78</v>
      </c>
      <c r="J1043" s="18"/>
      <c r="K1043" s="20"/>
      <c r="L1043" s="20"/>
      <c r="M1043" s="20"/>
      <c r="N1043" s="18"/>
    </row>
    <row r="1044">
      <c r="A1044" s="17" t="str">
        <f t="shared" si="1"/>
        <v>IOP-867</v>
      </c>
      <c r="B1044" s="18" t="s">
        <v>143</v>
      </c>
      <c r="C1044" s="18" t="s">
        <v>144</v>
      </c>
      <c r="D1044" s="18">
        <v>0.066666667</v>
      </c>
      <c r="E1044" s="19">
        <v>43220.0</v>
      </c>
      <c r="F1044" s="18" t="s">
        <v>81</v>
      </c>
      <c r="G1044" s="18"/>
      <c r="H1044" s="18" t="s">
        <v>119</v>
      </c>
      <c r="I1044" s="18" t="s">
        <v>120</v>
      </c>
      <c r="J1044" s="18"/>
      <c r="K1044" s="20"/>
      <c r="L1044" s="20"/>
      <c r="M1044" s="20"/>
      <c r="N1044" s="18"/>
    </row>
    <row r="1045">
      <c r="A1045" s="17" t="str">
        <f t="shared" si="1"/>
        <v>PD-1632</v>
      </c>
      <c r="B1045" s="18" t="s">
        <v>325</v>
      </c>
      <c r="C1045" s="18" t="s">
        <v>326</v>
      </c>
      <c r="D1045" s="18">
        <v>2.3</v>
      </c>
      <c r="E1045" s="19">
        <v>43220.0</v>
      </c>
      <c r="F1045" s="18" t="s">
        <v>81</v>
      </c>
      <c r="G1045" s="18"/>
      <c r="H1045" s="18" t="s">
        <v>106</v>
      </c>
      <c r="I1045" s="18" t="s">
        <v>77</v>
      </c>
      <c r="J1045" s="18"/>
      <c r="K1045" s="20"/>
      <c r="L1045" s="20"/>
      <c r="M1045" s="20"/>
      <c r="N1045" s="18"/>
    </row>
    <row r="1046">
      <c r="A1046" s="17" t="str">
        <f t="shared" si="1"/>
        <v>PD-1604</v>
      </c>
      <c r="B1046" s="18" t="s">
        <v>330</v>
      </c>
      <c r="C1046" s="18" t="s">
        <v>331</v>
      </c>
      <c r="D1046" s="18">
        <v>1.15</v>
      </c>
      <c r="E1046" s="19">
        <v>43220.0</v>
      </c>
      <c r="F1046" s="18" t="s">
        <v>81</v>
      </c>
      <c r="G1046" s="18"/>
      <c r="H1046" s="18" t="s">
        <v>106</v>
      </c>
      <c r="I1046" s="18" t="s">
        <v>81</v>
      </c>
      <c r="J1046" s="18"/>
      <c r="K1046" s="20"/>
      <c r="L1046" s="20"/>
      <c r="M1046" s="20"/>
      <c r="N1046" s="18"/>
    </row>
    <row r="1047">
      <c r="A1047" s="17" t="str">
        <f t="shared" si="1"/>
        <v>PD-1631</v>
      </c>
      <c r="B1047" s="18" t="s">
        <v>531</v>
      </c>
      <c r="C1047" s="18" t="s">
        <v>532</v>
      </c>
      <c r="D1047" s="18">
        <v>0.283333333</v>
      </c>
      <c r="E1047" s="19">
        <v>43220.0</v>
      </c>
      <c r="F1047" s="18" t="s">
        <v>81</v>
      </c>
      <c r="G1047" s="18"/>
      <c r="H1047" s="18" t="s">
        <v>106</v>
      </c>
      <c r="I1047" s="18" t="s">
        <v>81</v>
      </c>
      <c r="J1047" s="18"/>
      <c r="K1047" s="20"/>
      <c r="L1047" s="20"/>
      <c r="M1047" s="20"/>
      <c r="N1047" s="18"/>
    </row>
    <row r="1048">
      <c r="A1048" s="17" t="str">
        <f t="shared" si="1"/>
        <v>PD-1618</v>
      </c>
      <c r="B1048" s="18" t="s">
        <v>503</v>
      </c>
      <c r="C1048" s="18" t="s">
        <v>504</v>
      </c>
      <c r="D1048" s="18">
        <v>0.266666667</v>
      </c>
      <c r="E1048" s="19">
        <v>43220.0</v>
      </c>
      <c r="F1048" s="18" t="s">
        <v>81</v>
      </c>
      <c r="G1048" s="18"/>
      <c r="H1048" s="18" t="s">
        <v>106</v>
      </c>
      <c r="I1048" s="18" t="s">
        <v>81</v>
      </c>
      <c r="J1048" s="18"/>
      <c r="K1048" s="20"/>
      <c r="L1048" s="20"/>
      <c r="M1048" s="20"/>
      <c r="N1048" s="18"/>
    </row>
    <row r="1049">
      <c r="A1049" s="17" t="str">
        <f t="shared" si="1"/>
        <v>PD-1633</v>
      </c>
      <c r="B1049" s="18" t="s">
        <v>535</v>
      </c>
      <c r="C1049" s="18" t="s">
        <v>536</v>
      </c>
      <c r="D1049" s="18">
        <v>1.833333333</v>
      </c>
      <c r="E1049" s="19">
        <v>43220.0</v>
      </c>
      <c r="F1049" s="18" t="s">
        <v>81</v>
      </c>
      <c r="G1049" s="18"/>
      <c r="H1049" s="18" t="s">
        <v>106</v>
      </c>
      <c r="I1049" s="18" t="s">
        <v>81</v>
      </c>
      <c r="J1049" s="18"/>
      <c r="K1049" s="20"/>
      <c r="L1049" s="20"/>
      <c r="M1049" s="20"/>
      <c r="N1049" s="18"/>
    </row>
    <row r="1050">
      <c r="A1050" s="17" t="str">
        <f t="shared" si="1"/>
        <v>PD-1587</v>
      </c>
      <c r="B1050" s="18" t="s">
        <v>329</v>
      </c>
      <c r="C1050" s="18" t="s">
        <v>106</v>
      </c>
      <c r="D1050" s="18">
        <v>0.2</v>
      </c>
      <c r="E1050" s="19">
        <v>43220.0</v>
      </c>
      <c r="F1050" s="18" t="s">
        <v>81</v>
      </c>
      <c r="G1050" s="18" t="s">
        <v>106</v>
      </c>
      <c r="H1050" s="18"/>
      <c r="I1050" s="18" t="s">
        <v>81</v>
      </c>
      <c r="J1050" s="18"/>
      <c r="K1050" s="20"/>
      <c r="L1050" s="20"/>
      <c r="M1050" s="20"/>
      <c r="N1050" s="18"/>
    </row>
    <row r="1051">
      <c r="A1051" s="17" t="str">
        <f t="shared" si="1"/>
        <v>PD-1634</v>
      </c>
      <c r="B1051" s="18" t="s">
        <v>537</v>
      </c>
      <c r="C1051" s="18" t="s">
        <v>538</v>
      </c>
      <c r="D1051" s="18">
        <v>1.133333333</v>
      </c>
      <c r="E1051" s="19">
        <v>43220.0</v>
      </c>
      <c r="F1051" s="18" t="s">
        <v>81</v>
      </c>
      <c r="G1051" s="18"/>
      <c r="H1051" s="18" t="s">
        <v>106</v>
      </c>
      <c r="I1051" s="18" t="s">
        <v>81</v>
      </c>
      <c r="J1051" s="18"/>
      <c r="K1051" s="20"/>
      <c r="L1051" s="20"/>
      <c r="M1051" s="20"/>
      <c r="N1051" s="18"/>
    </row>
    <row r="1052">
      <c r="A1052" s="17" t="str">
        <f t="shared" si="1"/>
        <v>PD-1635</v>
      </c>
      <c r="B1052" s="18" t="s">
        <v>427</v>
      </c>
      <c r="C1052" s="18" t="s">
        <v>428</v>
      </c>
      <c r="D1052" s="18">
        <v>0.316666667</v>
      </c>
      <c r="E1052" s="19">
        <v>43220.0</v>
      </c>
      <c r="F1052" s="18" t="s">
        <v>81</v>
      </c>
      <c r="G1052" s="18"/>
      <c r="H1052" s="18" t="s">
        <v>106</v>
      </c>
      <c r="I1052" s="18" t="s">
        <v>77</v>
      </c>
      <c r="J1052" s="18"/>
      <c r="K1052" s="20"/>
      <c r="L1052" s="20"/>
      <c r="M1052" s="20"/>
      <c r="N1052" s="18"/>
    </row>
    <row r="1053">
      <c r="A1053" s="17" t="str">
        <f t="shared" si="1"/>
        <v>IOP-866</v>
      </c>
      <c r="B1053" s="18" t="s">
        <v>117</v>
      </c>
      <c r="C1053" s="18" t="s">
        <v>118</v>
      </c>
      <c r="D1053" s="18">
        <v>0.25</v>
      </c>
      <c r="E1053" s="19">
        <v>43354.0</v>
      </c>
      <c r="F1053" s="18" t="s">
        <v>81</v>
      </c>
      <c r="G1053" s="18"/>
      <c r="H1053" s="18" t="s">
        <v>119</v>
      </c>
      <c r="I1053" s="18" t="s">
        <v>120</v>
      </c>
      <c r="J1053" s="18"/>
      <c r="K1053" s="20"/>
      <c r="L1053" s="20"/>
      <c r="M1053" s="20"/>
      <c r="N1053" s="18"/>
    </row>
    <row r="1054">
      <c r="A1054" s="17" t="str">
        <f t="shared" si="1"/>
        <v>IOP-875</v>
      </c>
      <c r="B1054" s="18" t="s">
        <v>123</v>
      </c>
      <c r="C1054" s="18" t="s">
        <v>124</v>
      </c>
      <c r="D1054" s="18">
        <v>0.533333333</v>
      </c>
      <c r="E1054" s="19">
        <v>43378.0</v>
      </c>
      <c r="F1054" s="18" t="s">
        <v>81</v>
      </c>
      <c r="G1054" s="18"/>
      <c r="H1054" s="18" t="s">
        <v>125</v>
      </c>
      <c r="I1054" s="18" t="s">
        <v>120</v>
      </c>
      <c r="J1054" s="18"/>
      <c r="K1054" s="20"/>
      <c r="L1054" s="20"/>
      <c r="M1054" s="20"/>
      <c r="N1054" s="18"/>
    </row>
    <row r="1055">
      <c r="A1055" s="17" t="str">
        <f t="shared" si="1"/>
        <v>PD-1709</v>
      </c>
      <c r="B1055" s="18" t="s">
        <v>539</v>
      </c>
      <c r="C1055" s="18" t="s">
        <v>540</v>
      </c>
      <c r="D1055" s="18">
        <v>0.9</v>
      </c>
      <c r="E1055" s="19">
        <v>43354.0</v>
      </c>
      <c r="F1055" s="18" t="s">
        <v>81</v>
      </c>
      <c r="G1055" s="18"/>
      <c r="H1055" s="18" t="s">
        <v>187</v>
      </c>
      <c r="I1055" s="17" t="s">
        <v>541</v>
      </c>
      <c r="J1055" s="18"/>
      <c r="K1055" s="20"/>
      <c r="L1055" s="20"/>
      <c r="M1055" s="20"/>
      <c r="N1055" s="18"/>
    </row>
    <row r="1056">
      <c r="A1056" s="17" t="str">
        <f t="shared" si="1"/>
        <v>IOP-867</v>
      </c>
      <c r="B1056" s="18" t="s">
        <v>143</v>
      </c>
      <c r="C1056" s="18" t="s">
        <v>144</v>
      </c>
      <c r="D1056" s="18">
        <v>0.166666667</v>
      </c>
      <c r="E1056" s="19">
        <v>43357.0</v>
      </c>
      <c r="F1056" s="18" t="s">
        <v>81</v>
      </c>
      <c r="G1056" s="18"/>
      <c r="H1056" s="18" t="s">
        <v>119</v>
      </c>
      <c r="I1056" s="18" t="s">
        <v>120</v>
      </c>
      <c r="J1056" s="18"/>
      <c r="K1056" s="20"/>
      <c r="L1056" s="20"/>
      <c r="M1056" s="18"/>
      <c r="N1056" s="18"/>
    </row>
    <row r="1057">
      <c r="A1057" s="17" t="str">
        <f t="shared" si="1"/>
        <v>IOP-867</v>
      </c>
      <c r="B1057" s="18" t="s">
        <v>143</v>
      </c>
      <c r="C1057" s="18" t="s">
        <v>144</v>
      </c>
      <c r="D1057" s="18">
        <v>0.083333333</v>
      </c>
      <c r="E1057" s="19">
        <v>43270.0</v>
      </c>
      <c r="F1057" s="18" t="s">
        <v>81</v>
      </c>
      <c r="G1057" s="18"/>
      <c r="H1057" s="18" t="s">
        <v>119</v>
      </c>
      <c r="I1057" s="18" t="s">
        <v>120</v>
      </c>
      <c r="J1057" s="18"/>
      <c r="K1057" s="20"/>
      <c r="L1057" s="20"/>
      <c r="M1057" s="18"/>
      <c r="N1057" s="18"/>
    </row>
    <row r="1058">
      <c r="A1058" s="17" t="str">
        <f t="shared" si="1"/>
        <v>IOP-866</v>
      </c>
      <c r="B1058" s="18" t="s">
        <v>117</v>
      </c>
      <c r="C1058" s="18" t="s">
        <v>118</v>
      </c>
      <c r="D1058" s="18">
        <v>0.033333333</v>
      </c>
      <c r="E1058" s="19">
        <v>43270.0</v>
      </c>
      <c r="F1058" s="18" t="s">
        <v>81</v>
      </c>
      <c r="G1058" s="18"/>
      <c r="H1058" s="18" t="s">
        <v>119</v>
      </c>
      <c r="I1058" s="18" t="s">
        <v>120</v>
      </c>
      <c r="J1058" s="18"/>
      <c r="K1058" s="20"/>
      <c r="L1058" s="20"/>
      <c r="M1058" s="18"/>
      <c r="N1058" s="18"/>
    </row>
    <row r="1059">
      <c r="A1059" s="17" t="str">
        <f t="shared" si="1"/>
        <v>IV2-8</v>
      </c>
      <c r="B1059" s="18" t="s">
        <v>300</v>
      </c>
      <c r="C1059" s="18" t="s">
        <v>301</v>
      </c>
      <c r="D1059" s="18">
        <v>2.766666667</v>
      </c>
      <c r="E1059" s="19">
        <v>43270.0</v>
      </c>
      <c r="F1059" s="18" t="s">
        <v>81</v>
      </c>
      <c r="G1059" s="18"/>
      <c r="H1059" s="18" t="s">
        <v>302</v>
      </c>
      <c r="I1059" s="18" t="s">
        <v>78</v>
      </c>
      <c r="J1059" s="18"/>
      <c r="K1059" s="20"/>
      <c r="L1059" s="20"/>
      <c r="M1059" s="18"/>
      <c r="N1059" s="18"/>
    </row>
    <row r="1060">
      <c r="A1060" s="17" t="str">
        <f t="shared" si="1"/>
        <v>IOP-875</v>
      </c>
      <c r="B1060" s="18" t="s">
        <v>123</v>
      </c>
      <c r="C1060" s="18" t="s">
        <v>124</v>
      </c>
      <c r="D1060" s="18">
        <v>0.533333333</v>
      </c>
      <c r="E1060" s="19">
        <v>43270.0</v>
      </c>
      <c r="F1060" s="18" t="s">
        <v>81</v>
      </c>
      <c r="G1060" s="18"/>
      <c r="H1060" s="18" t="s">
        <v>125</v>
      </c>
      <c r="I1060" s="18" t="s">
        <v>120</v>
      </c>
      <c r="J1060" s="18"/>
      <c r="K1060" s="20"/>
      <c r="L1060" s="20"/>
      <c r="M1060" s="18"/>
      <c r="N1060" s="18"/>
    </row>
    <row r="1061">
      <c r="A1061" s="17" t="str">
        <f t="shared" si="1"/>
        <v>PD-1700</v>
      </c>
      <c r="B1061" s="18" t="s">
        <v>542</v>
      </c>
      <c r="C1061" s="18" t="s">
        <v>543</v>
      </c>
      <c r="D1061" s="18">
        <v>4.166666667</v>
      </c>
      <c r="E1061" s="19">
        <v>43270.0</v>
      </c>
      <c r="F1061" s="18" t="s">
        <v>81</v>
      </c>
      <c r="G1061" s="18"/>
      <c r="H1061" s="18" t="s">
        <v>92</v>
      </c>
      <c r="I1061" s="18" t="s">
        <v>89</v>
      </c>
      <c r="J1061" s="18"/>
      <c r="K1061" s="20"/>
      <c r="L1061" s="20"/>
      <c r="M1061" s="18"/>
      <c r="N1061" s="18"/>
    </row>
    <row r="1062">
      <c r="A1062" s="17" t="str">
        <f t="shared" si="1"/>
        <v>IOP-866</v>
      </c>
      <c r="B1062" s="18" t="s">
        <v>117</v>
      </c>
      <c r="C1062" s="18" t="s">
        <v>118</v>
      </c>
      <c r="D1062" s="18">
        <v>0.183333333</v>
      </c>
      <c r="E1062" s="19">
        <v>43357.0</v>
      </c>
      <c r="F1062" s="18" t="s">
        <v>81</v>
      </c>
      <c r="G1062" s="18"/>
      <c r="H1062" s="18" t="s">
        <v>119</v>
      </c>
      <c r="I1062" s="18" t="s">
        <v>120</v>
      </c>
      <c r="J1062" s="18"/>
      <c r="K1062" s="20"/>
      <c r="L1062" s="20"/>
      <c r="M1062" s="18"/>
      <c r="N1062" s="18"/>
    </row>
    <row r="1063">
      <c r="A1063" s="17" t="str">
        <f t="shared" si="1"/>
        <v>IOP-867</v>
      </c>
      <c r="B1063" s="18" t="s">
        <v>143</v>
      </c>
      <c r="C1063" s="18" t="s">
        <v>144</v>
      </c>
      <c r="D1063" s="18">
        <v>0.166666667</v>
      </c>
      <c r="E1063" s="19">
        <v>43360.0</v>
      </c>
      <c r="F1063" s="18" t="s">
        <v>81</v>
      </c>
      <c r="G1063" s="18"/>
      <c r="H1063" s="18" t="s">
        <v>119</v>
      </c>
      <c r="I1063" s="18" t="s">
        <v>120</v>
      </c>
      <c r="J1063" s="18"/>
      <c r="K1063" s="20"/>
      <c r="L1063" s="20"/>
      <c r="M1063" s="18"/>
      <c r="N1063" s="18"/>
    </row>
    <row r="1064">
      <c r="A1064" s="17" t="str">
        <f t="shared" si="1"/>
        <v>IV2-17</v>
      </c>
      <c r="B1064" s="18" t="s">
        <v>373</v>
      </c>
      <c r="C1064" s="18" t="s">
        <v>374</v>
      </c>
      <c r="D1064" s="18">
        <v>2.25</v>
      </c>
      <c r="E1064" s="19">
        <v>43341.0</v>
      </c>
      <c r="F1064" s="18" t="s">
        <v>81</v>
      </c>
      <c r="G1064" s="18"/>
      <c r="H1064" s="18" t="s">
        <v>302</v>
      </c>
      <c r="I1064" s="18" t="s">
        <v>81</v>
      </c>
      <c r="J1064" s="18"/>
      <c r="K1064" s="20"/>
      <c r="L1064" s="20"/>
      <c r="M1064" s="18"/>
      <c r="N1064" s="18"/>
    </row>
    <row r="1065">
      <c r="A1065" s="17" t="str">
        <f t="shared" si="1"/>
        <v>PD-1682</v>
      </c>
      <c r="B1065" s="18" t="s">
        <v>363</v>
      </c>
      <c r="C1065" s="18" t="s">
        <v>364</v>
      </c>
      <c r="D1065" s="18">
        <v>1.65</v>
      </c>
      <c r="E1065" s="19">
        <v>43354.0</v>
      </c>
      <c r="F1065" s="18" t="s">
        <v>81</v>
      </c>
      <c r="G1065" s="18"/>
      <c r="H1065" s="18"/>
      <c r="I1065" s="18" t="s">
        <v>132</v>
      </c>
      <c r="J1065" s="18"/>
      <c r="K1065" s="20"/>
      <c r="L1065" s="18"/>
      <c r="M1065" s="20"/>
      <c r="N1065" s="18"/>
    </row>
    <row r="1066">
      <c r="A1066" s="17" t="str">
        <f t="shared" si="1"/>
        <v>IOP-867</v>
      </c>
      <c r="B1066" s="18" t="s">
        <v>143</v>
      </c>
      <c r="C1066" s="18" t="s">
        <v>144</v>
      </c>
      <c r="D1066" s="18">
        <v>0.316666667</v>
      </c>
      <c r="E1066" s="19">
        <v>43356.0</v>
      </c>
      <c r="F1066" s="18" t="s">
        <v>81</v>
      </c>
      <c r="G1066" s="18"/>
      <c r="H1066" s="18" t="s">
        <v>119</v>
      </c>
      <c r="I1066" s="18" t="s">
        <v>120</v>
      </c>
      <c r="J1066" s="18"/>
      <c r="K1066" s="20"/>
      <c r="L1066" s="18"/>
      <c r="M1066" s="20"/>
      <c r="N1066" s="18"/>
    </row>
    <row r="1067">
      <c r="A1067" s="17" t="str">
        <f t="shared" si="1"/>
        <v>PD-1726</v>
      </c>
      <c r="B1067" s="18" t="s">
        <v>544</v>
      </c>
      <c r="C1067" s="18" t="s">
        <v>545</v>
      </c>
      <c r="D1067" s="18">
        <v>1.016666667</v>
      </c>
      <c r="E1067" s="19">
        <v>43357.0</v>
      </c>
      <c r="F1067" s="18" t="s">
        <v>81</v>
      </c>
      <c r="G1067" s="18"/>
      <c r="H1067" s="18" t="s">
        <v>253</v>
      </c>
      <c r="I1067" s="18" t="s">
        <v>81</v>
      </c>
      <c r="J1067" s="18"/>
      <c r="K1067" s="20"/>
      <c r="L1067" s="18"/>
      <c r="M1067" s="20"/>
      <c r="N1067" s="18"/>
    </row>
    <row r="1068">
      <c r="A1068" s="17" t="str">
        <f t="shared" si="1"/>
        <v>IOP-866</v>
      </c>
      <c r="B1068" s="18" t="s">
        <v>117</v>
      </c>
      <c r="C1068" s="18" t="s">
        <v>118</v>
      </c>
      <c r="D1068" s="18">
        <v>0.066666667</v>
      </c>
      <c r="E1068" s="19">
        <v>43360.0</v>
      </c>
      <c r="F1068" s="18" t="s">
        <v>81</v>
      </c>
      <c r="G1068" s="18"/>
      <c r="H1068" s="18" t="s">
        <v>119</v>
      </c>
      <c r="I1068" s="18" t="s">
        <v>120</v>
      </c>
      <c r="J1068" s="18"/>
      <c r="K1068" s="20"/>
      <c r="L1068" s="18"/>
      <c r="M1068" s="20"/>
      <c r="N1068" s="18"/>
    </row>
    <row r="1069">
      <c r="A1069" s="17" t="str">
        <f t="shared" si="1"/>
        <v>IOP-879</v>
      </c>
      <c r="B1069" s="18" t="s">
        <v>155</v>
      </c>
      <c r="C1069" s="18" t="s">
        <v>156</v>
      </c>
      <c r="D1069" s="18">
        <v>1.166666667</v>
      </c>
      <c r="E1069" s="19">
        <v>43341.0</v>
      </c>
      <c r="F1069" s="18" t="s">
        <v>81</v>
      </c>
      <c r="G1069" s="18"/>
      <c r="H1069" s="18" t="s">
        <v>157</v>
      </c>
      <c r="I1069" s="18" t="s">
        <v>120</v>
      </c>
      <c r="J1069" s="18"/>
      <c r="K1069" s="20"/>
      <c r="L1069" s="18"/>
      <c r="M1069" s="20"/>
      <c r="N1069" s="18"/>
    </row>
    <row r="1070">
      <c r="A1070" s="17" t="str">
        <f t="shared" si="1"/>
        <v>IOP-867</v>
      </c>
      <c r="B1070" s="18" t="s">
        <v>143</v>
      </c>
      <c r="C1070" s="18" t="s">
        <v>144</v>
      </c>
      <c r="D1070" s="18">
        <v>0.283333333</v>
      </c>
      <c r="E1070" s="19">
        <v>43353.0</v>
      </c>
      <c r="F1070" s="18" t="s">
        <v>81</v>
      </c>
      <c r="G1070" s="18"/>
      <c r="H1070" s="18" t="s">
        <v>119</v>
      </c>
      <c r="I1070" s="18" t="s">
        <v>120</v>
      </c>
      <c r="J1070" s="18"/>
      <c r="K1070" s="20"/>
      <c r="L1070" s="18"/>
      <c r="M1070" s="20"/>
      <c r="N1070" s="18"/>
    </row>
    <row r="1071">
      <c r="A1071" s="17" t="str">
        <f t="shared" si="1"/>
        <v>IOP-867</v>
      </c>
      <c r="B1071" s="18" t="s">
        <v>143</v>
      </c>
      <c r="C1071" s="18" t="s">
        <v>144</v>
      </c>
      <c r="D1071" s="18">
        <v>0.133333333</v>
      </c>
      <c r="E1071" s="19">
        <v>43355.0</v>
      </c>
      <c r="F1071" s="18" t="s">
        <v>81</v>
      </c>
      <c r="G1071" s="18"/>
      <c r="H1071" s="18" t="s">
        <v>119</v>
      </c>
      <c r="I1071" s="18" t="s">
        <v>120</v>
      </c>
      <c r="J1071" s="18"/>
      <c r="K1071" s="20"/>
      <c r="L1071" s="18"/>
      <c r="M1071" s="20"/>
      <c r="N1071" s="18"/>
    </row>
    <row r="1072">
      <c r="A1072" s="17" t="str">
        <f t="shared" si="1"/>
        <v>IOP-866</v>
      </c>
      <c r="B1072" s="18" t="s">
        <v>117</v>
      </c>
      <c r="C1072" s="18" t="s">
        <v>118</v>
      </c>
      <c r="D1072" s="18">
        <v>0.116666667</v>
      </c>
      <c r="E1072" s="19">
        <v>43356.0</v>
      </c>
      <c r="F1072" s="18" t="s">
        <v>81</v>
      </c>
      <c r="G1072" s="18"/>
      <c r="H1072" s="18" t="s">
        <v>119</v>
      </c>
      <c r="I1072" s="18" t="s">
        <v>120</v>
      </c>
      <c r="J1072" s="18"/>
      <c r="K1072" s="20"/>
      <c r="L1072" s="18"/>
      <c r="M1072" s="20"/>
      <c r="N1072" s="18"/>
    </row>
    <row r="1073">
      <c r="A1073" s="17" t="str">
        <f t="shared" si="1"/>
        <v>IV2-17</v>
      </c>
      <c r="B1073" s="18" t="s">
        <v>373</v>
      </c>
      <c r="C1073" s="18" t="s">
        <v>374</v>
      </c>
      <c r="D1073" s="18">
        <v>5.0</v>
      </c>
      <c r="E1073" s="19">
        <v>43357.0</v>
      </c>
      <c r="F1073" s="18" t="s">
        <v>81</v>
      </c>
      <c r="G1073" s="18"/>
      <c r="H1073" s="18" t="s">
        <v>302</v>
      </c>
      <c r="I1073" s="18" t="s">
        <v>81</v>
      </c>
      <c r="J1073" s="18"/>
      <c r="K1073" s="20"/>
      <c r="L1073" s="18"/>
      <c r="M1073" s="20"/>
      <c r="N1073" s="18"/>
    </row>
    <row r="1074">
      <c r="A1074" s="17" t="str">
        <f t="shared" si="1"/>
        <v>IV2-17</v>
      </c>
      <c r="B1074" s="18" t="s">
        <v>373</v>
      </c>
      <c r="C1074" s="18" t="s">
        <v>374</v>
      </c>
      <c r="D1074" s="18">
        <v>4.316666667</v>
      </c>
      <c r="E1074" s="19">
        <v>43360.0</v>
      </c>
      <c r="F1074" s="18" t="s">
        <v>81</v>
      </c>
      <c r="G1074" s="18"/>
      <c r="H1074" s="18" t="s">
        <v>302</v>
      </c>
      <c r="I1074" s="18" t="s">
        <v>81</v>
      </c>
      <c r="J1074" s="18"/>
      <c r="K1074" s="20"/>
      <c r="L1074" s="18"/>
      <c r="M1074" s="20"/>
      <c r="N1074" s="18"/>
    </row>
    <row r="1075">
      <c r="A1075" s="17" t="str">
        <f t="shared" si="1"/>
        <v>IV2-47</v>
      </c>
      <c r="B1075" s="18" t="s">
        <v>546</v>
      </c>
      <c r="C1075" s="18" t="s">
        <v>547</v>
      </c>
      <c r="D1075" s="18">
        <v>2.483333333</v>
      </c>
      <c r="E1075" s="19">
        <v>43341.0</v>
      </c>
      <c r="F1075" s="18" t="s">
        <v>81</v>
      </c>
      <c r="G1075" s="18"/>
      <c r="H1075" s="18" t="s">
        <v>302</v>
      </c>
      <c r="I1075" s="18" t="s">
        <v>132</v>
      </c>
      <c r="J1075" s="18"/>
      <c r="K1075" s="20"/>
      <c r="L1075" s="18"/>
      <c r="M1075" s="20"/>
      <c r="N1075" s="18"/>
    </row>
    <row r="1076">
      <c r="A1076" s="17" t="str">
        <f t="shared" si="1"/>
        <v>IOP-866</v>
      </c>
      <c r="B1076" s="18" t="s">
        <v>117</v>
      </c>
      <c r="C1076" s="18" t="s">
        <v>118</v>
      </c>
      <c r="D1076" s="18">
        <v>0.25</v>
      </c>
      <c r="E1076" s="19">
        <v>43353.0</v>
      </c>
      <c r="F1076" s="18" t="s">
        <v>81</v>
      </c>
      <c r="G1076" s="18"/>
      <c r="H1076" s="18" t="s">
        <v>119</v>
      </c>
      <c r="I1076" s="18" t="s">
        <v>120</v>
      </c>
      <c r="J1076" s="18"/>
      <c r="K1076" s="20"/>
      <c r="L1076" s="18"/>
      <c r="M1076" s="20"/>
      <c r="N1076" s="18"/>
    </row>
    <row r="1077">
      <c r="A1077" s="17" t="str">
        <f t="shared" si="1"/>
        <v>IOP-875</v>
      </c>
      <c r="B1077" s="18" t="s">
        <v>123</v>
      </c>
      <c r="C1077" s="18" t="s">
        <v>124</v>
      </c>
      <c r="D1077" s="18">
        <v>1.1</v>
      </c>
      <c r="E1077" s="19">
        <v>43354.0</v>
      </c>
      <c r="F1077" s="18" t="s">
        <v>81</v>
      </c>
      <c r="G1077" s="18"/>
      <c r="H1077" s="18" t="s">
        <v>125</v>
      </c>
      <c r="I1077" s="18" t="s">
        <v>120</v>
      </c>
      <c r="J1077" s="18"/>
      <c r="K1077" s="20"/>
      <c r="L1077" s="18"/>
      <c r="M1077" s="20"/>
      <c r="N1077" s="18"/>
    </row>
    <row r="1078">
      <c r="A1078" s="17" t="str">
        <f t="shared" si="1"/>
        <v>IOP-866</v>
      </c>
      <c r="B1078" s="18" t="s">
        <v>117</v>
      </c>
      <c r="C1078" s="18" t="s">
        <v>118</v>
      </c>
      <c r="D1078" s="18">
        <v>0.133333333</v>
      </c>
      <c r="E1078" s="19">
        <v>43355.0</v>
      </c>
      <c r="F1078" s="18" t="s">
        <v>81</v>
      </c>
      <c r="G1078" s="18"/>
      <c r="H1078" s="18" t="s">
        <v>119</v>
      </c>
      <c r="I1078" s="18" t="s">
        <v>120</v>
      </c>
      <c r="J1078" s="18"/>
      <c r="K1078" s="20"/>
      <c r="L1078" s="18"/>
      <c r="M1078" s="20"/>
      <c r="N1078" s="18"/>
    </row>
    <row r="1079">
      <c r="A1079" s="17" t="str">
        <f t="shared" si="1"/>
        <v>IV2-59</v>
      </c>
      <c r="B1079" s="18" t="s">
        <v>548</v>
      </c>
      <c r="C1079" s="18" t="s">
        <v>549</v>
      </c>
      <c r="D1079" s="18">
        <v>0.116666667</v>
      </c>
      <c r="E1079" s="19">
        <v>43356.0</v>
      </c>
      <c r="F1079" s="18" t="s">
        <v>81</v>
      </c>
      <c r="G1079" s="18"/>
      <c r="H1079" s="18" t="s">
        <v>550</v>
      </c>
      <c r="I1079" s="18" t="s">
        <v>77</v>
      </c>
      <c r="J1079" s="18"/>
      <c r="K1079" s="20"/>
      <c r="L1079" s="18"/>
      <c r="M1079" s="20"/>
      <c r="N1079" s="18"/>
    </row>
    <row r="1080">
      <c r="A1080" s="17" t="str">
        <f t="shared" si="1"/>
        <v>IOP-875</v>
      </c>
      <c r="B1080" s="18" t="s">
        <v>123</v>
      </c>
      <c r="C1080" s="18" t="s">
        <v>124</v>
      </c>
      <c r="D1080" s="18">
        <v>0.316666667</v>
      </c>
      <c r="E1080" s="19">
        <v>43357.0</v>
      </c>
      <c r="F1080" s="18" t="s">
        <v>81</v>
      </c>
      <c r="G1080" s="18"/>
      <c r="H1080" s="18" t="s">
        <v>125</v>
      </c>
      <c r="I1080" s="18" t="s">
        <v>120</v>
      </c>
      <c r="J1080" s="18"/>
      <c r="K1080" s="20"/>
      <c r="L1080" s="18"/>
      <c r="M1080" s="20"/>
      <c r="N1080" s="18"/>
    </row>
    <row r="1081">
      <c r="A1081" s="17" t="str">
        <f t="shared" si="1"/>
        <v>IV2-32</v>
      </c>
      <c r="B1081" s="18" t="s">
        <v>551</v>
      </c>
      <c r="C1081" s="18" t="s">
        <v>552</v>
      </c>
      <c r="D1081" s="18">
        <v>0.516666667</v>
      </c>
      <c r="E1081" s="19">
        <v>43360.0</v>
      </c>
      <c r="F1081" s="18" t="s">
        <v>81</v>
      </c>
      <c r="G1081" s="18"/>
      <c r="H1081" s="18" t="s">
        <v>553</v>
      </c>
      <c r="I1081" s="18" t="s">
        <v>554</v>
      </c>
      <c r="J1081" s="18"/>
      <c r="K1081" s="20"/>
      <c r="L1081" s="18"/>
      <c r="M1081" s="20"/>
      <c r="N1081" s="18"/>
    </row>
    <row r="1082">
      <c r="A1082" s="17" t="str">
        <f t="shared" si="1"/>
        <v>IV2-47</v>
      </c>
      <c r="B1082" s="18" t="s">
        <v>546</v>
      </c>
      <c r="C1082" s="18" t="s">
        <v>547</v>
      </c>
      <c r="D1082" s="18">
        <v>0.35</v>
      </c>
      <c r="E1082" s="19">
        <v>43343.0</v>
      </c>
      <c r="F1082" s="18" t="s">
        <v>81</v>
      </c>
      <c r="G1082" s="18"/>
      <c r="H1082" s="18" t="s">
        <v>302</v>
      </c>
      <c r="I1082" s="18" t="s">
        <v>132</v>
      </c>
      <c r="J1082" s="18"/>
      <c r="K1082" s="20"/>
      <c r="L1082" s="18"/>
      <c r="M1082" s="20"/>
      <c r="N1082" s="18"/>
    </row>
    <row r="1083">
      <c r="A1083" s="17" t="str">
        <f t="shared" si="1"/>
        <v>IOP-867</v>
      </c>
      <c r="B1083" s="18" t="s">
        <v>143</v>
      </c>
      <c r="C1083" s="18" t="s">
        <v>144</v>
      </c>
      <c r="D1083" s="18">
        <v>0.166666667</v>
      </c>
      <c r="E1083" s="19">
        <v>43350.0</v>
      </c>
      <c r="F1083" s="18" t="s">
        <v>81</v>
      </c>
      <c r="G1083" s="18"/>
      <c r="H1083" s="18" t="s">
        <v>119</v>
      </c>
      <c r="I1083" s="18" t="s">
        <v>120</v>
      </c>
      <c r="J1083" s="18"/>
      <c r="K1083" s="20"/>
      <c r="L1083" s="18"/>
      <c r="M1083" s="20"/>
      <c r="N1083" s="18"/>
    </row>
    <row r="1084">
      <c r="A1084" s="17" t="str">
        <f t="shared" si="1"/>
        <v>IOP-875</v>
      </c>
      <c r="B1084" s="18" t="s">
        <v>123</v>
      </c>
      <c r="C1084" s="18" t="s">
        <v>124</v>
      </c>
      <c r="D1084" s="18">
        <v>2.566666667</v>
      </c>
      <c r="E1084" s="19">
        <v>43354.0</v>
      </c>
      <c r="F1084" s="18" t="s">
        <v>81</v>
      </c>
      <c r="G1084" s="18"/>
      <c r="H1084" s="18" t="s">
        <v>125</v>
      </c>
      <c r="I1084" s="18" t="s">
        <v>120</v>
      </c>
      <c r="J1084" s="18"/>
      <c r="K1084" s="20"/>
      <c r="L1084" s="18"/>
      <c r="M1084" s="20"/>
      <c r="N1084" s="18"/>
    </row>
    <row r="1085">
      <c r="A1085" s="17" t="str">
        <f t="shared" si="1"/>
        <v>PD-1682</v>
      </c>
      <c r="B1085" s="18" t="s">
        <v>363</v>
      </c>
      <c r="C1085" s="18" t="s">
        <v>364</v>
      </c>
      <c r="D1085" s="18">
        <v>4.35</v>
      </c>
      <c r="E1085" s="19">
        <v>43355.0</v>
      </c>
      <c r="F1085" s="18" t="s">
        <v>81</v>
      </c>
      <c r="G1085" s="18"/>
      <c r="H1085" s="18"/>
      <c r="I1085" s="18" t="s">
        <v>132</v>
      </c>
      <c r="J1085" s="18"/>
      <c r="K1085" s="20"/>
      <c r="L1085" s="18"/>
      <c r="M1085" s="20"/>
      <c r="N1085" s="18"/>
    </row>
    <row r="1086">
      <c r="A1086" s="17" t="str">
        <f t="shared" si="1"/>
        <v>IV2-49</v>
      </c>
      <c r="B1086" s="18" t="s">
        <v>555</v>
      </c>
      <c r="C1086" s="18" t="s">
        <v>556</v>
      </c>
      <c r="D1086" s="18">
        <v>0.133333333</v>
      </c>
      <c r="E1086" s="19">
        <v>43356.0</v>
      </c>
      <c r="F1086" s="18" t="s">
        <v>81</v>
      </c>
      <c r="G1086" s="18"/>
      <c r="H1086" s="18" t="s">
        <v>302</v>
      </c>
      <c r="I1086" s="18" t="s">
        <v>132</v>
      </c>
      <c r="J1086" s="18"/>
      <c r="K1086" s="20"/>
      <c r="L1086" s="18"/>
      <c r="M1086" s="20"/>
      <c r="N1086" s="18"/>
    </row>
    <row r="1087">
      <c r="A1087" s="17" t="str">
        <f t="shared" si="1"/>
        <v>PD-1724</v>
      </c>
      <c r="B1087" s="18" t="s">
        <v>557</v>
      </c>
      <c r="C1087" s="18" t="s">
        <v>558</v>
      </c>
      <c r="D1087" s="18">
        <v>0.733333333</v>
      </c>
      <c r="E1087" s="19">
        <v>43357.0</v>
      </c>
      <c r="F1087" s="18" t="s">
        <v>81</v>
      </c>
      <c r="G1087" s="18"/>
      <c r="H1087" s="18" t="s">
        <v>96</v>
      </c>
      <c r="I1087" s="18" t="s">
        <v>81</v>
      </c>
      <c r="J1087" s="18"/>
      <c r="K1087" s="20"/>
      <c r="L1087" s="18"/>
      <c r="M1087" s="20"/>
      <c r="N1087" s="18"/>
    </row>
    <row r="1088">
      <c r="A1088" s="17" t="str">
        <f t="shared" si="1"/>
        <v>IV2-60</v>
      </c>
      <c r="B1088" s="18" t="s">
        <v>559</v>
      </c>
      <c r="C1088" s="18" t="s">
        <v>560</v>
      </c>
      <c r="D1088" s="18">
        <v>1.516666667</v>
      </c>
      <c r="E1088" s="19">
        <v>43360.0</v>
      </c>
      <c r="F1088" s="18" t="s">
        <v>81</v>
      </c>
      <c r="G1088" s="18"/>
      <c r="H1088" s="18" t="s">
        <v>302</v>
      </c>
      <c r="I1088" s="18" t="s">
        <v>77</v>
      </c>
      <c r="J1088" s="18"/>
      <c r="K1088" s="20"/>
      <c r="L1088" s="18"/>
      <c r="M1088" s="20"/>
      <c r="N1088" s="18"/>
    </row>
    <row r="1089">
      <c r="A1089" s="17" t="str">
        <f t="shared" si="1"/>
        <v>IV2-17</v>
      </c>
      <c r="B1089" s="18" t="s">
        <v>373</v>
      </c>
      <c r="C1089" s="18" t="s">
        <v>374</v>
      </c>
      <c r="D1089" s="18">
        <v>6.083333333</v>
      </c>
      <c r="E1089" s="19">
        <v>43343.0</v>
      </c>
      <c r="F1089" s="18" t="s">
        <v>81</v>
      </c>
      <c r="G1089" s="18"/>
      <c r="H1089" s="18" t="s">
        <v>302</v>
      </c>
      <c r="I1089" s="18" t="s">
        <v>81</v>
      </c>
      <c r="J1089" s="18"/>
      <c r="K1089" s="20"/>
      <c r="L1089" s="18"/>
      <c r="M1089" s="20"/>
      <c r="N1089" s="18"/>
    </row>
    <row r="1090">
      <c r="A1090" s="17" t="str">
        <f t="shared" si="1"/>
        <v>IOP-866</v>
      </c>
      <c r="B1090" s="18" t="s">
        <v>117</v>
      </c>
      <c r="C1090" s="18" t="s">
        <v>118</v>
      </c>
      <c r="D1090" s="18">
        <v>0.083333333</v>
      </c>
      <c r="E1090" s="19">
        <v>43350.0</v>
      </c>
      <c r="F1090" s="18" t="s">
        <v>81</v>
      </c>
      <c r="G1090" s="18"/>
      <c r="H1090" s="18" t="s">
        <v>119</v>
      </c>
      <c r="I1090" s="18" t="s">
        <v>120</v>
      </c>
      <c r="J1090" s="18"/>
      <c r="K1090" s="20"/>
      <c r="L1090" s="18"/>
      <c r="M1090" s="20"/>
      <c r="N1090" s="18"/>
    </row>
    <row r="1091">
      <c r="A1091" s="17" t="str">
        <f t="shared" si="1"/>
        <v>IV2-32</v>
      </c>
      <c r="B1091" s="18" t="s">
        <v>551</v>
      </c>
      <c r="C1091" s="18" t="s">
        <v>552</v>
      </c>
      <c r="D1091" s="18">
        <v>0.4</v>
      </c>
      <c r="E1091" s="19">
        <v>43353.0</v>
      </c>
      <c r="F1091" s="18" t="s">
        <v>81</v>
      </c>
      <c r="G1091" s="18"/>
      <c r="H1091" s="18" t="s">
        <v>553</v>
      </c>
      <c r="I1091" s="18" t="s">
        <v>554</v>
      </c>
      <c r="J1091" s="18"/>
      <c r="K1091" s="20"/>
      <c r="L1091" s="18"/>
      <c r="M1091" s="20"/>
      <c r="N1091" s="18"/>
    </row>
    <row r="1092">
      <c r="A1092" s="17" t="str">
        <f t="shared" si="1"/>
        <v>IOP-875</v>
      </c>
      <c r="B1092" s="18" t="s">
        <v>123</v>
      </c>
      <c r="C1092" s="18" t="s">
        <v>124</v>
      </c>
      <c r="D1092" s="18">
        <v>0.566666667</v>
      </c>
      <c r="E1092" s="19">
        <v>43354.0</v>
      </c>
      <c r="F1092" s="18" t="s">
        <v>81</v>
      </c>
      <c r="G1092" s="18"/>
      <c r="H1092" s="18" t="s">
        <v>125</v>
      </c>
      <c r="I1092" s="18" t="s">
        <v>120</v>
      </c>
      <c r="J1092" s="18"/>
      <c r="K1092" s="20"/>
      <c r="L1092" s="18"/>
      <c r="M1092" s="20"/>
      <c r="N1092" s="18"/>
    </row>
    <row r="1093">
      <c r="A1093" s="17" t="str">
        <f t="shared" si="1"/>
        <v>IOP-876</v>
      </c>
      <c r="B1093" s="18" t="s">
        <v>561</v>
      </c>
      <c r="C1093" s="18" t="s">
        <v>562</v>
      </c>
      <c r="D1093" s="18">
        <v>0.233333333</v>
      </c>
      <c r="E1093" s="19">
        <v>43355.0</v>
      </c>
      <c r="F1093" s="18" t="s">
        <v>81</v>
      </c>
      <c r="G1093" s="18"/>
      <c r="H1093" s="18" t="s">
        <v>125</v>
      </c>
      <c r="I1093" s="18" t="s">
        <v>120</v>
      </c>
      <c r="J1093" s="18"/>
      <c r="K1093" s="20"/>
      <c r="L1093" s="18"/>
      <c r="M1093" s="20"/>
      <c r="N1093" s="18"/>
    </row>
    <row r="1094">
      <c r="A1094" s="17" t="str">
        <f t="shared" si="1"/>
        <v>PD-1682</v>
      </c>
      <c r="B1094" s="18" t="s">
        <v>363</v>
      </c>
      <c r="C1094" s="18" t="s">
        <v>364</v>
      </c>
      <c r="D1094" s="18">
        <v>0.7</v>
      </c>
      <c r="E1094" s="19">
        <v>43356.0</v>
      </c>
      <c r="F1094" s="18" t="s">
        <v>81</v>
      </c>
      <c r="G1094" s="18"/>
      <c r="H1094" s="18"/>
      <c r="I1094" s="18" t="s">
        <v>132</v>
      </c>
      <c r="J1094" s="18"/>
      <c r="K1094" s="20"/>
      <c r="L1094" s="20"/>
      <c r="M1094" s="18"/>
      <c r="N1094" s="18"/>
    </row>
    <row r="1095">
      <c r="A1095" s="17" t="str">
        <f t="shared" si="1"/>
        <v>IV2-61</v>
      </c>
      <c r="B1095" s="18" t="s">
        <v>563</v>
      </c>
      <c r="C1095" s="18" t="s">
        <v>564</v>
      </c>
      <c r="D1095" s="18">
        <v>0.05</v>
      </c>
      <c r="E1095" s="19">
        <v>43360.0</v>
      </c>
      <c r="F1095" s="18" t="s">
        <v>81</v>
      </c>
      <c r="G1095" s="18"/>
      <c r="H1095" s="18"/>
      <c r="I1095" s="18" t="s">
        <v>77</v>
      </c>
      <c r="J1095" s="18"/>
      <c r="K1095" s="20"/>
      <c r="L1095" s="18"/>
      <c r="M1095" s="20"/>
      <c r="N1095" s="18"/>
    </row>
    <row r="1096">
      <c r="A1096" s="17" t="str">
        <f t="shared" si="1"/>
        <v>IOP-866</v>
      </c>
      <c r="B1096" s="18" t="s">
        <v>117</v>
      </c>
      <c r="C1096" s="18" t="s">
        <v>118</v>
      </c>
      <c r="D1096" s="18">
        <v>0.183333333</v>
      </c>
      <c r="E1096" s="19">
        <v>43361.0</v>
      </c>
      <c r="F1096" s="18" t="s">
        <v>81</v>
      </c>
      <c r="G1096" s="18"/>
      <c r="H1096" s="18" t="s">
        <v>119</v>
      </c>
      <c r="I1096" s="18" t="s">
        <v>120</v>
      </c>
      <c r="J1096" s="18"/>
      <c r="K1096" s="20"/>
      <c r="L1096" s="20"/>
      <c r="M1096" s="20"/>
      <c r="N1096" s="18"/>
    </row>
    <row r="1097">
      <c r="A1097" s="17" t="str">
        <f t="shared" si="1"/>
        <v>IOP-867</v>
      </c>
      <c r="B1097" s="18" t="s">
        <v>143</v>
      </c>
      <c r="C1097" s="18" t="s">
        <v>144</v>
      </c>
      <c r="D1097" s="18">
        <v>0.116666667</v>
      </c>
      <c r="E1097" s="19">
        <v>43362.0</v>
      </c>
      <c r="F1097" s="18" t="s">
        <v>81</v>
      </c>
      <c r="G1097" s="18"/>
      <c r="H1097" s="18" t="s">
        <v>119</v>
      </c>
      <c r="I1097" s="18" t="s">
        <v>120</v>
      </c>
      <c r="J1097" s="18"/>
      <c r="K1097" s="20"/>
      <c r="L1097" s="20"/>
      <c r="M1097" s="20"/>
      <c r="N1097" s="18"/>
    </row>
    <row r="1098">
      <c r="A1098" s="17" t="str">
        <f t="shared" si="1"/>
        <v>IOP-867</v>
      </c>
      <c r="B1098" s="18" t="s">
        <v>143</v>
      </c>
      <c r="C1098" s="18" t="s">
        <v>144</v>
      </c>
      <c r="D1098" s="18">
        <v>0.116666667</v>
      </c>
      <c r="E1098" s="19">
        <v>43368.0</v>
      </c>
      <c r="F1098" s="18" t="s">
        <v>81</v>
      </c>
      <c r="G1098" s="18"/>
      <c r="H1098" s="18" t="s">
        <v>119</v>
      </c>
      <c r="I1098" s="18" t="s">
        <v>120</v>
      </c>
      <c r="J1098" s="18"/>
      <c r="K1098" s="20"/>
      <c r="L1098" s="20"/>
      <c r="M1098" s="20"/>
      <c r="N1098" s="18"/>
    </row>
    <row r="1099">
      <c r="A1099" s="17" t="str">
        <f t="shared" si="1"/>
        <v>PD-1682</v>
      </c>
      <c r="B1099" s="18" t="s">
        <v>363</v>
      </c>
      <c r="C1099" s="18" t="s">
        <v>364</v>
      </c>
      <c r="D1099" s="18">
        <v>0.95</v>
      </c>
      <c r="E1099" s="19">
        <v>43343.0</v>
      </c>
      <c r="F1099" s="18" t="s">
        <v>81</v>
      </c>
      <c r="G1099" s="18"/>
      <c r="H1099" s="18"/>
      <c r="I1099" s="18" t="s">
        <v>132</v>
      </c>
      <c r="J1099" s="18"/>
      <c r="K1099" s="20"/>
      <c r="L1099" s="20"/>
      <c r="M1099" s="20"/>
      <c r="N1099" s="18"/>
    </row>
    <row r="1100">
      <c r="A1100" s="17" t="str">
        <f t="shared" si="1"/>
        <v>IV2-32</v>
      </c>
      <c r="B1100" s="18" t="s">
        <v>551</v>
      </c>
      <c r="C1100" s="18" t="s">
        <v>552</v>
      </c>
      <c r="D1100" s="18">
        <v>0.183333333</v>
      </c>
      <c r="E1100" s="19">
        <v>43350.0</v>
      </c>
      <c r="F1100" s="18" t="s">
        <v>81</v>
      </c>
      <c r="G1100" s="18"/>
      <c r="H1100" s="18" t="s">
        <v>553</v>
      </c>
      <c r="I1100" s="18" t="s">
        <v>554</v>
      </c>
      <c r="J1100" s="18"/>
      <c r="K1100" s="20"/>
      <c r="L1100" s="20"/>
      <c r="M1100" s="20"/>
      <c r="N1100" s="18"/>
    </row>
    <row r="1101">
      <c r="A1101" s="17" t="str">
        <f t="shared" si="1"/>
        <v>PD-1726</v>
      </c>
      <c r="B1101" s="18" t="s">
        <v>544</v>
      </c>
      <c r="C1101" s="18" t="s">
        <v>545</v>
      </c>
      <c r="D1101" s="18">
        <v>3.083333333</v>
      </c>
      <c r="E1101" s="19">
        <v>43353.0</v>
      </c>
      <c r="F1101" s="18" t="s">
        <v>81</v>
      </c>
      <c r="G1101" s="18"/>
      <c r="H1101" s="18" t="s">
        <v>253</v>
      </c>
      <c r="I1101" s="18" t="s">
        <v>81</v>
      </c>
      <c r="J1101" s="18"/>
      <c r="K1101" s="20"/>
      <c r="L1101" s="20"/>
      <c r="M1101" s="20"/>
      <c r="N1101" s="18"/>
    </row>
    <row r="1102">
      <c r="A1102" s="17" t="str">
        <f t="shared" si="1"/>
        <v>IOP-875</v>
      </c>
      <c r="B1102" s="18" t="s">
        <v>123</v>
      </c>
      <c r="C1102" s="18" t="s">
        <v>124</v>
      </c>
      <c r="D1102" s="18">
        <v>0.4</v>
      </c>
      <c r="E1102" s="19">
        <v>43354.0</v>
      </c>
      <c r="F1102" s="18" t="s">
        <v>81</v>
      </c>
      <c r="G1102" s="18"/>
      <c r="H1102" s="18" t="s">
        <v>125</v>
      </c>
      <c r="I1102" s="18" t="s">
        <v>120</v>
      </c>
      <c r="J1102" s="18"/>
      <c r="K1102" s="20"/>
      <c r="L1102" s="20"/>
      <c r="M1102" s="20"/>
      <c r="N1102" s="18"/>
    </row>
    <row r="1103">
      <c r="A1103" s="17" t="str">
        <f t="shared" si="1"/>
        <v>IV2-17</v>
      </c>
      <c r="B1103" s="18" t="s">
        <v>373</v>
      </c>
      <c r="C1103" s="18" t="s">
        <v>374</v>
      </c>
      <c r="D1103" s="18">
        <v>3.116666667</v>
      </c>
      <c r="E1103" s="19">
        <v>43355.0</v>
      </c>
      <c r="F1103" s="18" t="s">
        <v>81</v>
      </c>
      <c r="G1103" s="18"/>
      <c r="H1103" s="18" t="s">
        <v>302</v>
      </c>
      <c r="I1103" s="18" t="s">
        <v>81</v>
      </c>
      <c r="J1103" s="18"/>
      <c r="K1103" s="20"/>
      <c r="L1103" s="20"/>
      <c r="M1103" s="20"/>
      <c r="N1103" s="18"/>
    </row>
    <row r="1104">
      <c r="A1104" s="17" t="str">
        <f t="shared" si="1"/>
        <v>PD-1726</v>
      </c>
      <c r="B1104" s="18" t="s">
        <v>544</v>
      </c>
      <c r="C1104" s="18" t="s">
        <v>545</v>
      </c>
      <c r="D1104" s="18">
        <v>1.266666667</v>
      </c>
      <c r="E1104" s="19">
        <v>43356.0</v>
      </c>
      <c r="F1104" s="18" t="s">
        <v>81</v>
      </c>
      <c r="G1104" s="18"/>
      <c r="H1104" s="18" t="s">
        <v>253</v>
      </c>
      <c r="I1104" s="18" t="s">
        <v>81</v>
      </c>
      <c r="J1104" s="18"/>
      <c r="K1104" s="20"/>
      <c r="L1104" s="20"/>
      <c r="M1104" s="20"/>
      <c r="N1104" s="18"/>
    </row>
    <row r="1105">
      <c r="A1105" s="17" t="str">
        <f t="shared" si="1"/>
        <v>IV2-63</v>
      </c>
      <c r="B1105" s="18" t="s">
        <v>565</v>
      </c>
      <c r="C1105" s="18" t="s">
        <v>566</v>
      </c>
      <c r="D1105" s="18">
        <v>0.066666667</v>
      </c>
      <c r="E1105" s="19">
        <v>43360.0</v>
      </c>
      <c r="F1105" s="18" t="s">
        <v>81</v>
      </c>
      <c r="G1105" s="18"/>
      <c r="H1105" s="18"/>
      <c r="I1105" s="18" t="s">
        <v>77</v>
      </c>
      <c r="J1105" s="18"/>
      <c r="K1105" s="20"/>
      <c r="L1105" s="20"/>
      <c r="M1105" s="20"/>
      <c r="N1105" s="18"/>
    </row>
    <row r="1106">
      <c r="A1106" s="17" t="str">
        <f t="shared" si="1"/>
        <v>IV2-17</v>
      </c>
      <c r="B1106" s="18" t="s">
        <v>373</v>
      </c>
      <c r="C1106" s="18" t="s">
        <v>374</v>
      </c>
      <c r="D1106" s="18">
        <v>3.55</v>
      </c>
      <c r="E1106" s="19">
        <v>43361.0</v>
      </c>
      <c r="F1106" s="18" t="s">
        <v>81</v>
      </c>
      <c r="G1106" s="18"/>
      <c r="H1106" s="18" t="s">
        <v>302</v>
      </c>
      <c r="I1106" s="18" t="s">
        <v>81</v>
      </c>
      <c r="J1106" s="18"/>
      <c r="K1106" s="20"/>
      <c r="L1106" s="20"/>
      <c r="M1106" s="20"/>
      <c r="N1106" s="18"/>
    </row>
    <row r="1107">
      <c r="A1107" s="17" t="str">
        <f t="shared" si="1"/>
        <v>IOP-866</v>
      </c>
      <c r="B1107" s="18" t="s">
        <v>117</v>
      </c>
      <c r="C1107" s="18" t="s">
        <v>118</v>
      </c>
      <c r="D1107" s="18">
        <v>0.166666667</v>
      </c>
      <c r="E1107" s="19">
        <v>43362.0</v>
      </c>
      <c r="F1107" s="18" t="s">
        <v>81</v>
      </c>
      <c r="G1107" s="18"/>
      <c r="H1107" s="18" t="s">
        <v>119</v>
      </c>
      <c r="I1107" s="18" t="s">
        <v>120</v>
      </c>
      <c r="J1107" s="18"/>
      <c r="K1107" s="20"/>
      <c r="L1107" s="20"/>
      <c r="M1107" s="20"/>
      <c r="N1107" s="18"/>
    </row>
    <row r="1108">
      <c r="A1108" s="17" t="str">
        <f t="shared" si="1"/>
        <v>PD-1552</v>
      </c>
      <c r="B1108" s="18" t="s">
        <v>567</v>
      </c>
      <c r="C1108" s="18" t="s">
        <v>568</v>
      </c>
      <c r="D1108" s="18">
        <v>0.133333333</v>
      </c>
      <c r="E1108" s="19">
        <v>43343.0</v>
      </c>
      <c r="F1108" s="18" t="s">
        <v>81</v>
      </c>
      <c r="G1108" s="18"/>
      <c r="H1108" s="18"/>
      <c r="I1108" s="18" t="s">
        <v>81</v>
      </c>
      <c r="J1108" s="18"/>
      <c r="K1108" s="20"/>
      <c r="L1108" s="20"/>
      <c r="M1108" s="20"/>
      <c r="N1108" s="18"/>
    </row>
    <row r="1109">
      <c r="A1109" s="17" t="str">
        <f t="shared" si="1"/>
        <v>IV2-17</v>
      </c>
      <c r="B1109" s="18" t="s">
        <v>373</v>
      </c>
      <c r="C1109" s="18" t="s">
        <v>374</v>
      </c>
      <c r="D1109" s="18">
        <v>1.433333333</v>
      </c>
      <c r="E1109" s="19">
        <v>43350.0</v>
      </c>
      <c r="F1109" s="18" t="s">
        <v>81</v>
      </c>
      <c r="G1109" s="18"/>
      <c r="H1109" s="18" t="s">
        <v>302</v>
      </c>
      <c r="I1109" s="18" t="s">
        <v>81</v>
      </c>
      <c r="J1109" s="18"/>
      <c r="K1109" s="20"/>
      <c r="L1109" s="20"/>
      <c r="M1109" s="20"/>
      <c r="N1109" s="18"/>
    </row>
    <row r="1110">
      <c r="A1110" s="17" t="str">
        <f t="shared" si="1"/>
        <v>IV2-4</v>
      </c>
      <c r="B1110" s="18" t="s">
        <v>323</v>
      </c>
      <c r="C1110" s="18" t="s">
        <v>324</v>
      </c>
      <c r="D1110" s="18">
        <v>0.8</v>
      </c>
      <c r="E1110" s="19">
        <v>43353.0</v>
      </c>
      <c r="F1110" s="18" t="s">
        <v>81</v>
      </c>
      <c r="G1110" s="18" t="s">
        <v>302</v>
      </c>
      <c r="H1110" s="18"/>
      <c r="I1110" s="18" t="s">
        <v>81</v>
      </c>
      <c r="J1110" s="18"/>
      <c r="K1110" s="20"/>
      <c r="L1110" s="20"/>
      <c r="M1110" s="20"/>
      <c r="N1110" s="18"/>
    </row>
    <row r="1111">
      <c r="A1111" s="17" t="str">
        <f t="shared" si="1"/>
        <v>IOP-879</v>
      </c>
      <c r="B1111" s="18" t="s">
        <v>155</v>
      </c>
      <c r="C1111" s="18" t="s">
        <v>156</v>
      </c>
      <c r="D1111" s="18">
        <v>1.066666667</v>
      </c>
      <c r="E1111" s="19">
        <v>43355.0</v>
      </c>
      <c r="F1111" s="18" t="s">
        <v>81</v>
      </c>
      <c r="G1111" s="18"/>
      <c r="H1111" s="18" t="s">
        <v>157</v>
      </c>
      <c r="I1111" s="18" t="s">
        <v>120</v>
      </c>
      <c r="J1111" s="18"/>
      <c r="K1111" s="20"/>
      <c r="L1111" s="20"/>
      <c r="M1111" s="20"/>
      <c r="N1111" s="18"/>
    </row>
    <row r="1112">
      <c r="A1112" s="17" t="str">
        <f t="shared" si="1"/>
        <v>IV2-17</v>
      </c>
      <c r="B1112" s="18" t="s">
        <v>373</v>
      </c>
      <c r="C1112" s="18" t="s">
        <v>374</v>
      </c>
      <c r="D1112" s="18">
        <v>4.583333333</v>
      </c>
      <c r="E1112" s="19">
        <v>43356.0</v>
      </c>
      <c r="F1112" s="18" t="s">
        <v>81</v>
      </c>
      <c r="G1112" s="18"/>
      <c r="H1112" s="18" t="s">
        <v>302</v>
      </c>
      <c r="I1112" s="18" t="s">
        <v>81</v>
      </c>
      <c r="J1112" s="18"/>
      <c r="K1112" s="20"/>
      <c r="L1112" s="20"/>
      <c r="M1112" s="20"/>
      <c r="N1112" s="18"/>
    </row>
    <row r="1113">
      <c r="A1113" s="17" t="str">
        <f t="shared" si="1"/>
        <v>IV2-64</v>
      </c>
      <c r="B1113" s="18" t="s">
        <v>569</v>
      </c>
      <c r="C1113" s="18" t="s">
        <v>570</v>
      </c>
      <c r="D1113" s="18">
        <v>0.033333333</v>
      </c>
      <c r="E1113" s="19">
        <v>43360.0</v>
      </c>
      <c r="F1113" s="18" t="s">
        <v>81</v>
      </c>
      <c r="G1113" s="18"/>
      <c r="H1113" s="18" t="s">
        <v>302</v>
      </c>
      <c r="I1113" s="18" t="s">
        <v>77</v>
      </c>
      <c r="J1113" s="18"/>
      <c r="K1113" s="20"/>
      <c r="L1113" s="20"/>
      <c r="M1113" s="20"/>
      <c r="N1113" s="18"/>
    </row>
    <row r="1114">
      <c r="A1114" s="17" t="str">
        <f t="shared" si="1"/>
        <v>IV2-32</v>
      </c>
      <c r="B1114" s="18" t="s">
        <v>551</v>
      </c>
      <c r="C1114" s="18" t="s">
        <v>552</v>
      </c>
      <c r="D1114" s="18">
        <v>0.15</v>
      </c>
      <c r="E1114" s="19">
        <v>43361.0</v>
      </c>
      <c r="F1114" s="18" t="s">
        <v>81</v>
      </c>
      <c r="G1114" s="18"/>
      <c r="H1114" s="18" t="s">
        <v>553</v>
      </c>
      <c r="I1114" s="18" t="s">
        <v>554</v>
      </c>
      <c r="J1114" s="18"/>
      <c r="K1114" s="20"/>
      <c r="L1114" s="20"/>
      <c r="M1114" s="20"/>
      <c r="N1114" s="18"/>
    </row>
    <row r="1115">
      <c r="A1115" s="17" t="str">
        <f t="shared" si="1"/>
        <v>IV2-19</v>
      </c>
      <c r="B1115" s="18" t="s">
        <v>383</v>
      </c>
      <c r="C1115" s="18" t="s">
        <v>384</v>
      </c>
      <c r="D1115" s="18">
        <v>0.183333333</v>
      </c>
      <c r="E1115" s="19">
        <v>43362.0</v>
      </c>
      <c r="F1115" s="18" t="s">
        <v>81</v>
      </c>
      <c r="G1115" s="18"/>
      <c r="H1115" s="18" t="s">
        <v>302</v>
      </c>
      <c r="I1115" s="18" t="s">
        <v>81</v>
      </c>
      <c r="J1115" s="18"/>
      <c r="K1115" s="20"/>
      <c r="L1115" s="20"/>
      <c r="M1115" s="20"/>
      <c r="N1115" s="18"/>
    </row>
    <row r="1116">
      <c r="A1116" s="17" t="str">
        <f t="shared" si="1"/>
        <v>IOP-867</v>
      </c>
      <c r="B1116" s="18" t="s">
        <v>143</v>
      </c>
      <c r="C1116" s="18" t="s">
        <v>144</v>
      </c>
      <c r="D1116" s="18">
        <v>0.233333333</v>
      </c>
      <c r="E1116" s="19">
        <v>43363.0</v>
      </c>
      <c r="F1116" s="18" t="s">
        <v>81</v>
      </c>
      <c r="G1116" s="18"/>
      <c r="H1116" s="18" t="s">
        <v>119</v>
      </c>
      <c r="I1116" s="18" t="s">
        <v>120</v>
      </c>
      <c r="J1116" s="18"/>
      <c r="K1116" s="20"/>
      <c r="L1116" s="20"/>
      <c r="M1116" s="20"/>
      <c r="N1116" s="18"/>
    </row>
    <row r="1117">
      <c r="A1117" s="17" t="str">
        <f t="shared" si="1"/>
        <v>IOP-866</v>
      </c>
      <c r="B1117" s="18" t="s">
        <v>117</v>
      </c>
      <c r="C1117" s="18" t="s">
        <v>118</v>
      </c>
      <c r="D1117" s="18">
        <v>0.116666667</v>
      </c>
      <c r="E1117" s="19">
        <v>43368.0</v>
      </c>
      <c r="F1117" s="18" t="s">
        <v>81</v>
      </c>
      <c r="G1117" s="18"/>
      <c r="H1117" s="18" t="s">
        <v>119</v>
      </c>
      <c r="I1117" s="18" t="s">
        <v>120</v>
      </c>
      <c r="J1117" s="18"/>
      <c r="K1117" s="20"/>
      <c r="L1117" s="20"/>
      <c r="M1117" s="20"/>
      <c r="N1117" s="18"/>
    </row>
    <row r="1118">
      <c r="A1118" s="17" t="str">
        <f t="shared" si="1"/>
        <v>IOP-867</v>
      </c>
      <c r="B1118" s="18" t="s">
        <v>143</v>
      </c>
      <c r="C1118" s="18" t="s">
        <v>144</v>
      </c>
      <c r="D1118" s="18">
        <v>0.7</v>
      </c>
      <c r="E1118" s="19">
        <v>43347.0</v>
      </c>
      <c r="F1118" s="18" t="s">
        <v>81</v>
      </c>
      <c r="G1118" s="18"/>
      <c r="H1118" s="18" t="s">
        <v>119</v>
      </c>
      <c r="I1118" s="18" t="s">
        <v>120</v>
      </c>
      <c r="J1118" s="18"/>
      <c r="K1118" s="20"/>
      <c r="L1118" s="20"/>
      <c r="M1118" s="20"/>
      <c r="N1118" s="18"/>
    </row>
    <row r="1119">
      <c r="A1119" s="17" t="str">
        <f t="shared" si="1"/>
        <v>IOP-875</v>
      </c>
      <c r="B1119" s="18" t="s">
        <v>123</v>
      </c>
      <c r="C1119" s="18" t="s">
        <v>124</v>
      </c>
      <c r="D1119" s="18">
        <v>0.6</v>
      </c>
      <c r="E1119" s="19">
        <v>43353.0</v>
      </c>
      <c r="F1119" s="18" t="s">
        <v>81</v>
      </c>
      <c r="G1119" s="18"/>
      <c r="H1119" s="18" t="s">
        <v>125</v>
      </c>
      <c r="I1119" s="18" t="s">
        <v>120</v>
      </c>
      <c r="J1119" s="18"/>
      <c r="K1119" s="20"/>
      <c r="L1119" s="20"/>
      <c r="M1119" s="20"/>
      <c r="N1119" s="18"/>
    </row>
    <row r="1120">
      <c r="A1120" s="17" t="str">
        <f t="shared" si="1"/>
        <v>IOP-875</v>
      </c>
      <c r="B1120" s="18" t="s">
        <v>123</v>
      </c>
      <c r="C1120" s="18" t="s">
        <v>124</v>
      </c>
      <c r="D1120" s="18">
        <v>0.15</v>
      </c>
      <c r="E1120" s="19">
        <v>43356.0</v>
      </c>
      <c r="F1120" s="18" t="s">
        <v>81</v>
      </c>
      <c r="G1120" s="18"/>
      <c r="H1120" s="18" t="s">
        <v>125</v>
      </c>
      <c r="I1120" s="18" t="s">
        <v>120</v>
      </c>
      <c r="J1120" s="18"/>
      <c r="K1120" s="20"/>
      <c r="L1120" s="20"/>
      <c r="M1120" s="20"/>
      <c r="N1120" s="18"/>
    </row>
    <row r="1121">
      <c r="A1121" s="17" t="str">
        <f t="shared" si="1"/>
        <v>PD-1440</v>
      </c>
      <c r="B1121" s="18" t="s">
        <v>158</v>
      </c>
      <c r="C1121" s="18" t="s">
        <v>159</v>
      </c>
      <c r="D1121" s="18">
        <v>0.866666667</v>
      </c>
      <c r="E1121" s="19">
        <v>43360.0</v>
      </c>
      <c r="F1121" s="18" t="s">
        <v>81</v>
      </c>
      <c r="G1121" s="18"/>
      <c r="H1121" s="18"/>
      <c r="I1121" s="18" t="s">
        <v>81</v>
      </c>
      <c r="J1121" s="18"/>
      <c r="K1121" s="20"/>
      <c r="L1121" s="20"/>
      <c r="M1121" s="20"/>
      <c r="N1121" s="18"/>
    </row>
    <row r="1122">
      <c r="A1122" s="17" t="str">
        <f t="shared" si="1"/>
        <v>IV2-60</v>
      </c>
      <c r="B1122" s="18" t="s">
        <v>559</v>
      </c>
      <c r="C1122" s="18" t="s">
        <v>560</v>
      </c>
      <c r="D1122" s="18">
        <v>0.966666667</v>
      </c>
      <c r="E1122" s="19">
        <v>43361.0</v>
      </c>
      <c r="F1122" s="18" t="s">
        <v>81</v>
      </c>
      <c r="G1122" s="18"/>
      <c r="H1122" s="18" t="s">
        <v>302</v>
      </c>
      <c r="I1122" s="18" t="s">
        <v>77</v>
      </c>
      <c r="J1122" s="18"/>
      <c r="K1122" s="20"/>
      <c r="L1122" s="20"/>
      <c r="M1122" s="20"/>
      <c r="N1122" s="18"/>
    </row>
    <row r="1123">
      <c r="A1123" s="17" t="str">
        <f t="shared" si="1"/>
        <v>IV2-17</v>
      </c>
      <c r="B1123" s="18" t="s">
        <v>373</v>
      </c>
      <c r="C1123" s="18" t="s">
        <v>374</v>
      </c>
      <c r="D1123" s="18">
        <v>5.283333333</v>
      </c>
      <c r="E1123" s="19">
        <v>43362.0</v>
      </c>
      <c r="F1123" s="18" t="s">
        <v>81</v>
      </c>
      <c r="G1123" s="18"/>
      <c r="H1123" s="18" t="s">
        <v>302</v>
      </c>
      <c r="I1123" s="18" t="s">
        <v>81</v>
      </c>
      <c r="J1123" s="18"/>
      <c r="K1123" s="20"/>
      <c r="L1123" s="20"/>
      <c r="M1123" s="20"/>
      <c r="N1123" s="18"/>
    </row>
    <row r="1124">
      <c r="A1124" s="17" t="str">
        <f t="shared" si="1"/>
        <v>IOP-866</v>
      </c>
      <c r="B1124" s="18" t="s">
        <v>117</v>
      </c>
      <c r="C1124" s="18" t="s">
        <v>118</v>
      </c>
      <c r="D1124" s="18">
        <v>0.166666667</v>
      </c>
      <c r="E1124" s="19">
        <v>43363.0</v>
      </c>
      <c r="F1124" s="18" t="s">
        <v>81</v>
      </c>
      <c r="G1124" s="18"/>
      <c r="H1124" s="18" t="s">
        <v>119</v>
      </c>
      <c r="I1124" s="18" t="s">
        <v>120</v>
      </c>
      <c r="J1124" s="18"/>
      <c r="K1124" s="20"/>
      <c r="L1124" s="20"/>
      <c r="M1124" s="20"/>
      <c r="N1124" s="18"/>
    </row>
    <row r="1125">
      <c r="A1125" s="17" t="str">
        <f t="shared" si="1"/>
        <v>PD-1709</v>
      </c>
      <c r="B1125" s="18" t="s">
        <v>539</v>
      </c>
      <c r="C1125" s="18" t="s">
        <v>540</v>
      </c>
      <c r="D1125" s="18">
        <v>4.4</v>
      </c>
      <c r="E1125" s="19">
        <v>43368.0</v>
      </c>
      <c r="F1125" s="18" t="s">
        <v>81</v>
      </c>
      <c r="G1125" s="18"/>
      <c r="H1125" s="18" t="s">
        <v>187</v>
      </c>
      <c r="I1125" s="17" t="s">
        <v>541</v>
      </c>
      <c r="J1125" s="18"/>
      <c r="K1125" s="20"/>
      <c r="L1125" s="20"/>
      <c r="M1125" s="20"/>
      <c r="N1125" s="18"/>
    </row>
    <row r="1126">
      <c r="A1126" s="17" t="str">
        <f t="shared" si="1"/>
        <v>IOP-866</v>
      </c>
      <c r="B1126" s="18" t="s">
        <v>117</v>
      </c>
      <c r="C1126" s="18" t="s">
        <v>118</v>
      </c>
      <c r="D1126" s="18">
        <v>0.166666667</v>
      </c>
      <c r="E1126" s="19">
        <v>43347.0</v>
      </c>
      <c r="F1126" s="18" t="s">
        <v>81</v>
      </c>
      <c r="G1126" s="18"/>
      <c r="H1126" s="18" t="s">
        <v>119</v>
      </c>
      <c r="I1126" s="18" t="s">
        <v>120</v>
      </c>
      <c r="J1126" s="18"/>
      <c r="K1126" s="20"/>
      <c r="L1126" s="20"/>
      <c r="M1126" s="20"/>
      <c r="N1126" s="18"/>
    </row>
    <row r="1127">
      <c r="A1127" s="17" t="str">
        <f t="shared" si="1"/>
        <v>IOP-23</v>
      </c>
      <c r="B1127" s="18" t="s">
        <v>407</v>
      </c>
      <c r="C1127" s="18" t="s">
        <v>408</v>
      </c>
      <c r="D1127" s="18">
        <v>0.483333333</v>
      </c>
      <c r="E1127" s="19">
        <v>43353.0</v>
      </c>
      <c r="F1127" s="18" t="s">
        <v>81</v>
      </c>
      <c r="G1127" s="18"/>
      <c r="H1127" s="18"/>
      <c r="I1127" s="18" t="s">
        <v>190</v>
      </c>
      <c r="J1127" s="18"/>
      <c r="K1127" s="20"/>
      <c r="L1127" s="20"/>
      <c r="M1127" s="20"/>
      <c r="N1127" s="18"/>
    </row>
    <row r="1128">
      <c r="A1128" s="17" t="str">
        <f t="shared" si="1"/>
        <v>PD-1709</v>
      </c>
      <c r="B1128" s="18" t="s">
        <v>539</v>
      </c>
      <c r="C1128" s="18" t="s">
        <v>540</v>
      </c>
      <c r="D1128" s="18">
        <v>0.116666667</v>
      </c>
      <c r="E1128" s="19">
        <v>43356.0</v>
      </c>
      <c r="F1128" s="18" t="s">
        <v>81</v>
      </c>
      <c r="G1128" s="18"/>
      <c r="H1128" s="18" t="s">
        <v>187</v>
      </c>
      <c r="I1128" s="17" t="s">
        <v>541</v>
      </c>
      <c r="J1128" s="18"/>
      <c r="K1128" s="20"/>
      <c r="L1128" s="20"/>
      <c r="M1128" s="20"/>
      <c r="N1128" s="18"/>
    </row>
    <row r="1129">
      <c r="A1129" s="17" t="str">
        <f t="shared" si="1"/>
        <v>IV2-31</v>
      </c>
      <c r="B1129" s="18" t="s">
        <v>571</v>
      </c>
      <c r="C1129" s="18" t="s">
        <v>572</v>
      </c>
      <c r="D1129" s="18">
        <v>0.45</v>
      </c>
      <c r="E1129" s="19">
        <v>43360.0</v>
      </c>
      <c r="F1129" s="18" t="s">
        <v>81</v>
      </c>
      <c r="G1129" s="18"/>
      <c r="H1129" s="18" t="s">
        <v>302</v>
      </c>
      <c r="I1129" s="18" t="s">
        <v>81</v>
      </c>
      <c r="J1129" s="18"/>
      <c r="K1129" s="20"/>
      <c r="L1129" s="20"/>
      <c r="M1129" s="20"/>
      <c r="N1129" s="18"/>
    </row>
    <row r="1130">
      <c r="A1130" s="17" t="str">
        <f t="shared" si="1"/>
        <v>IOP-875</v>
      </c>
      <c r="B1130" s="18" t="s">
        <v>123</v>
      </c>
      <c r="C1130" s="18" t="s">
        <v>124</v>
      </c>
      <c r="D1130" s="18">
        <v>0.15</v>
      </c>
      <c r="E1130" s="19">
        <v>43361.0</v>
      </c>
      <c r="F1130" s="18" t="s">
        <v>81</v>
      </c>
      <c r="G1130" s="18"/>
      <c r="H1130" s="18" t="s">
        <v>125</v>
      </c>
      <c r="I1130" s="18" t="s">
        <v>120</v>
      </c>
      <c r="J1130" s="18"/>
      <c r="K1130" s="20"/>
      <c r="L1130" s="20"/>
      <c r="M1130" s="20"/>
      <c r="N1130" s="18"/>
    </row>
    <row r="1131">
      <c r="A1131" s="17" t="str">
        <f t="shared" si="1"/>
        <v>PD-1709</v>
      </c>
      <c r="B1131" s="18" t="s">
        <v>539</v>
      </c>
      <c r="C1131" s="18" t="s">
        <v>540</v>
      </c>
      <c r="D1131" s="18">
        <v>0.066666667</v>
      </c>
      <c r="E1131" s="19">
        <v>43362.0</v>
      </c>
      <c r="F1131" s="18" t="s">
        <v>81</v>
      </c>
      <c r="G1131" s="18"/>
      <c r="H1131" s="18" t="s">
        <v>187</v>
      </c>
      <c r="I1131" s="17" t="s">
        <v>541</v>
      </c>
      <c r="J1131" s="18"/>
      <c r="K1131" s="20"/>
      <c r="L1131" s="20"/>
      <c r="M1131" s="20"/>
      <c r="N1131" s="18"/>
    </row>
    <row r="1132">
      <c r="A1132" s="17" t="str">
        <f t="shared" si="1"/>
        <v>IV2-60</v>
      </c>
      <c r="B1132" s="18" t="s">
        <v>559</v>
      </c>
      <c r="C1132" s="18" t="s">
        <v>560</v>
      </c>
      <c r="D1132" s="18">
        <v>0.466666667</v>
      </c>
      <c r="E1132" s="19">
        <v>43363.0</v>
      </c>
      <c r="F1132" s="18" t="s">
        <v>81</v>
      </c>
      <c r="G1132" s="18"/>
      <c r="H1132" s="18" t="s">
        <v>302</v>
      </c>
      <c r="I1132" s="18" t="s">
        <v>77</v>
      </c>
      <c r="J1132" s="18"/>
      <c r="K1132" s="20"/>
      <c r="L1132" s="20"/>
      <c r="M1132" s="20"/>
      <c r="N1132" s="18"/>
    </row>
    <row r="1133">
      <c r="A1133" s="17" t="str">
        <f t="shared" si="1"/>
        <v>IOP-875</v>
      </c>
      <c r="B1133" s="18" t="s">
        <v>123</v>
      </c>
      <c r="C1133" s="18" t="s">
        <v>124</v>
      </c>
      <c r="D1133" s="18">
        <v>0.25</v>
      </c>
      <c r="E1133" s="19">
        <v>43368.0</v>
      </c>
      <c r="F1133" s="18" t="s">
        <v>81</v>
      </c>
      <c r="G1133" s="18"/>
      <c r="H1133" s="18" t="s">
        <v>125</v>
      </c>
      <c r="I1133" s="18" t="s">
        <v>120</v>
      </c>
      <c r="J1133" s="18"/>
      <c r="K1133" s="20"/>
      <c r="L1133" s="20"/>
      <c r="M1133" s="20"/>
      <c r="N1133" s="18"/>
    </row>
    <row r="1134">
      <c r="A1134" s="17" t="str">
        <f t="shared" si="1"/>
        <v>IV2-32</v>
      </c>
      <c r="B1134" s="18" t="s">
        <v>551</v>
      </c>
      <c r="C1134" s="18" t="s">
        <v>552</v>
      </c>
      <c r="D1134" s="18">
        <v>1.016666667</v>
      </c>
      <c r="E1134" s="19">
        <v>43347.0</v>
      </c>
      <c r="F1134" s="18" t="s">
        <v>81</v>
      </c>
      <c r="G1134" s="18"/>
      <c r="H1134" s="18" t="s">
        <v>553</v>
      </c>
      <c r="I1134" s="18" t="s">
        <v>554</v>
      </c>
      <c r="J1134" s="18"/>
      <c r="K1134" s="20"/>
      <c r="L1134" s="20"/>
      <c r="M1134" s="20"/>
      <c r="N1134" s="18"/>
    </row>
    <row r="1135">
      <c r="A1135" s="17" t="str">
        <f t="shared" si="1"/>
        <v>PD-1709</v>
      </c>
      <c r="B1135" s="18" t="s">
        <v>539</v>
      </c>
      <c r="C1135" s="18" t="s">
        <v>540</v>
      </c>
      <c r="D1135" s="18">
        <v>2.183333333</v>
      </c>
      <c r="E1135" s="19">
        <v>43353.0</v>
      </c>
      <c r="F1135" s="18" t="s">
        <v>81</v>
      </c>
      <c r="G1135" s="18"/>
      <c r="H1135" s="18" t="s">
        <v>187</v>
      </c>
      <c r="I1135" s="17" t="s">
        <v>541</v>
      </c>
      <c r="J1135" s="18"/>
      <c r="K1135" s="20"/>
      <c r="L1135" s="20"/>
      <c r="M1135" s="20"/>
      <c r="N1135" s="18"/>
    </row>
    <row r="1136">
      <c r="A1136" s="17" t="str">
        <f t="shared" si="1"/>
        <v>IV2-32</v>
      </c>
      <c r="B1136" s="18" t="s">
        <v>551</v>
      </c>
      <c r="C1136" s="18" t="s">
        <v>552</v>
      </c>
      <c r="D1136" s="18">
        <v>0.266666667</v>
      </c>
      <c r="E1136" s="19">
        <v>43356.0</v>
      </c>
      <c r="F1136" s="18" t="s">
        <v>81</v>
      </c>
      <c r="G1136" s="18"/>
      <c r="H1136" s="18" t="s">
        <v>553</v>
      </c>
      <c r="I1136" s="18" t="s">
        <v>554</v>
      </c>
      <c r="J1136" s="18"/>
      <c r="K1136" s="20"/>
      <c r="L1136" s="20"/>
      <c r="M1136" s="20"/>
      <c r="N1136" s="18"/>
    </row>
    <row r="1137">
      <c r="A1137" s="17" t="str">
        <f t="shared" si="1"/>
        <v>IV2-61</v>
      </c>
      <c r="B1137" s="18" t="s">
        <v>563</v>
      </c>
      <c r="C1137" s="18" t="s">
        <v>564</v>
      </c>
      <c r="D1137" s="18">
        <v>3.166666667</v>
      </c>
      <c r="E1137" s="19">
        <v>43361.0</v>
      </c>
      <c r="F1137" s="18" t="s">
        <v>81</v>
      </c>
      <c r="G1137" s="18"/>
      <c r="H1137" s="18"/>
      <c r="I1137" s="18" t="s">
        <v>77</v>
      </c>
      <c r="J1137" s="18"/>
      <c r="K1137" s="20"/>
      <c r="L1137" s="20"/>
      <c r="M1137" s="20"/>
      <c r="N1137" s="18"/>
    </row>
    <row r="1138">
      <c r="A1138" s="17" t="str">
        <f t="shared" si="1"/>
        <v>IV2-61</v>
      </c>
      <c r="B1138" s="18" t="s">
        <v>563</v>
      </c>
      <c r="C1138" s="18" t="s">
        <v>564</v>
      </c>
      <c r="D1138" s="18">
        <v>2.3</v>
      </c>
      <c r="E1138" s="19">
        <v>43362.0</v>
      </c>
      <c r="F1138" s="18" t="s">
        <v>81</v>
      </c>
      <c r="G1138" s="18"/>
      <c r="H1138" s="18"/>
      <c r="I1138" s="18" t="s">
        <v>77</v>
      </c>
      <c r="J1138" s="18"/>
      <c r="K1138" s="20"/>
      <c r="L1138" s="20"/>
      <c r="M1138" s="20"/>
      <c r="N1138" s="18"/>
    </row>
    <row r="1139">
      <c r="A1139" s="17" t="str">
        <f t="shared" si="1"/>
        <v>IV2-61</v>
      </c>
      <c r="B1139" s="18" t="s">
        <v>563</v>
      </c>
      <c r="C1139" s="18" t="s">
        <v>564</v>
      </c>
      <c r="D1139" s="18">
        <v>1.35</v>
      </c>
      <c r="E1139" s="19">
        <v>43363.0</v>
      </c>
      <c r="F1139" s="18" t="s">
        <v>81</v>
      </c>
      <c r="G1139" s="18"/>
      <c r="H1139" s="18"/>
      <c r="I1139" s="18" t="s">
        <v>77</v>
      </c>
      <c r="J1139" s="18"/>
      <c r="K1139" s="20"/>
      <c r="L1139" s="20"/>
      <c r="M1139" s="20"/>
      <c r="N1139" s="18"/>
    </row>
    <row r="1140">
      <c r="A1140" s="17" t="str">
        <f t="shared" si="1"/>
        <v>IV2-32</v>
      </c>
      <c r="B1140" s="18" t="s">
        <v>551</v>
      </c>
      <c r="C1140" s="18" t="s">
        <v>552</v>
      </c>
      <c r="D1140" s="18">
        <v>0.266666667</v>
      </c>
      <c r="E1140" s="19">
        <v>43368.0</v>
      </c>
      <c r="F1140" s="18" t="s">
        <v>81</v>
      </c>
      <c r="G1140" s="18"/>
      <c r="H1140" s="18" t="s">
        <v>553</v>
      </c>
      <c r="I1140" s="18" t="s">
        <v>554</v>
      </c>
      <c r="J1140" s="18"/>
      <c r="K1140" s="20"/>
      <c r="L1140" s="20"/>
      <c r="M1140" s="20"/>
      <c r="N1140" s="18"/>
    </row>
    <row r="1141">
      <c r="A1141" s="17" t="str">
        <f t="shared" si="1"/>
        <v>PD-1650</v>
      </c>
      <c r="B1141" s="18" t="s">
        <v>185</v>
      </c>
      <c r="C1141" s="18" t="s">
        <v>186</v>
      </c>
      <c r="D1141" s="18">
        <v>0.866666667</v>
      </c>
      <c r="E1141" s="19">
        <v>43347.0</v>
      </c>
      <c r="F1141" s="18" t="s">
        <v>81</v>
      </c>
      <c r="G1141" s="18" t="s">
        <v>187</v>
      </c>
      <c r="H1141" s="18"/>
      <c r="I1141" s="18" t="s">
        <v>77</v>
      </c>
      <c r="J1141" s="18"/>
      <c r="K1141" s="20"/>
      <c r="L1141" s="20"/>
      <c r="M1141" s="20"/>
      <c r="N1141" s="18"/>
    </row>
    <row r="1142">
      <c r="A1142" s="17" t="str">
        <f t="shared" si="1"/>
        <v>IV2-63</v>
      </c>
      <c r="B1142" s="18" t="s">
        <v>565</v>
      </c>
      <c r="C1142" s="18" t="s">
        <v>566</v>
      </c>
      <c r="D1142" s="18">
        <v>4.266666667</v>
      </c>
      <c r="E1142" s="19">
        <v>43363.0</v>
      </c>
      <c r="F1142" s="18" t="s">
        <v>81</v>
      </c>
      <c r="G1142" s="18"/>
      <c r="H1142" s="18"/>
      <c r="I1142" s="18" t="s">
        <v>77</v>
      </c>
      <c r="J1142" s="18"/>
      <c r="K1142" s="20"/>
      <c r="L1142" s="20"/>
      <c r="M1142" s="20"/>
      <c r="N1142" s="18"/>
    </row>
    <row r="1143">
      <c r="A1143" s="17" t="str">
        <f t="shared" si="1"/>
        <v>IOP-867</v>
      </c>
      <c r="B1143" s="18" t="s">
        <v>143</v>
      </c>
      <c r="C1143" s="18" t="s">
        <v>144</v>
      </c>
      <c r="D1143" s="18">
        <v>0.116666667</v>
      </c>
      <c r="E1143" s="19">
        <v>43367.0</v>
      </c>
      <c r="F1143" s="18" t="s">
        <v>81</v>
      </c>
      <c r="G1143" s="18"/>
      <c r="H1143" s="18" t="s">
        <v>119</v>
      </c>
      <c r="I1143" s="18" t="s">
        <v>120</v>
      </c>
      <c r="J1143" s="18"/>
      <c r="K1143" s="20"/>
      <c r="L1143" s="20"/>
      <c r="M1143" s="20"/>
      <c r="N1143" s="18"/>
    </row>
    <row r="1144">
      <c r="A1144" s="17" t="str">
        <f t="shared" si="1"/>
        <v>PD-1528</v>
      </c>
      <c r="B1144" s="18" t="s">
        <v>201</v>
      </c>
      <c r="C1144" s="18" t="s">
        <v>202</v>
      </c>
      <c r="D1144" s="18">
        <v>2.316666667</v>
      </c>
      <c r="E1144" s="19">
        <v>43368.0</v>
      </c>
      <c r="F1144" s="18" t="s">
        <v>81</v>
      </c>
      <c r="G1144" s="18"/>
      <c r="H1144" s="18" t="s">
        <v>88</v>
      </c>
      <c r="I1144" s="18" t="s">
        <v>93</v>
      </c>
      <c r="J1144" s="18"/>
      <c r="K1144" s="20"/>
      <c r="L1144" s="20"/>
      <c r="M1144" s="20"/>
      <c r="N1144" s="18"/>
    </row>
    <row r="1145">
      <c r="A1145" s="17" t="str">
        <f t="shared" si="1"/>
        <v>PD-1643</v>
      </c>
      <c r="B1145" s="18" t="s">
        <v>183</v>
      </c>
      <c r="C1145" s="18" t="s">
        <v>184</v>
      </c>
      <c r="D1145" s="18">
        <v>0.45</v>
      </c>
      <c r="E1145" s="19">
        <v>43347.0</v>
      </c>
      <c r="F1145" s="18" t="s">
        <v>81</v>
      </c>
      <c r="G1145" s="18"/>
      <c r="H1145" s="18" t="s">
        <v>106</v>
      </c>
      <c r="I1145" s="18" t="s">
        <v>81</v>
      </c>
      <c r="J1145" s="18"/>
      <c r="K1145" s="20"/>
      <c r="L1145" s="20"/>
      <c r="M1145" s="20"/>
      <c r="N1145" s="18"/>
    </row>
    <row r="1146">
      <c r="A1146" s="17" t="str">
        <f t="shared" si="1"/>
        <v>IV2-17</v>
      </c>
      <c r="B1146" s="18" t="s">
        <v>373</v>
      </c>
      <c r="C1146" s="18" t="s">
        <v>374</v>
      </c>
      <c r="D1146" s="18">
        <v>0.283333333</v>
      </c>
      <c r="E1146" s="19">
        <v>43363.0</v>
      </c>
      <c r="F1146" s="18" t="s">
        <v>81</v>
      </c>
      <c r="G1146" s="18"/>
      <c r="H1146" s="18" t="s">
        <v>302</v>
      </c>
      <c r="I1146" s="18" t="s">
        <v>81</v>
      </c>
      <c r="J1146" s="18"/>
      <c r="K1146" s="20"/>
      <c r="L1146" s="20"/>
      <c r="M1146" s="20"/>
      <c r="N1146" s="18"/>
    </row>
    <row r="1147">
      <c r="A1147" s="17" t="str">
        <f t="shared" si="1"/>
        <v>IV2-66</v>
      </c>
      <c r="B1147" s="18" t="s">
        <v>573</v>
      </c>
      <c r="C1147" s="18" t="s">
        <v>574</v>
      </c>
      <c r="D1147" s="18">
        <v>0.6</v>
      </c>
      <c r="E1147" s="19">
        <v>43363.0</v>
      </c>
      <c r="F1147" s="18" t="s">
        <v>81</v>
      </c>
      <c r="G1147" s="18"/>
      <c r="H1147" s="18" t="s">
        <v>302</v>
      </c>
      <c r="I1147" s="18" t="s">
        <v>77</v>
      </c>
      <c r="J1147" s="18"/>
      <c r="K1147" s="20"/>
      <c r="L1147" s="20"/>
      <c r="M1147" s="20"/>
      <c r="N1147" s="18"/>
    </row>
    <row r="1148">
      <c r="A1148" s="17" t="str">
        <f t="shared" si="1"/>
        <v>IOP-867</v>
      </c>
      <c r="B1148" s="18" t="s">
        <v>143</v>
      </c>
      <c r="C1148" s="18" t="s">
        <v>144</v>
      </c>
      <c r="D1148" s="18">
        <v>0.133333333</v>
      </c>
      <c r="E1148" s="19">
        <v>43364.0</v>
      </c>
      <c r="F1148" s="18" t="s">
        <v>81</v>
      </c>
      <c r="G1148" s="18"/>
      <c r="H1148" s="18" t="s">
        <v>119</v>
      </c>
      <c r="I1148" s="18" t="s">
        <v>120</v>
      </c>
      <c r="J1148" s="18"/>
      <c r="K1148" s="20"/>
      <c r="L1148" s="20"/>
      <c r="M1148" s="20"/>
      <c r="N1148" s="18"/>
    </row>
    <row r="1149">
      <c r="A1149" s="17" t="str">
        <f t="shared" si="1"/>
        <v>IOP-866</v>
      </c>
      <c r="B1149" s="18" t="s">
        <v>117</v>
      </c>
      <c r="C1149" s="18" t="s">
        <v>118</v>
      </c>
      <c r="D1149" s="18">
        <v>0.266666667</v>
      </c>
      <c r="E1149" s="19">
        <v>43367.0</v>
      </c>
      <c r="F1149" s="18" t="s">
        <v>81</v>
      </c>
      <c r="G1149" s="18"/>
      <c r="H1149" s="18" t="s">
        <v>119</v>
      </c>
      <c r="I1149" s="18" t="s">
        <v>120</v>
      </c>
      <c r="J1149" s="18"/>
      <c r="K1149" s="20"/>
      <c r="L1149" s="20"/>
      <c r="M1149" s="20"/>
      <c r="N1149" s="18"/>
    </row>
    <row r="1150">
      <c r="A1150" s="17" t="str">
        <f t="shared" si="1"/>
        <v>PD-1724</v>
      </c>
      <c r="B1150" s="18" t="s">
        <v>557</v>
      </c>
      <c r="C1150" s="18" t="s">
        <v>558</v>
      </c>
      <c r="D1150" s="18">
        <v>0.083333333</v>
      </c>
      <c r="E1150" s="19">
        <v>43347.0</v>
      </c>
      <c r="F1150" s="18" t="s">
        <v>81</v>
      </c>
      <c r="G1150" s="18"/>
      <c r="H1150" s="18" t="s">
        <v>96</v>
      </c>
      <c r="I1150" s="18" t="s">
        <v>81</v>
      </c>
      <c r="J1150" s="18"/>
      <c r="K1150" s="20"/>
      <c r="L1150" s="20"/>
      <c r="M1150" s="20"/>
      <c r="N1150" s="18"/>
    </row>
    <row r="1151">
      <c r="A1151" s="17" t="str">
        <f t="shared" si="1"/>
        <v>IOP-879</v>
      </c>
      <c r="B1151" s="18" t="s">
        <v>155</v>
      </c>
      <c r="C1151" s="18" t="s">
        <v>156</v>
      </c>
      <c r="D1151" s="18">
        <v>0.633333333</v>
      </c>
      <c r="E1151" s="19">
        <v>43363.0</v>
      </c>
      <c r="F1151" s="18" t="s">
        <v>81</v>
      </c>
      <c r="G1151" s="18"/>
      <c r="H1151" s="18" t="s">
        <v>157</v>
      </c>
      <c r="I1151" s="18" t="s">
        <v>120</v>
      </c>
      <c r="J1151" s="18"/>
      <c r="K1151" s="20"/>
      <c r="L1151" s="20"/>
      <c r="M1151" s="20"/>
      <c r="N1151" s="18"/>
    </row>
    <row r="1152">
      <c r="A1152" s="17" t="str">
        <f t="shared" si="1"/>
        <v>IOP-875</v>
      </c>
      <c r="B1152" s="18" t="s">
        <v>123</v>
      </c>
      <c r="C1152" s="18" t="s">
        <v>124</v>
      </c>
      <c r="D1152" s="18">
        <v>1.0</v>
      </c>
      <c r="E1152" s="19">
        <v>43364.0</v>
      </c>
      <c r="F1152" s="18" t="s">
        <v>81</v>
      </c>
      <c r="G1152" s="18"/>
      <c r="H1152" s="18" t="s">
        <v>125</v>
      </c>
      <c r="I1152" s="18" t="s">
        <v>120</v>
      </c>
      <c r="J1152" s="18"/>
      <c r="K1152" s="20"/>
      <c r="L1152" s="20"/>
      <c r="M1152" s="20"/>
      <c r="N1152" s="18"/>
    </row>
    <row r="1153">
      <c r="A1153" s="17" t="str">
        <f t="shared" si="1"/>
        <v>IV2-63</v>
      </c>
      <c r="B1153" s="18" t="s">
        <v>565</v>
      </c>
      <c r="C1153" s="18" t="s">
        <v>566</v>
      </c>
      <c r="D1153" s="18">
        <v>0.833333333</v>
      </c>
      <c r="E1153" s="19">
        <v>43367.0</v>
      </c>
      <c r="F1153" s="18" t="s">
        <v>81</v>
      </c>
      <c r="G1153" s="18"/>
      <c r="H1153" s="18"/>
      <c r="I1153" s="18" t="s">
        <v>77</v>
      </c>
      <c r="J1153" s="18"/>
      <c r="K1153" s="20"/>
      <c r="L1153" s="20"/>
      <c r="M1153" s="20"/>
      <c r="N1153" s="18"/>
    </row>
    <row r="1154">
      <c r="A1154" s="17" t="str">
        <f t="shared" si="1"/>
        <v>PD-1327</v>
      </c>
      <c r="B1154" s="18" t="s">
        <v>205</v>
      </c>
      <c r="C1154" s="18" t="s">
        <v>206</v>
      </c>
      <c r="D1154" s="18">
        <v>0.1</v>
      </c>
      <c r="E1154" s="19">
        <v>43347.0</v>
      </c>
      <c r="F1154" s="18" t="s">
        <v>81</v>
      </c>
      <c r="G1154" s="18"/>
      <c r="H1154" s="18"/>
      <c r="I1154" s="18" t="s">
        <v>77</v>
      </c>
      <c r="J1154" s="18"/>
      <c r="K1154" s="20"/>
      <c r="L1154" s="20"/>
      <c r="M1154" s="20"/>
      <c r="N1154" s="18"/>
    </row>
    <row r="1155">
      <c r="A1155" s="17" t="str">
        <f t="shared" si="1"/>
        <v>IOP-866</v>
      </c>
      <c r="B1155" s="18" t="s">
        <v>117</v>
      </c>
      <c r="C1155" s="18" t="s">
        <v>118</v>
      </c>
      <c r="D1155" s="18">
        <v>0.083333333</v>
      </c>
      <c r="E1155" s="19">
        <v>43271.0</v>
      </c>
      <c r="F1155" s="18" t="s">
        <v>81</v>
      </c>
      <c r="G1155" s="18"/>
      <c r="H1155" s="18" t="s">
        <v>119</v>
      </c>
      <c r="I1155" s="18" t="s">
        <v>120</v>
      </c>
      <c r="J1155" s="18"/>
      <c r="K1155" s="20"/>
      <c r="L1155" s="20"/>
      <c r="M1155" s="20"/>
      <c r="N1155" s="18"/>
    </row>
    <row r="1156">
      <c r="A1156" s="17" t="str">
        <f t="shared" si="1"/>
        <v>PD-1700</v>
      </c>
      <c r="B1156" s="18" t="s">
        <v>542</v>
      </c>
      <c r="C1156" s="18" t="s">
        <v>543</v>
      </c>
      <c r="D1156" s="18">
        <v>0.816666667</v>
      </c>
      <c r="E1156" s="19">
        <v>43271.0</v>
      </c>
      <c r="F1156" s="18" t="s">
        <v>81</v>
      </c>
      <c r="G1156" s="18"/>
      <c r="H1156" s="18" t="s">
        <v>92</v>
      </c>
      <c r="I1156" s="18" t="s">
        <v>89</v>
      </c>
      <c r="J1156" s="18"/>
      <c r="K1156" s="20"/>
      <c r="L1156" s="20"/>
      <c r="M1156" s="18"/>
      <c r="N1156" s="18"/>
    </row>
    <row r="1157">
      <c r="A1157" s="17" t="str">
        <f t="shared" si="1"/>
        <v>IV2-19</v>
      </c>
      <c r="B1157" s="18" t="s">
        <v>383</v>
      </c>
      <c r="C1157" s="18" t="s">
        <v>384</v>
      </c>
      <c r="D1157" s="18">
        <v>0.1</v>
      </c>
      <c r="E1157" s="19">
        <v>43271.0</v>
      </c>
      <c r="F1157" s="18" t="s">
        <v>81</v>
      </c>
      <c r="G1157" s="18"/>
      <c r="H1157" s="18" t="s">
        <v>302</v>
      </c>
      <c r="I1157" s="18" t="s">
        <v>81</v>
      </c>
      <c r="J1157" s="18"/>
      <c r="K1157" s="20"/>
      <c r="L1157" s="18"/>
      <c r="M1157" s="20"/>
      <c r="N1157" s="18"/>
    </row>
    <row r="1158">
      <c r="A1158" s="17" t="str">
        <f t="shared" si="1"/>
        <v>IV2-8</v>
      </c>
      <c r="B1158" s="18" t="s">
        <v>300</v>
      </c>
      <c r="C1158" s="18" t="s">
        <v>301</v>
      </c>
      <c r="D1158" s="18">
        <v>6.433333333</v>
      </c>
      <c r="E1158" s="19">
        <v>43271.0</v>
      </c>
      <c r="F1158" s="18" t="s">
        <v>81</v>
      </c>
      <c r="G1158" s="18"/>
      <c r="H1158" s="18" t="s">
        <v>302</v>
      </c>
      <c r="I1158" s="18" t="s">
        <v>78</v>
      </c>
      <c r="J1158" s="18"/>
      <c r="K1158" s="20"/>
      <c r="L1158" s="18"/>
      <c r="M1158" s="20"/>
      <c r="N1158" s="18"/>
    </row>
    <row r="1159">
      <c r="A1159" s="17" t="str">
        <f t="shared" si="1"/>
        <v>IOP-879</v>
      </c>
      <c r="B1159" s="18" t="s">
        <v>155</v>
      </c>
      <c r="C1159" s="18" t="s">
        <v>156</v>
      </c>
      <c r="D1159" s="18">
        <v>0.483333333</v>
      </c>
      <c r="E1159" s="19">
        <v>43271.0</v>
      </c>
      <c r="F1159" s="18" t="s">
        <v>81</v>
      </c>
      <c r="G1159" s="18"/>
      <c r="H1159" s="18" t="s">
        <v>157</v>
      </c>
      <c r="I1159" s="18" t="s">
        <v>120</v>
      </c>
      <c r="J1159" s="18"/>
      <c r="K1159" s="20"/>
      <c r="L1159" s="18"/>
      <c r="M1159" s="20"/>
      <c r="N1159" s="18"/>
    </row>
    <row r="1160">
      <c r="A1160" s="17" t="str">
        <f t="shared" si="1"/>
        <v>IV2-66</v>
      </c>
      <c r="B1160" s="18" t="s">
        <v>573</v>
      </c>
      <c r="C1160" s="18" t="s">
        <v>574</v>
      </c>
      <c r="D1160" s="18">
        <v>0.25</v>
      </c>
      <c r="E1160" s="19">
        <v>43364.0</v>
      </c>
      <c r="F1160" s="18" t="s">
        <v>81</v>
      </c>
      <c r="G1160" s="18"/>
      <c r="H1160" s="18" t="s">
        <v>302</v>
      </c>
      <c r="I1160" s="18" t="s">
        <v>77</v>
      </c>
      <c r="J1160" s="18"/>
      <c r="K1160" s="20"/>
      <c r="L1160" s="18"/>
      <c r="M1160" s="20"/>
      <c r="N1160" s="18"/>
    </row>
    <row r="1161">
      <c r="A1161" s="17" t="str">
        <f t="shared" si="1"/>
        <v>IV2-31</v>
      </c>
      <c r="B1161" s="18" t="s">
        <v>571</v>
      </c>
      <c r="C1161" s="18" t="s">
        <v>572</v>
      </c>
      <c r="D1161" s="18">
        <v>0.4</v>
      </c>
      <c r="E1161" s="19">
        <v>43367.0</v>
      </c>
      <c r="F1161" s="18" t="s">
        <v>81</v>
      </c>
      <c r="G1161" s="18"/>
      <c r="H1161" s="18" t="s">
        <v>302</v>
      </c>
      <c r="I1161" s="18" t="s">
        <v>81</v>
      </c>
      <c r="J1161" s="18"/>
      <c r="K1161" s="20"/>
      <c r="L1161" s="18"/>
      <c r="M1161" s="20"/>
      <c r="N1161" s="18"/>
    </row>
    <row r="1162">
      <c r="A1162" s="17" t="str">
        <f t="shared" si="1"/>
        <v>PD-1440</v>
      </c>
      <c r="B1162" s="18" t="s">
        <v>158</v>
      </c>
      <c r="C1162" s="18" t="s">
        <v>159</v>
      </c>
      <c r="D1162" s="18">
        <v>0.216666667</v>
      </c>
      <c r="E1162" s="19">
        <v>43347.0</v>
      </c>
      <c r="F1162" s="18" t="s">
        <v>81</v>
      </c>
      <c r="G1162" s="18"/>
      <c r="H1162" s="18"/>
      <c r="I1162" s="18" t="s">
        <v>81</v>
      </c>
      <c r="J1162" s="18"/>
      <c r="K1162" s="20"/>
      <c r="L1162" s="18"/>
      <c r="M1162" s="20"/>
      <c r="N1162" s="18"/>
    </row>
    <row r="1163">
      <c r="A1163" s="17" t="str">
        <f t="shared" si="1"/>
        <v>IOP-866</v>
      </c>
      <c r="B1163" s="18" t="s">
        <v>117</v>
      </c>
      <c r="C1163" s="18" t="s">
        <v>118</v>
      </c>
      <c r="D1163" s="18">
        <v>0.133333333</v>
      </c>
      <c r="E1163" s="19">
        <v>43364.0</v>
      </c>
      <c r="F1163" s="18" t="s">
        <v>81</v>
      </c>
      <c r="G1163" s="18"/>
      <c r="H1163" s="18" t="s">
        <v>119</v>
      </c>
      <c r="I1163" s="18" t="s">
        <v>120</v>
      </c>
      <c r="J1163" s="18"/>
      <c r="K1163" s="20"/>
      <c r="L1163" s="18"/>
      <c r="M1163" s="20"/>
      <c r="N1163" s="18"/>
    </row>
    <row r="1164">
      <c r="A1164" s="17" t="str">
        <f t="shared" si="1"/>
        <v>PD-1440</v>
      </c>
      <c r="B1164" s="18" t="s">
        <v>158</v>
      </c>
      <c r="C1164" s="18" t="s">
        <v>159</v>
      </c>
      <c r="D1164" s="18">
        <v>0.933333333</v>
      </c>
      <c r="E1164" s="19">
        <v>43367.0</v>
      </c>
      <c r="F1164" s="18" t="s">
        <v>81</v>
      </c>
      <c r="G1164" s="18"/>
      <c r="H1164" s="18"/>
      <c r="I1164" s="18" t="s">
        <v>81</v>
      </c>
      <c r="J1164" s="18"/>
      <c r="K1164" s="20"/>
      <c r="L1164" s="18"/>
      <c r="M1164" s="20"/>
      <c r="N1164" s="18"/>
    </row>
    <row r="1165">
      <c r="A1165" s="17" t="str">
        <f t="shared" si="1"/>
        <v>PD-1682</v>
      </c>
      <c r="B1165" s="18" t="s">
        <v>363</v>
      </c>
      <c r="C1165" s="18" t="s">
        <v>364</v>
      </c>
      <c r="D1165" s="18">
        <v>4.316666667</v>
      </c>
      <c r="E1165" s="19">
        <v>43347.0</v>
      </c>
      <c r="F1165" s="18" t="s">
        <v>81</v>
      </c>
      <c r="G1165" s="18"/>
      <c r="H1165" s="18"/>
      <c r="I1165" s="18" t="s">
        <v>132</v>
      </c>
      <c r="J1165" s="18"/>
      <c r="K1165" s="20"/>
      <c r="L1165" s="18"/>
      <c r="M1165" s="20"/>
      <c r="N1165" s="18"/>
    </row>
    <row r="1166">
      <c r="A1166" s="17" t="str">
        <f t="shared" si="1"/>
        <v>IV2-61</v>
      </c>
      <c r="B1166" s="18" t="s">
        <v>563</v>
      </c>
      <c r="C1166" s="18" t="s">
        <v>564</v>
      </c>
      <c r="D1166" s="18">
        <v>0.95</v>
      </c>
      <c r="E1166" s="19">
        <v>43364.0</v>
      </c>
      <c r="F1166" s="18" t="s">
        <v>81</v>
      </c>
      <c r="G1166" s="18"/>
      <c r="H1166" s="18"/>
      <c r="I1166" s="18" t="s">
        <v>77</v>
      </c>
      <c r="J1166" s="18"/>
      <c r="K1166" s="20"/>
      <c r="L1166" s="18"/>
      <c r="M1166" s="20"/>
      <c r="N1166" s="18"/>
    </row>
    <row r="1167">
      <c r="A1167" s="17" t="str">
        <f t="shared" si="1"/>
        <v>IV2-74</v>
      </c>
      <c r="B1167" s="18" t="s">
        <v>575</v>
      </c>
      <c r="C1167" s="18" t="s">
        <v>576</v>
      </c>
      <c r="D1167" s="18">
        <v>0.266666667</v>
      </c>
      <c r="E1167" s="19">
        <v>43367.0</v>
      </c>
      <c r="F1167" s="18" t="s">
        <v>81</v>
      </c>
      <c r="G1167" s="18"/>
      <c r="H1167" s="18"/>
      <c r="I1167" s="18" t="s">
        <v>142</v>
      </c>
      <c r="J1167" s="18"/>
      <c r="K1167" s="20"/>
      <c r="L1167" s="18"/>
      <c r="M1167" s="20"/>
      <c r="N1167" s="18"/>
    </row>
    <row r="1168">
      <c r="A1168" s="17" t="str">
        <f t="shared" si="1"/>
        <v>IOP-867</v>
      </c>
      <c r="B1168" s="18" t="s">
        <v>143</v>
      </c>
      <c r="C1168" s="18" t="s">
        <v>144</v>
      </c>
      <c r="D1168" s="18">
        <v>0.166666667</v>
      </c>
      <c r="E1168" s="19">
        <v>43369.0</v>
      </c>
      <c r="F1168" s="18" t="s">
        <v>81</v>
      </c>
      <c r="G1168" s="18"/>
      <c r="H1168" s="18" t="s">
        <v>119</v>
      </c>
      <c r="I1168" s="18" t="s">
        <v>120</v>
      </c>
      <c r="J1168" s="18"/>
      <c r="K1168" s="20"/>
      <c r="L1168" s="18"/>
      <c r="M1168" s="20"/>
      <c r="N1168" s="18"/>
    </row>
    <row r="1169">
      <c r="A1169" s="17" t="str">
        <f t="shared" si="1"/>
        <v>IV2-63</v>
      </c>
      <c r="B1169" s="18" t="s">
        <v>565</v>
      </c>
      <c r="C1169" s="18" t="s">
        <v>566</v>
      </c>
      <c r="D1169" s="18">
        <v>0.983333333</v>
      </c>
      <c r="E1169" s="19">
        <v>43364.0</v>
      </c>
      <c r="F1169" s="18" t="s">
        <v>81</v>
      </c>
      <c r="G1169" s="18"/>
      <c r="H1169" s="18"/>
      <c r="I1169" s="18" t="s">
        <v>77</v>
      </c>
      <c r="J1169" s="18"/>
      <c r="K1169" s="20"/>
      <c r="L1169" s="18"/>
      <c r="M1169" s="20"/>
      <c r="N1169" s="18"/>
    </row>
    <row r="1170">
      <c r="A1170" s="17" t="str">
        <f t="shared" si="1"/>
        <v>IV2-17</v>
      </c>
      <c r="B1170" s="18" t="s">
        <v>373</v>
      </c>
      <c r="C1170" s="18" t="s">
        <v>374</v>
      </c>
      <c r="D1170" s="18">
        <v>0.25</v>
      </c>
      <c r="E1170" s="19">
        <v>43367.0</v>
      </c>
      <c r="F1170" s="18" t="s">
        <v>81</v>
      </c>
      <c r="G1170" s="18"/>
      <c r="H1170" s="18" t="s">
        <v>302</v>
      </c>
      <c r="I1170" s="18" t="s">
        <v>81</v>
      </c>
      <c r="J1170" s="18"/>
      <c r="K1170" s="20"/>
      <c r="L1170" s="20"/>
      <c r="M1170" s="20"/>
      <c r="N1170" s="18"/>
    </row>
    <row r="1171">
      <c r="A1171" s="17" t="str">
        <f t="shared" si="1"/>
        <v>IOP-866</v>
      </c>
      <c r="B1171" s="18" t="s">
        <v>117</v>
      </c>
      <c r="C1171" s="18" t="s">
        <v>118</v>
      </c>
      <c r="D1171" s="18">
        <v>0.116666667</v>
      </c>
      <c r="E1171" s="19">
        <v>43369.0</v>
      </c>
      <c r="F1171" s="18" t="s">
        <v>81</v>
      </c>
      <c r="G1171" s="18"/>
      <c r="H1171" s="18" t="s">
        <v>119</v>
      </c>
      <c r="I1171" s="18" t="s">
        <v>120</v>
      </c>
      <c r="J1171" s="18"/>
      <c r="K1171" s="20"/>
      <c r="L1171" s="20"/>
      <c r="M1171" s="20"/>
      <c r="N1171" s="18"/>
    </row>
    <row r="1172">
      <c r="A1172" s="17" t="str">
        <f t="shared" si="1"/>
        <v>IOP-867</v>
      </c>
      <c r="B1172" s="18" t="s">
        <v>143</v>
      </c>
      <c r="C1172" s="18" t="s">
        <v>144</v>
      </c>
      <c r="D1172" s="18">
        <v>0.083333333</v>
      </c>
      <c r="E1172" s="19">
        <v>43374.0</v>
      </c>
      <c r="F1172" s="18" t="s">
        <v>81</v>
      </c>
      <c r="G1172" s="18"/>
      <c r="H1172" s="18" t="s">
        <v>119</v>
      </c>
      <c r="I1172" s="18" t="s">
        <v>120</v>
      </c>
      <c r="J1172" s="18"/>
      <c r="K1172" s="20"/>
      <c r="L1172" s="18"/>
      <c r="M1172" s="20"/>
      <c r="N1172" s="18"/>
    </row>
    <row r="1173">
      <c r="A1173" s="17" t="str">
        <f t="shared" si="1"/>
        <v>IV2-60</v>
      </c>
      <c r="B1173" s="18" t="s">
        <v>559</v>
      </c>
      <c r="C1173" s="18" t="s">
        <v>560</v>
      </c>
      <c r="D1173" s="18">
        <v>0.1</v>
      </c>
      <c r="E1173" s="19">
        <v>43364.0</v>
      </c>
      <c r="F1173" s="18" t="s">
        <v>81</v>
      </c>
      <c r="G1173" s="18"/>
      <c r="H1173" s="18" t="s">
        <v>302</v>
      </c>
      <c r="I1173" s="18" t="s">
        <v>77</v>
      </c>
      <c r="J1173" s="18"/>
      <c r="K1173" s="20"/>
      <c r="L1173" s="18"/>
      <c r="M1173" s="20"/>
      <c r="N1173" s="18"/>
    </row>
    <row r="1174">
      <c r="A1174" s="17" t="str">
        <f t="shared" si="1"/>
        <v>PD-1724</v>
      </c>
      <c r="B1174" s="18" t="s">
        <v>557</v>
      </c>
      <c r="C1174" s="18" t="s">
        <v>558</v>
      </c>
      <c r="D1174" s="18">
        <v>3.416666667</v>
      </c>
      <c r="E1174" s="19">
        <v>43369.0</v>
      </c>
      <c r="F1174" s="18" t="s">
        <v>81</v>
      </c>
      <c r="G1174" s="18"/>
      <c r="H1174" s="18" t="s">
        <v>96</v>
      </c>
      <c r="I1174" s="18" t="s">
        <v>81</v>
      </c>
      <c r="J1174" s="18"/>
      <c r="K1174" s="20"/>
      <c r="L1174" s="18"/>
      <c r="M1174" s="20"/>
      <c r="N1174" s="18"/>
    </row>
    <row r="1175">
      <c r="A1175" s="17" t="str">
        <f t="shared" si="1"/>
        <v>IOP-867</v>
      </c>
      <c r="B1175" s="18" t="s">
        <v>143</v>
      </c>
      <c r="C1175" s="18" t="s">
        <v>144</v>
      </c>
      <c r="D1175" s="18">
        <v>0.233333333</v>
      </c>
      <c r="E1175" s="19">
        <v>43370.0</v>
      </c>
      <c r="F1175" s="18" t="s">
        <v>81</v>
      </c>
      <c r="G1175" s="18"/>
      <c r="H1175" s="18" t="s">
        <v>119</v>
      </c>
      <c r="I1175" s="18" t="s">
        <v>120</v>
      </c>
      <c r="J1175" s="18"/>
      <c r="K1175" s="20"/>
      <c r="L1175" s="18"/>
      <c r="M1175" s="20"/>
      <c r="N1175" s="18"/>
    </row>
    <row r="1176">
      <c r="A1176" s="17" t="str">
        <f t="shared" si="1"/>
        <v>IOP-866</v>
      </c>
      <c r="B1176" s="18" t="s">
        <v>117</v>
      </c>
      <c r="C1176" s="18" t="s">
        <v>118</v>
      </c>
      <c r="D1176" s="18">
        <v>0.1</v>
      </c>
      <c r="E1176" s="19">
        <v>43374.0</v>
      </c>
      <c r="F1176" s="18" t="s">
        <v>81</v>
      </c>
      <c r="G1176" s="18"/>
      <c r="H1176" s="18" t="s">
        <v>119</v>
      </c>
      <c r="I1176" s="18" t="s">
        <v>120</v>
      </c>
      <c r="J1176" s="18"/>
      <c r="K1176" s="20"/>
      <c r="L1176" s="18"/>
      <c r="M1176" s="20"/>
      <c r="N1176" s="18"/>
    </row>
    <row r="1177">
      <c r="A1177" s="17" t="str">
        <f t="shared" si="1"/>
        <v>IV2-73</v>
      </c>
      <c r="B1177" s="18" t="s">
        <v>577</v>
      </c>
      <c r="C1177" s="18" t="s">
        <v>578</v>
      </c>
      <c r="D1177" s="18">
        <v>4.433333333</v>
      </c>
      <c r="E1177" s="19">
        <v>43364.0</v>
      </c>
      <c r="F1177" s="18" t="s">
        <v>81</v>
      </c>
      <c r="G1177" s="18"/>
      <c r="H1177" s="18" t="s">
        <v>302</v>
      </c>
      <c r="I1177" s="18" t="s">
        <v>77</v>
      </c>
      <c r="J1177" s="18"/>
      <c r="K1177" s="20"/>
      <c r="L1177" s="18"/>
      <c r="M1177" s="20"/>
      <c r="N1177" s="18"/>
    </row>
    <row r="1178">
      <c r="A1178" s="17" t="str">
        <f t="shared" si="1"/>
        <v>PD-1709</v>
      </c>
      <c r="B1178" s="18" t="s">
        <v>539</v>
      </c>
      <c r="C1178" s="18" t="s">
        <v>540</v>
      </c>
      <c r="D1178" s="18">
        <v>0.75</v>
      </c>
      <c r="E1178" s="19">
        <v>43369.0</v>
      </c>
      <c r="F1178" s="18" t="s">
        <v>81</v>
      </c>
      <c r="G1178" s="18"/>
      <c r="H1178" s="18" t="s">
        <v>187</v>
      </c>
      <c r="I1178" s="17" t="s">
        <v>541</v>
      </c>
      <c r="J1178" s="18"/>
      <c r="K1178" s="20"/>
      <c r="L1178" s="18"/>
      <c r="M1178" s="20"/>
      <c r="N1178" s="18"/>
    </row>
    <row r="1179">
      <c r="A1179" s="17" t="str">
        <f t="shared" si="1"/>
        <v>IOP-875</v>
      </c>
      <c r="B1179" s="18" t="s">
        <v>123</v>
      </c>
      <c r="C1179" s="18" t="s">
        <v>124</v>
      </c>
      <c r="D1179" s="18">
        <v>0.533333333</v>
      </c>
      <c r="E1179" s="19">
        <v>43370.0</v>
      </c>
      <c r="F1179" s="18" t="s">
        <v>81</v>
      </c>
      <c r="G1179" s="18"/>
      <c r="H1179" s="18" t="s">
        <v>125</v>
      </c>
      <c r="I1179" s="18" t="s">
        <v>120</v>
      </c>
      <c r="J1179" s="18"/>
      <c r="K1179" s="20"/>
      <c r="L1179" s="20"/>
      <c r="M1179" s="20"/>
      <c r="N1179" s="18"/>
    </row>
    <row r="1180">
      <c r="A1180" s="17" t="str">
        <f t="shared" si="1"/>
        <v>PD-1724</v>
      </c>
      <c r="B1180" s="18" t="s">
        <v>557</v>
      </c>
      <c r="C1180" s="18" t="s">
        <v>558</v>
      </c>
      <c r="D1180" s="18">
        <v>0.35</v>
      </c>
      <c r="E1180" s="19">
        <v>43374.0</v>
      </c>
      <c r="F1180" s="18" t="s">
        <v>81</v>
      </c>
      <c r="G1180" s="18"/>
      <c r="H1180" s="18" t="s">
        <v>96</v>
      </c>
      <c r="I1180" s="18" t="s">
        <v>81</v>
      </c>
      <c r="J1180" s="18"/>
      <c r="K1180" s="20"/>
      <c r="L1180" s="20"/>
      <c r="M1180" s="20"/>
      <c r="N1180" s="18"/>
    </row>
    <row r="1181">
      <c r="A1181" s="17" t="str">
        <f t="shared" si="1"/>
        <v>PD-1490</v>
      </c>
      <c r="B1181" s="18" t="s">
        <v>130</v>
      </c>
      <c r="C1181" s="18" t="s">
        <v>131</v>
      </c>
      <c r="D1181" s="18">
        <v>0.066666667</v>
      </c>
      <c r="E1181" s="19">
        <v>43367.0</v>
      </c>
      <c r="F1181" s="18" t="s">
        <v>81</v>
      </c>
      <c r="G1181" s="18"/>
      <c r="H1181" s="18" t="s">
        <v>113</v>
      </c>
      <c r="I1181" s="18" t="s">
        <v>132</v>
      </c>
      <c r="J1181" s="18"/>
      <c r="K1181" s="20"/>
      <c r="L1181" s="20"/>
      <c r="M1181" s="20"/>
      <c r="N1181" s="18"/>
    </row>
    <row r="1182">
      <c r="A1182" s="17" t="str">
        <f t="shared" si="1"/>
        <v>IV2-60</v>
      </c>
      <c r="B1182" s="18" t="s">
        <v>559</v>
      </c>
      <c r="C1182" s="18" t="s">
        <v>560</v>
      </c>
      <c r="D1182" s="18">
        <v>0.7</v>
      </c>
      <c r="E1182" s="19">
        <v>43369.0</v>
      </c>
      <c r="F1182" s="18" t="s">
        <v>81</v>
      </c>
      <c r="G1182" s="18"/>
      <c r="H1182" s="18" t="s">
        <v>302</v>
      </c>
      <c r="I1182" s="18" t="s">
        <v>77</v>
      </c>
      <c r="J1182" s="18"/>
      <c r="K1182" s="20"/>
      <c r="L1182" s="20"/>
      <c r="M1182" s="20"/>
      <c r="N1182" s="18"/>
    </row>
    <row r="1183">
      <c r="A1183" s="17" t="str">
        <f t="shared" si="1"/>
        <v>IOP-866</v>
      </c>
      <c r="B1183" s="18" t="s">
        <v>117</v>
      </c>
      <c r="C1183" s="18" t="s">
        <v>118</v>
      </c>
      <c r="D1183" s="18">
        <v>0.2</v>
      </c>
      <c r="E1183" s="19">
        <v>43370.0</v>
      </c>
      <c r="F1183" s="18" t="s">
        <v>81</v>
      </c>
      <c r="G1183" s="18"/>
      <c r="H1183" s="18" t="s">
        <v>119</v>
      </c>
      <c r="I1183" s="18" t="s">
        <v>120</v>
      </c>
      <c r="J1183" s="18"/>
      <c r="K1183" s="20"/>
      <c r="L1183" s="20"/>
      <c r="M1183" s="20"/>
      <c r="N1183" s="18"/>
    </row>
    <row r="1184">
      <c r="A1184" s="17" t="str">
        <f t="shared" si="1"/>
        <v>PD-1327</v>
      </c>
      <c r="B1184" s="18" t="s">
        <v>205</v>
      </c>
      <c r="C1184" s="18" t="s">
        <v>206</v>
      </c>
      <c r="D1184" s="18">
        <v>0.133333333</v>
      </c>
      <c r="E1184" s="19">
        <v>43374.0</v>
      </c>
      <c r="F1184" s="18" t="s">
        <v>81</v>
      </c>
      <c r="G1184" s="18"/>
      <c r="H1184" s="18"/>
      <c r="I1184" s="18" t="s">
        <v>77</v>
      </c>
      <c r="J1184" s="18"/>
      <c r="K1184" s="20"/>
      <c r="L1184" s="20"/>
      <c r="M1184" s="20"/>
      <c r="N1184" s="18"/>
    </row>
    <row r="1185">
      <c r="A1185" s="17" t="str">
        <f t="shared" si="1"/>
        <v>PD-1709</v>
      </c>
      <c r="B1185" s="18" t="s">
        <v>539</v>
      </c>
      <c r="C1185" s="18" t="s">
        <v>540</v>
      </c>
      <c r="D1185" s="18">
        <v>1.833333333</v>
      </c>
      <c r="E1185" s="19">
        <v>43367.0</v>
      </c>
      <c r="F1185" s="18" t="s">
        <v>81</v>
      </c>
      <c r="G1185" s="18"/>
      <c r="H1185" s="18" t="s">
        <v>187</v>
      </c>
      <c r="I1185" s="17" t="s">
        <v>541</v>
      </c>
      <c r="J1185" s="18"/>
      <c r="K1185" s="20"/>
      <c r="L1185" s="18"/>
      <c r="M1185" s="20"/>
      <c r="N1185" s="18"/>
    </row>
    <row r="1186">
      <c r="A1186" s="17" t="str">
        <f t="shared" si="1"/>
        <v>IV2-75</v>
      </c>
      <c r="B1186" s="18" t="s">
        <v>579</v>
      </c>
      <c r="C1186" s="18" t="s">
        <v>580</v>
      </c>
      <c r="D1186" s="18">
        <v>0.15</v>
      </c>
      <c r="E1186" s="19">
        <v>43369.0</v>
      </c>
      <c r="F1186" s="18" t="s">
        <v>81</v>
      </c>
      <c r="G1186" s="18"/>
      <c r="H1186" s="18" t="s">
        <v>550</v>
      </c>
      <c r="I1186" s="18" t="s">
        <v>77</v>
      </c>
      <c r="J1186" s="18"/>
      <c r="K1186" s="20"/>
      <c r="L1186" s="20"/>
      <c r="M1186" s="18"/>
      <c r="N1186" s="18"/>
    </row>
    <row r="1187">
      <c r="A1187" s="17" t="str">
        <f t="shared" si="1"/>
        <v>PD-1440</v>
      </c>
      <c r="B1187" s="18" t="s">
        <v>158</v>
      </c>
      <c r="C1187" s="18" t="s">
        <v>159</v>
      </c>
      <c r="D1187" s="18">
        <v>0.55</v>
      </c>
      <c r="E1187" s="19">
        <v>43374.0</v>
      </c>
      <c r="F1187" s="18" t="s">
        <v>81</v>
      </c>
      <c r="G1187" s="18"/>
      <c r="H1187" s="18"/>
      <c r="I1187" s="18" t="s">
        <v>81</v>
      </c>
      <c r="J1187" s="18"/>
      <c r="K1187" s="20"/>
      <c r="L1187" s="18"/>
      <c r="M1187" s="20"/>
      <c r="N1187" s="18"/>
    </row>
    <row r="1188">
      <c r="A1188" s="17" t="str">
        <f t="shared" si="1"/>
        <v>IV2-73</v>
      </c>
      <c r="B1188" s="18" t="s">
        <v>577</v>
      </c>
      <c r="C1188" s="18" t="s">
        <v>578</v>
      </c>
      <c r="D1188" s="18">
        <v>5.366666667</v>
      </c>
      <c r="E1188" s="19">
        <v>43370.0</v>
      </c>
      <c r="F1188" s="18" t="s">
        <v>81</v>
      </c>
      <c r="G1188" s="18"/>
      <c r="H1188" s="18" t="s">
        <v>302</v>
      </c>
      <c r="I1188" s="18" t="s">
        <v>77</v>
      </c>
      <c r="J1188" s="18"/>
      <c r="K1188" s="20"/>
      <c r="L1188" s="18"/>
      <c r="M1188" s="20"/>
      <c r="N1188" s="18"/>
    </row>
    <row r="1189">
      <c r="A1189" s="17" t="str">
        <f t="shared" si="1"/>
        <v>IOP-867</v>
      </c>
      <c r="B1189" s="18" t="s">
        <v>143</v>
      </c>
      <c r="C1189" s="18" t="s">
        <v>144</v>
      </c>
      <c r="D1189" s="18">
        <v>0.116666667</v>
      </c>
      <c r="E1189" s="19">
        <v>43371.0</v>
      </c>
      <c r="F1189" s="18" t="s">
        <v>81</v>
      </c>
      <c r="G1189" s="18"/>
      <c r="H1189" s="18" t="s">
        <v>119</v>
      </c>
      <c r="I1189" s="18" t="s">
        <v>120</v>
      </c>
      <c r="J1189" s="18"/>
      <c r="K1189" s="20"/>
      <c r="L1189" s="18"/>
      <c r="M1189" s="20"/>
      <c r="N1189" s="18"/>
    </row>
    <row r="1190">
      <c r="A1190" s="17" t="str">
        <f t="shared" si="1"/>
        <v>IV2-73</v>
      </c>
      <c r="B1190" s="18" t="s">
        <v>577</v>
      </c>
      <c r="C1190" s="18" t="s">
        <v>578</v>
      </c>
      <c r="D1190" s="18">
        <v>5.066666667</v>
      </c>
      <c r="E1190" s="19">
        <v>43374.0</v>
      </c>
      <c r="F1190" s="18" t="s">
        <v>81</v>
      </c>
      <c r="G1190" s="18"/>
      <c r="H1190" s="18" t="s">
        <v>302</v>
      </c>
      <c r="I1190" s="18" t="s">
        <v>77</v>
      </c>
      <c r="J1190" s="18"/>
      <c r="K1190" s="20"/>
      <c r="L1190" s="20"/>
      <c r="M1190" s="20"/>
      <c r="N1190" s="18"/>
    </row>
    <row r="1191">
      <c r="A1191" s="17" t="str">
        <f t="shared" si="1"/>
        <v>IOP-867</v>
      </c>
      <c r="B1191" s="18" t="s">
        <v>143</v>
      </c>
      <c r="C1191" s="18" t="s">
        <v>144</v>
      </c>
      <c r="D1191" s="18">
        <v>0.166666667</v>
      </c>
      <c r="E1191" s="19">
        <v>43375.0</v>
      </c>
      <c r="F1191" s="18" t="s">
        <v>81</v>
      </c>
      <c r="G1191" s="18"/>
      <c r="H1191" s="18" t="s">
        <v>119</v>
      </c>
      <c r="I1191" s="18" t="s">
        <v>120</v>
      </c>
      <c r="J1191" s="18"/>
      <c r="K1191" s="20"/>
      <c r="L1191" s="20"/>
      <c r="M1191" s="20"/>
      <c r="N1191" s="18"/>
    </row>
    <row r="1192">
      <c r="A1192" s="17" t="str">
        <f t="shared" si="1"/>
        <v>IV2-73</v>
      </c>
      <c r="B1192" s="18" t="s">
        <v>577</v>
      </c>
      <c r="C1192" s="18" t="s">
        <v>578</v>
      </c>
      <c r="D1192" s="18">
        <v>1.75</v>
      </c>
      <c r="E1192" s="19">
        <v>43369.0</v>
      </c>
      <c r="F1192" s="18" t="s">
        <v>81</v>
      </c>
      <c r="G1192" s="18"/>
      <c r="H1192" s="18" t="s">
        <v>302</v>
      </c>
      <c r="I1192" s="18" t="s">
        <v>77</v>
      </c>
      <c r="J1192" s="18"/>
      <c r="K1192" s="20"/>
      <c r="L1192" s="18"/>
      <c r="M1192" s="20"/>
      <c r="N1192" s="18"/>
    </row>
    <row r="1193">
      <c r="A1193" s="17" t="str">
        <f t="shared" si="1"/>
        <v>IV2-17</v>
      </c>
      <c r="B1193" s="18" t="s">
        <v>373</v>
      </c>
      <c r="C1193" s="18" t="s">
        <v>374</v>
      </c>
      <c r="D1193" s="18">
        <v>0.116666667</v>
      </c>
      <c r="E1193" s="19">
        <v>43370.0</v>
      </c>
      <c r="F1193" s="18" t="s">
        <v>81</v>
      </c>
      <c r="G1193" s="18"/>
      <c r="H1193" s="18" t="s">
        <v>302</v>
      </c>
      <c r="I1193" s="18" t="s">
        <v>81</v>
      </c>
      <c r="J1193" s="18"/>
      <c r="K1193" s="20"/>
      <c r="L1193" s="18"/>
      <c r="M1193" s="20"/>
      <c r="N1193" s="18"/>
    </row>
    <row r="1194">
      <c r="A1194" s="17" t="str">
        <f t="shared" si="1"/>
        <v>IOP-866</v>
      </c>
      <c r="B1194" s="18" t="s">
        <v>117</v>
      </c>
      <c r="C1194" s="18" t="s">
        <v>118</v>
      </c>
      <c r="D1194" s="18">
        <v>0.116666667</v>
      </c>
      <c r="E1194" s="19">
        <v>43371.0</v>
      </c>
      <c r="F1194" s="18" t="s">
        <v>81</v>
      </c>
      <c r="G1194" s="18"/>
      <c r="H1194" s="18" t="s">
        <v>119</v>
      </c>
      <c r="I1194" s="18" t="s">
        <v>120</v>
      </c>
      <c r="J1194" s="18"/>
      <c r="K1194" s="20"/>
      <c r="L1194" s="18"/>
      <c r="M1194" s="20"/>
      <c r="N1194" s="18"/>
    </row>
    <row r="1195">
      <c r="A1195" s="17" t="str">
        <f t="shared" si="1"/>
        <v>IV2-31</v>
      </c>
      <c r="B1195" s="18" t="s">
        <v>571</v>
      </c>
      <c r="C1195" s="18" t="s">
        <v>572</v>
      </c>
      <c r="D1195" s="18">
        <v>0.433333333</v>
      </c>
      <c r="E1195" s="19">
        <v>43374.0</v>
      </c>
      <c r="F1195" s="18" t="s">
        <v>81</v>
      </c>
      <c r="G1195" s="18"/>
      <c r="H1195" s="18" t="s">
        <v>302</v>
      </c>
      <c r="I1195" s="18" t="s">
        <v>81</v>
      </c>
      <c r="J1195" s="18"/>
      <c r="K1195" s="20"/>
      <c r="L1195" s="20"/>
      <c r="M1195" s="20"/>
      <c r="N1195" s="18"/>
    </row>
    <row r="1196">
      <c r="A1196" s="17" t="str">
        <f t="shared" si="1"/>
        <v>IOP-866</v>
      </c>
      <c r="B1196" s="18" t="s">
        <v>117</v>
      </c>
      <c r="C1196" s="18" t="s">
        <v>118</v>
      </c>
      <c r="D1196" s="18">
        <v>0.166666667</v>
      </c>
      <c r="E1196" s="19">
        <v>43375.0</v>
      </c>
      <c r="F1196" s="18" t="s">
        <v>81</v>
      </c>
      <c r="G1196" s="18"/>
      <c r="H1196" s="18" t="s">
        <v>119</v>
      </c>
      <c r="I1196" s="18" t="s">
        <v>120</v>
      </c>
      <c r="J1196" s="18"/>
      <c r="K1196" s="20"/>
      <c r="L1196" s="20"/>
      <c r="M1196" s="20"/>
      <c r="N1196" s="18"/>
    </row>
    <row r="1197">
      <c r="A1197" s="17" t="str">
        <f t="shared" si="1"/>
        <v>IOP-879</v>
      </c>
      <c r="B1197" s="18" t="s">
        <v>155</v>
      </c>
      <c r="C1197" s="18" t="s">
        <v>156</v>
      </c>
      <c r="D1197" s="18">
        <v>0.466666667</v>
      </c>
      <c r="E1197" s="19">
        <v>43370.0</v>
      </c>
      <c r="F1197" s="18" t="s">
        <v>81</v>
      </c>
      <c r="G1197" s="18"/>
      <c r="H1197" s="18" t="s">
        <v>157</v>
      </c>
      <c r="I1197" s="18" t="s">
        <v>120</v>
      </c>
      <c r="J1197" s="18"/>
      <c r="K1197" s="20"/>
      <c r="L1197" s="18"/>
      <c r="M1197" s="20"/>
      <c r="N1197" s="18"/>
    </row>
    <row r="1198">
      <c r="A1198" s="17" t="str">
        <f t="shared" si="1"/>
        <v>PD-1729</v>
      </c>
      <c r="B1198" s="18" t="s">
        <v>581</v>
      </c>
      <c r="C1198" s="18" t="s">
        <v>582</v>
      </c>
      <c r="D1198" s="18">
        <v>0.233333333</v>
      </c>
      <c r="E1198" s="19">
        <v>43371.0</v>
      </c>
      <c r="F1198" s="18" t="s">
        <v>81</v>
      </c>
      <c r="G1198" s="18"/>
      <c r="H1198" s="18"/>
      <c r="I1198" s="18" t="s">
        <v>132</v>
      </c>
      <c r="J1198" s="18"/>
      <c r="K1198" s="20"/>
      <c r="L1198" s="18"/>
      <c r="M1198" s="20"/>
      <c r="N1198" s="18"/>
    </row>
    <row r="1199">
      <c r="A1199" s="17" t="str">
        <f t="shared" si="1"/>
        <v>IV2-17</v>
      </c>
      <c r="B1199" s="18" t="s">
        <v>373</v>
      </c>
      <c r="C1199" s="18" t="s">
        <v>374</v>
      </c>
      <c r="D1199" s="18">
        <v>0.15</v>
      </c>
      <c r="E1199" s="19">
        <v>43374.0</v>
      </c>
      <c r="F1199" s="18" t="s">
        <v>81</v>
      </c>
      <c r="G1199" s="18"/>
      <c r="H1199" s="18" t="s">
        <v>302</v>
      </c>
      <c r="I1199" s="18" t="s">
        <v>81</v>
      </c>
      <c r="J1199" s="18"/>
      <c r="K1199" s="20"/>
      <c r="L1199" s="18"/>
      <c r="M1199" s="20"/>
      <c r="N1199" s="18"/>
    </row>
    <row r="1200">
      <c r="A1200" s="17" t="str">
        <f t="shared" si="1"/>
        <v>PD-1709</v>
      </c>
      <c r="B1200" s="18" t="s">
        <v>539</v>
      </c>
      <c r="C1200" s="18" t="s">
        <v>540</v>
      </c>
      <c r="D1200" s="18">
        <v>2.283333333</v>
      </c>
      <c r="E1200" s="19">
        <v>43375.0</v>
      </c>
      <c r="F1200" s="18" t="s">
        <v>81</v>
      </c>
      <c r="G1200" s="18"/>
      <c r="H1200" s="18" t="s">
        <v>187</v>
      </c>
      <c r="I1200" s="17" t="s">
        <v>541</v>
      </c>
      <c r="J1200" s="18"/>
      <c r="K1200" s="20"/>
      <c r="L1200" s="18"/>
      <c r="M1200" s="20"/>
      <c r="N1200" s="18"/>
    </row>
    <row r="1201">
      <c r="A1201" s="17" t="str">
        <f t="shared" si="1"/>
        <v>PD-1724</v>
      </c>
      <c r="B1201" s="18" t="s">
        <v>557</v>
      </c>
      <c r="C1201" s="18" t="s">
        <v>558</v>
      </c>
      <c r="D1201" s="18">
        <v>0.25</v>
      </c>
      <c r="E1201" s="19">
        <v>43370.0</v>
      </c>
      <c r="F1201" s="18" t="s">
        <v>81</v>
      </c>
      <c r="G1201" s="18"/>
      <c r="H1201" s="18" t="s">
        <v>96</v>
      </c>
      <c r="I1201" s="18" t="s">
        <v>81</v>
      </c>
      <c r="J1201" s="18"/>
      <c r="K1201" s="20"/>
      <c r="L1201" s="18"/>
      <c r="M1201" s="20"/>
      <c r="N1201" s="18"/>
    </row>
    <row r="1202">
      <c r="A1202" s="17" t="str">
        <f t="shared" si="1"/>
        <v>IV2-73</v>
      </c>
      <c r="B1202" s="18" t="s">
        <v>577</v>
      </c>
      <c r="C1202" s="18" t="s">
        <v>578</v>
      </c>
      <c r="D1202" s="18">
        <v>3.966666667</v>
      </c>
      <c r="E1202" s="19">
        <v>43371.0</v>
      </c>
      <c r="F1202" s="18" t="s">
        <v>81</v>
      </c>
      <c r="G1202" s="18"/>
      <c r="H1202" s="18" t="s">
        <v>302</v>
      </c>
      <c r="I1202" s="18" t="s">
        <v>77</v>
      </c>
      <c r="J1202" s="18"/>
      <c r="K1202" s="20"/>
      <c r="L1202" s="20"/>
      <c r="M1202" s="20"/>
      <c r="N1202" s="18"/>
    </row>
    <row r="1203">
      <c r="A1203" s="17" t="str">
        <f t="shared" si="1"/>
        <v>IOP-875</v>
      </c>
      <c r="B1203" s="18" t="s">
        <v>123</v>
      </c>
      <c r="C1203" s="18" t="s">
        <v>124</v>
      </c>
      <c r="D1203" s="18">
        <v>0.716666667</v>
      </c>
      <c r="E1203" s="19">
        <v>43374.0</v>
      </c>
      <c r="F1203" s="18" t="s">
        <v>81</v>
      </c>
      <c r="G1203" s="18"/>
      <c r="H1203" s="18" t="s">
        <v>125</v>
      </c>
      <c r="I1203" s="18" t="s">
        <v>120</v>
      </c>
      <c r="J1203" s="18"/>
      <c r="K1203" s="20"/>
      <c r="L1203" s="20"/>
      <c r="M1203" s="20"/>
      <c r="N1203" s="18"/>
    </row>
    <row r="1204">
      <c r="A1204" s="17" t="str">
        <f t="shared" si="1"/>
        <v>PD-1440</v>
      </c>
      <c r="B1204" s="18" t="s">
        <v>158</v>
      </c>
      <c r="C1204" s="18" t="s">
        <v>159</v>
      </c>
      <c r="D1204" s="18">
        <v>0.283333333</v>
      </c>
      <c r="E1204" s="19">
        <v>43375.0</v>
      </c>
      <c r="F1204" s="18" t="s">
        <v>81</v>
      </c>
      <c r="G1204" s="18"/>
      <c r="H1204" s="18"/>
      <c r="I1204" s="18" t="s">
        <v>81</v>
      </c>
      <c r="J1204" s="18"/>
      <c r="K1204" s="20"/>
      <c r="L1204" s="20"/>
      <c r="M1204" s="20"/>
      <c r="N1204" s="18"/>
    </row>
    <row r="1205">
      <c r="A1205" s="17" t="str">
        <f t="shared" si="1"/>
        <v>IOP-867</v>
      </c>
      <c r="B1205" s="18" t="s">
        <v>143</v>
      </c>
      <c r="C1205" s="18" t="s">
        <v>144</v>
      </c>
      <c r="D1205" s="18">
        <v>0.166666667</v>
      </c>
      <c r="E1205" s="19">
        <v>43377.0</v>
      </c>
      <c r="F1205" s="18" t="s">
        <v>81</v>
      </c>
      <c r="G1205" s="18"/>
      <c r="H1205" s="18" t="s">
        <v>119</v>
      </c>
      <c r="I1205" s="18" t="s">
        <v>120</v>
      </c>
      <c r="J1205" s="18"/>
      <c r="K1205" s="20"/>
      <c r="L1205" s="20"/>
      <c r="M1205" s="20"/>
      <c r="N1205" s="18"/>
    </row>
    <row r="1206">
      <c r="A1206" s="17" t="str">
        <f t="shared" si="1"/>
        <v>PD-1709</v>
      </c>
      <c r="B1206" s="18" t="s">
        <v>539</v>
      </c>
      <c r="C1206" s="18" t="s">
        <v>540</v>
      </c>
      <c r="D1206" s="18">
        <v>0.8</v>
      </c>
      <c r="E1206" s="19">
        <v>43378.0</v>
      </c>
      <c r="F1206" s="18" t="s">
        <v>81</v>
      </c>
      <c r="G1206" s="18"/>
      <c r="H1206" s="18" t="s">
        <v>187</v>
      </c>
      <c r="I1206" s="17" t="s">
        <v>541</v>
      </c>
      <c r="J1206" s="18"/>
      <c r="K1206" s="20"/>
      <c r="L1206" s="20"/>
      <c r="M1206" s="20"/>
      <c r="N1206" s="18"/>
    </row>
    <row r="1207">
      <c r="A1207" s="17" t="str">
        <f t="shared" si="1"/>
        <v>IV2-73</v>
      </c>
      <c r="B1207" s="18" t="s">
        <v>577</v>
      </c>
      <c r="C1207" s="18" t="s">
        <v>578</v>
      </c>
      <c r="D1207" s="18">
        <v>1.5</v>
      </c>
      <c r="E1207" s="19">
        <v>43375.0</v>
      </c>
      <c r="F1207" s="18" t="s">
        <v>81</v>
      </c>
      <c r="G1207" s="18"/>
      <c r="H1207" s="18" t="s">
        <v>302</v>
      </c>
      <c r="I1207" s="18" t="s">
        <v>77</v>
      </c>
      <c r="J1207" s="18"/>
      <c r="K1207" s="20"/>
      <c r="L1207" s="20"/>
      <c r="M1207" s="20"/>
      <c r="N1207" s="18"/>
    </row>
    <row r="1208">
      <c r="A1208" s="17" t="str">
        <f t="shared" si="1"/>
        <v>IOP-866</v>
      </c>
      <c r="B1208" s="18" t="s">
        <v>117</v>
      </c>
      <c r="C1208" s="18" t="s">
        <v>118</v>
      </c>
      <c r="D1208" s="18">
        <v>0.133333333</v>
      </c>
      <c r="E1208" s="19">
        <v>43377.0</v>
      </c>
      <c r="F1208" s="18" t="s">
        <v>81</v>
      </c>
      <c r="G1208" s="18"/>
      <c r="H1208" s="18" t="s">
        <v>119</v>
      </c>
      <c r="I1208" s="18" t="s">
        <v>120</v>
      </c>
      <c r="J1208" s="18"/>
      <c r="K1208" s="20"/>
      <c r="L1208" s="20"/>
      <c r="M1208" s="20"/>
      <c r="N1208" s="18"/>
    </row>
    <row r="1209">
      <c r="A1209" s="17" t="str">
        <f t="shared" si="1"/>
        <v>PD-1724</v>
      </c>
      <c r="B1209" s="18" t="s">
        <v>557</v>
      </c>
      <c r="C1209" s="18" t="s">
        <v>558</v>
      </c>
      <c r="D1209" s="18">
        <v>0.35</v>
      </c>
      <c r="E1209" s="19">
        <v>43375.0</v>
      </c>
      <c r="F1209" s="18" t="s">
        <v>81</v>
      </c>
      <c r="G1209" s="18"/>
      <c r="H1209" s="18" t="s">
        <v>96</v>
      </c>
      <c r="I1209" s="18" t="s">
        <v>81</v>
      </c>
      <c r="J1209" s="18"/>
      <c r="K1209" s="20"/>
      <c r="L1209" s="20"/>
      <c r="M1209" s="20"/>
      <c r="N1209" s="18"/>
    </row>
    <row r="1210">
      <c r="A1210" s="17" t="str">
        <f t="shared" si="1"/>
        <v>PD-1528</v>
      </c>
      <c r="B1210" s="18" t="s">
        <v>201</v>
      </c>
      <c r="C1210" s="18" t="s">
        <v>202</v>
      </c>
      <c r="D1210" s="18">
        <v>4.6</v>
      </c>
      <c r="E1210" s="19">
        <v>43377.0</v>
      </c>
      <c r="F1210" s="18" t="s">
        <v>81</v>
      </c>
      <c r="G1210" s="18"/>
      <c r="H1210" s="18" t="s">
        <v>88</v>
      </c>
      <c r="I1210" s="18" t="s">
        <v>93</v>
      </c>
      <c r="J1210" s="18"/>
      <c r="K1210" s="20"/>
      <c r="L1210" s="18"/>
      <c r="M1210" s="20"/>
      <c r="N1210" s="18"/>
    </row>
    <row r="1211">
      <c r="A1211" s="17" t="str">
        <f t="shared" si="1"/>
        <v>PD-1343</v>
      </c>
      <c r="B1211" s="18" t="s">
        <v>401</v>
      </c>
      <c r="C1211" s="18" t="s">
        <v>402</v>
      </c>
      <c r="D1211" s="18">
        <v>0.25</v>
      </c>
      <c r="E1211" s="19">
        <v>43375.0</v>
      </c>
      <c r="F1211" s="18" t="s">
        <v>81</v>
      </c>
      <c r="G1211" s="18"/>
      <c r="H1211" s="18" t="s">
        <v>96</v>
      </c>
      <c r="I1211" s="18" t="s">
        <v>81</v>
      </c>
      <c r="J1211" s="18"/>
      <c r="K1211" s="20"/>
      <c r="L1211" s="18"/>
      <c r="M1211" s="20"/>
      <c r="N1211" s="18"/>
    </row>
    <row r="1212">
      <c r="A1212" s="17" t="str">
        <f t="shared" si="1"/>
        <v>IV2-4</v>
      </c>
      <c r="B1212" s="18" t="s">
        <v>323</v>
      </c>
      <c r="C1212" s="18" t="s">
        <v>324</v>
      </c>
      <c r="D1212" s="18">
        <v>0.533333333</v>
      </c>
      <c r="E1212" s="19">
        <v>43377.0</v>
      </c>
      <c r="F1212" s="18" t="s">
        <v>81</v>
      </c>
      <c r="G1212" s="18" t="s">
        <v>302</v>
      </c>
      <c r="H1212" s="18"/>
      <c r="I1212" s="18" t="s">
        <v>81</v>
      </c>
      <c r="J1212" s="18"/>
      <c r="K1212" s="20"/>
      <c r="L1212" s="18"/>
      <c r="M1212" s="20"/>
      <c r="N1212" s="18"/>
    </row>
    <row r="1213">
      <c r="A1213" s="17" t="str">
        <f t="shared" si="1"/>
        <v>IV2-17</v>
      </c>
      <c r="B1213" s="18" t="s">
        <v>373</v>
      </c>
      <c r="C1213" s="18" t="s">
        <v>374</v>
      </c>
      <c r="D1213" s="18">
        <v>2.966666667</v>
      </c>
      <c r="E1213" s="19">
        <v>43375.0</v>
      </c>
      <c r="F1213" s="18" t="s">
        <v>81</v>
      </c>
      <c r="G1213" s="18"/>
      <c r="H1213" s="18" t="s">
        <v>302</v>
      </c>
      <c r="I1213" s="18" t="s">
        <v>81</v>
      </c>
      <c r="J1213" s="18"/>
      <c r="K1213" s="20"/>
      <c r="L1213" s="18"/>
      <c r="M1213" s="20"/>
      <c r="N1213" s="18"/>
    </row>
    <row r="1214">
      <c r="A1214" s="17" t="str">
        <f t="shared" si="1"/>
        <v>IV2-73</v>
      </c>
      <c r="B1214" s="18" t="s">
        <v>577</v>
      </c>
      <c r="C1214" s="18" t="s">
        <v>578</v>
      </c>
      <c r="D1214" s="18">
        <v>2.716666667</v>
      </c>
      <c r="E1214" s="19">
        <v>43377.0</v>
      </c>
      <c r="F1214" s="18" t="s">
        <v>81</v>
      </c>
      <c r="G1214" s="18"/>
      <c r="H1214" s="18" t="s">
        <v>302</v>
      </c>
      <c r="I1214" s="18" t="s">
        <v>77</v>
      </c>
      <c r="J1214" s="18"/>
      <c r="K1214" s="20"/>
      <c r="L1214" s="18"/>
      <c r="M1214" s="20"/>
      <c r="N1214" s="18"/>
    </row>
    <row r="1215">
      <c r="A1215" s="17" t="str">
        <f t="shared" si="1"/>
        <v>IOP-867</v>
      </c>
      <c r="B1215" s="18" t="s">
        <v>143</v>
      </c>
      <c r="C1215" s="18" t="s">
        <v>144</v>
      </c>
      <c r="D1215" s="18">
        <v>0.05</v>
      </c>
      <c r="E1215" s="19">
        <v>43378.0</v>
      </c>
      <c r="F1215" s="18" t="s">
        <v>81</v>
      </c>
      <c r="G1215" s="18"/>
      <c r="H1215" s="18" t="s">
        <v>119</v>
      </c>
      <c r="I1215" s="18" t="s">
        <v>120</v>
      </c>
      <c r="J1215" s="18"/>
      <c r="K1215" s="20"/>
      <c r="L1215" s="18"/>
      <c r="M1215" s="20"/>
      <c r="N1215" s="18"/>
    </row>
    <row r="1216">
      <c r="A1216" s="17" t="str">
        <f t="shared" si="1"/>
        <v>IOP-867</v>
      </c>
      <c r="B1216" s="18" t="s">
        <v>143</v>
      </c>
      <c r="C1216" s="18" t="s">
        <v>144</v>
      </c>
      <c r="D1216" s="18">
        <v>0.166666667</v>
      </c>
      <c r="E1216" s="19">
        <v>43376.0</v>
      </c>
      <c r="F1216" s="18" t="s">
        <v>81</v>
      </c>
      <c r="G1216" s="18"/>
      <c r="H1216" s="18" t="s">
        <v>119</v>
      </c>
      <c r="I1216" s="18" t="s">
        <v>120</v>
      </c>
      <c r="J1216" s="18"/>
      <c r="K1216" s="20"/>
      <c r="L1216" s="18"/>
      <c r="M1216" s="20"/>
      <c r="N1216" s="18"/>
    </row>
    <row r="1217">
      <c r="A1217" s="17" t="str">
        <f t="shared" si="1"/>
        <v>IOP-866</v>
      </c>
      <c r="B1217" s="18" t="s">
        <v>117</v>
      </c>
      <c r="C1217" s="18" t="s">
        <v>118</v>
      </c>
      <c r="D1217" s="18">
        <v>0.083333333</v>
      </c>
      <c r="E1217" s="19">
        <v>43378.0</v>
      </c>
      <c r="F1217" s="18" t="s">
        <v>81</v>
      </c>
      <c r="G1217" s="18"/>
      <c r="H1217" s="18" t="s">
        <v>119</v>
      </c>
      <c r="I1217" s="18" t="s">
        <v>120</v>
      </c>
      <c r="J1217" s="18"/>
      <c r="K1217" s="20"/>
      <c r="L1217" s="18"/>
      <c r="M1217" s="20"/>
      <c r="N1217" s="18"/>
    </row>
    <row r="1218">
      <c r="A1218" s="17" t="str">
        <f t="shared" si="1"/>
        <v>IOP-866</v>
      </c>
      <c r="B1218" s="18" t="s">
        <v>117</v>
      </c>
      <c r="C1218" s="18" t="s">
        <v>118</v>
      </c>
      <c r="D1218" s="18">
        <v>0.183333333</v>
      </c>
      <c r="E1218" s="19">
        <v>43376.0</v>
      </c>
      <c r="F1218" s="18" t="s">
        <v>81</v>
      </c>
      <c r="G1218" s="18"/>
      <c r="H1218" s="18" t="s">
        <v>119</v>
      </c>
      <c r="I1218" s="18" t="s">
        <v>120</v>
      </c>
      <c r="J1218" s="18"/>
      <c r="K1218" s="20"/>
      <c r="L1218" s="18"/>
      <c r="M1218" s="20"/>
      <c r="N1218" s="18"/>
    </row>
    <row r="1219">
      <c r="A1219" s="17" t="str">
        <f t="shared" si="1"/>
        <v>PD-1528</v>
      </c>
      <c r="B1219" s="18" t="s">
        <v>201</v>
      </c>
      <c r="C1219" s="18" t="s">
        <v>202</v>
      </c>
      <c r="D1219" s="18">
        <v>0.05</v>
      </c>
      <c r="E1219" s="19">
        <v>43378.0</v>
      </c>
      <c r="F1219" s="18" t="s">
        <v>81</v>
      </c>
      <c r="G1219" s="18"/>
      <c r="H1219" s="18" t="s">
        <v>88</v>
      </c>
      <c r="I1219" s="18" t="s">
        <v>93</v>
      </c>
      <c r="J1219" s="18"/>
      <c r="K1219" s="20"/>
      <c r="L1219" s="20"/>
      <c r="M1219" s="20"/>
      <c r="N1219" s="18"/>
    </row>
    <row r="1220">
      <c r="A1220" s="17" t="str">
        <f t="shared" si="1"/>
        <v>IV2-17</v>
      </c>
      <c r="B1220" s="18" t="s">
        <v>373</v>
      </c>
      <c r="C1220" s="18" t="s">
        <v>374</v>
      </c>
      <c r="D1220" s="18">
        <v>3.516666667</v>
      </c>
      <c r="E1220" s="19">
        <v>43376.0</v>
      </c>
      <c r="F1220" s="18" t="s">
        <v>81</v>
      </c>
      <c r="G1220" s="18"/>
      <c r="H1220" s="18" t="s">
        <v>302</v>
      </c>
      <c r="I1220" s="18" t="s">
        <v>81</v>
      </c>
      <c r="J1220" s="18"/>
      <c r="K1220" s="20"/>
      <c r="L1220" s="20"/>
      <c r="M1220" s="20"/>
      <c r="N1220" s="18"/>
    </row>
    <row r="1221">
      <c r="A1221" s="17" t="str">
        <f t="shared" si="1"/>
        <v>IV2-73</v>
      </c>
      <c r="B1221" s="18" t="s">
        <v>577</v>
      </c>
      <c r="C1221" s="18" t="s">
        <v>578</v>
      </c>
      <c r="D1221" s="18">
        <v>6.0</v>
      </c>
      <c r="E1221" s="19">
        <v>43378.0</v>
      </c>
      <c r="F1221" s="18" t="s">
        <v>81</v>
      </c>
      <c r="G1221" s="18"/>
      <c r="H1221" s="18" t="s">
        <v>302</v>
      </c>
      <c r="I1221" s="18" t="s">
        <v>77</v>
      </c>
      <c r="J1221" s="18"/>
      <c r="K1221" s="20"/>
      <c r="L1221" s="20"/>
      <c r="M1221" s="18"/>
      <c r="N1221" s="18"/>
    </row>
    <row r="1222">
      <c r="A1222" s="17" t="str">
        <f t="shared" si="1"/>
        <v>IOP-867</v>
      </c>
      <c r="B1222" s="18" t="s">
        <v>143</v>
      </c>
      <c r="C1222" s="18" t="s">
        <v>144</v>
      </c>
      <c r="D1222" s="18">
        <v>0.266666667</v>
      </c>
      <c r="E1222" s="19">
        <v>43382.0</v>
      </c>
      <c r="F1222" s="18" t="s">
        <v>81</v>
      </c>
      <c r="G1222" s="18"/>
      <c r="H1222" s="18" t="s">
        <v>119</v>
      </c>
      <c r="I1222" s="18" t="s">
        <v>120</v>
      </c>
      <c r="J1222" s="18"/>
      <c r="K1222" s="20"/>
      <c r="L1222" s="20"/>
      <c r="M1222" s="20"/>
      <c r="N1222" s="18"/>
    </row>
    <row r="1223">
      <c r="A1223" s="17" t="str">
        <f t="shared" si="1"/>
        <v>PD-1709</v>
      </c>
      <c r="B1223" s="18" t="s">
        <v>539</v>
      </c>
      <c r="C1223" s="18" t="s">
        <v>540</v>
      </c>
      <c r="D1223" s="18">
        <v>3.033333333</v>
      </c>
      <c r="E1223" s="19">
        <v>43382.0</v>
      </c>
      <c r="F1223" s="18" t="s">
        <v>81</v>
      </c>
      <c r="G1223" s="18"/>
      <c r="H1223" s="18" t="s">
        <v>187</v>
      </c>
      <c r="I1223" s="17" t="s">
        <v>541</v>
      </c>
      <c r="J1223" s="18"/>
      <c r="K1223" s="20"/>
      <c r="L1223" s="20"/>
      <c r="M1223" s="20"/>
      <c r="N1223" s="18"/>
    </row>
    <row r="1224">
      <c r="A1224" s="17" t="str">
        <f t="shared" si="1"/>
        <v>IV2-73</v>
      </c>
      <c r="B1224" s="18" t="s">
        <v>577</v>
      </c>
      <c r="C1224" s="18" t="s">
        <v>578</v>
      </c>
      <c r="D1224" s="18">
        <v>2.35</v>
      </c>
      <c r="E1224" s="19">
        <v>43376.0</v>
      </c>
      <c r="F1224" s="18" t="s">
        <v>81</v>
      </c>
      <c r="G1224" s="18"/>
      <c r="H1224" s="18" t="s">
        <v>302</v>
      </c>
      <c r="I1224" s="18" t="s">
        <v>77</v>
      </c>
      <c r="J1224" s="18"/>
      <c r="K1224" s="20"/>
      <c r="L1224" s="20"/>
      <c r="M1224" s="20"/>
      <c r="N1224" s="18"/>
    </row>
    <row r="1225">
      <c r="A1225" s="17" t="str">
        <f t="shared" si="1"/>
        <v>IOP-866</v>
      </c>
      <c r="B1225" s="18" t="s">
        <v>117</v>
      </c>
      <c r="C1225" s="18" t="s">
        <v>118</v>
      </c>
      <c r="D1225" s="18">
        <v>0.116666667</v>
      </c>
      <c r="E1225" s="19">
        <v>43382.0</v>
      </c>
      <c r="F1225" s="18" t="s">
        <v>81</v>
      </c>
      <c r="G1225" s="18"/>
      <c r="H1225" s="18" t="s">
        <v>119</v>
      </c>
      <c r="I1225" s="18" t="s">
        <v>120</v>
      </c>
      <c r="J1225" s="18"/>
      <c r="K1225" s="20"/>
      <c r="L1225" s="18"/>
      <c r="M1225" s="20"/>
      <c r="N1225" s="18"/>
    </row>
    <row r="1226">
      <c r="A1226" s="17" t="str">
        <f t="shared" si="1"/>
        <v>PD-1725</v>
      </c>
      <c r="B1226" s="18" t="s">
        <v>583</v>
      </c>
      <c r="C1226" s="18" t="s">
        <v>584</v>
      </c>
      <c r="D1226" s="18">
        <v>0.183333333</v>
      </c>
      <c r="E1226" s="19">
        <v>43382.0</v>
      </c>
      <c r="F1226" s="18" t="s">
        <v>81</v>
      </c>
      <c r="G1226" s="18"/>
      <c r="H1226" s="18"/>
      <c r="I1226" s="18" t="s">
        <v>78</v>
      </c>
      <c r="J1226" s="18"/>
      <c r="K1226" s="20"/>
      <c r="L1226" s="18"/>
      <c r="M1226" s="20"/>
      <c r="N1226" s="18"/>
    </row>
    <row r="1227">
      <c r="A1227" s="17" t="str">
        <f t="shared" si="1"/>
        <v>IV2-74</v>
      </c>
      <c r="B1227" s="18" t="s">
        <v>575</v>
      </c>
      <c r="C1227" s="18" t="s">
        <v>576</v>
      </c>
      <c r="D1227" s="18">
        <v>0.7</v>
      </c>
      <c r="E1227" s="19">
        <v>43382.0</v>
      </c>
      <c r="F1227" s="18" t="s">
        <v>81</v>
      </c>
      <c r="G1227" s="18"/>
      <c r="H1227" s="18"/>
      <c r="I1227" s="18" t="s">
        <v>142</v>
      </c>
      <c r="J1227" s="18"/>
      <c r="K1227" s="20"/>
      <c r="L1227" s="18"/>
      <c r="M1227" s="20"/>
      <c r="N1227" s="18"/>
    </row>
    <row r="1228">
      <c r="A1228" s="17" t="str">
        <f t="shared" si="1"/>
        <v>IV2-17</v>
      </c>
      <c r="B1228" s="18" t="s">
        <v>373</v>
      </c>
      <c r="C1228" s="18" t="s">
        <v>374</v>
      </c>
      <c r="D1228" s="18">
        <v>3.416666667</v>
      </c>
      <c r="E1228" s="19">
        <v>43382.0</v>
      </c>
      <c r="F1228" s="18" t="s">
        <v>81</v>
      </c>
      <c r="G1228" s="18"/>
      <c r="H1228" s="18" t="s">
        <v>302</v>
      </c>
      <c r="I1228" s="18" t="s">
        <v>81</v>
      </c>
      <c r="J1228" s="18"/>
      <c r="K1228" s="20"/>
      <c r="L1228" s="20"/>
      <c r="M1228" s="20"/>
      <c r="N1228" s="18"/>
    </row>
    <row r="1229">
      <c r="A1229" s="17" t="str">
        <f t="shared" si="1"/>
        <v>PD-1440</v>
      </c>
      <c r="B1229" s="18" t="s">
        <v>158</v>
      </c>
      <c r="C1229" s="18" t="s">
        <v>159</v>
      </c>
      <c r="D1229" s="18">
        <v>0.266666667</v>
      </c>
      <c r="E1229" s="19">
        <v>43382.0</v>
      </c>
      <c r="F1229" s="18" t="s">
        <v>81</v>
      </c>
      <c r="G1229" s="18"/>
      <c r="H1229" s="18"/>
      <c r="I1229" s="18" t="s">
        <v>81</v>
      </c>
      <c r="J1229" s="18"/>
      <c r="K1229" s="20"/>
      <c r="L1229" s="20"/>
      <c r="M1229" s="20"/>
      <c r="N1229" s="18"/>
    </row>
    <row r="1230">
      <c r="A1230" s="17" t="str">
        <f t="shared" si="1"/>
        <v>IOP-867</v>
      </c>
      <c r="B1230" s="18" t="s">
        <v>143</v>
      </c>
      <c r="C1230" s="18" t="s">
        <v>144</v>
      </c>
      <c r="D1230" s="18">
        <v>0.083333333</v>
      </c>
      <c r="E1230" s="19">
        <v>43272.0</v>
      </c>
      <c r="F1230" s="18" t="s">
        <v>81</v>
      </c>
      <c r="G1230" s="18"/>
      <c r="H1230" s="18" t="s">
        <v>119</v>
      </c>
      <c r="I1230" s="18" t="s">
        <v>120</v>
      </c>
      <c r="J1230" s="18"/>
      <c r="K1230" s="20"/>
      <c r="L1230" s="20"/>
      <c r="M1230" s="20"/>
      <c r="N1230" s="18"/>
    </row>
    <row r="1231">
      <c r="A1231" s="17" t="str">
        <f t="shared" si="1"/>
        <v>IOP-866</v>
      </c>
      <c r="B1231" s="18" t="s">
        <v>117</v>
      </c>
      <c r="C1231" s="18" t="s">
        <v>118</v>
      </c>
      <c r="D1231" s="18">
        <v>0.1</v>
      </c>
      <c r="E1231" s="19">
        <v>43272.0</v>
      </c>
      <c r="F1231" s="18" t="s">
        <v>81</v>
      </c>
      <c r="G1231" s="18"/>
      <c r="H1231" s="18" t="s">
        <v>119</v>
      </c>
      <c r="I1231" s="18" t="s">
        <v>120</v>
      </c>
      <c r="J1231" s="18"/>
      <c r="K1231" s="20"/>
      <c r="L1231" s="20"/>
      <c r="M1231" s="18"/>
      <c r="N1231" s="18"/>
    </row>
    <row r="1232">
      <c r="A1232" s="17" t="str">
        <f t="shared" si="1"/>
        <v>PD-1700</v>
      </c>
      <c r="B1232" s="18" t="s">
        <v>542</v>
      </c>
      <c r="C1232" s="18" t="s">
        <v>543</v>
      </c>
      <c r="D1232" s="18">
        <v>1.366666667</v>
      </c>
      <c r="E1232" s="19">
        <v>43272.0</v>
      </c>
      <c r="F1232" s="18" t="s">
        <v>81</v>
      </c>
      <c r="G1232" s="18"/>
      <c r="H1232" s="18" t="s">
        <v>92</v>
      </c>
      <c r="I1232" s="18" t="s">
        <v>89</v>
      </c>
      <c r="J1232" s="18"/>
      <c r="K1232" s="20"/>
      <c r="L1232" s="20"/>
      <c r="M1232" s="18"/>
      <c r="N1232" s="18"/>
    </row>
    <row r="1233">
      <c r="A1233" s="17" t="str">
        <f t="shared" si="1"/>
        <v>PD-1701</v>
      </c>
      <c r="B1233" s="18" t="s">
        <v>585</v>
      </c>
      <c r="C1233" s="18" t="s">
        <v>586</v>
      </c>
      <c r="D1233" s="18">
        <v>0.15</v>
      </c>
      <c r="E1233" s="19">
        <v>43272.0</v>
      </c>
      <c r="F1233" s="18" t="s">
        <v>81</v>
      </c>
      <c r="G1233" s="18"/>
      <c r="H1233" s="18" t="s">
        <v>167</v>
      </c>
      <c r="I1233" s="18" t="s">
        <v>89</v>
      </c>
      <c r="J1233" s="18"/>
      <c r="K1233" s="20"/>
      <c r="L1233" s="20"/>
      <c r="M1233" s="18"/>
      <c r="N1233" s="18"/>
    </row>
    <row r="1234">
      <c r="A1234" s="17" t="str">
        <f t="shared" si="1"/>
        <v>IV2-8</v>
      </c>
      <c r="B1234" s="18" t="s">
        <v>300</v>
      </c>
      <c r="C1234" s="18" t="s">
        <v>301</v>
      </c>
      <c r="D1234" s="18">
        <v>5.683333333</v>
      </c>
      <c r="E1234" s="19">
        <v>43272.0</v>
      </c>
      <c r="F1234" s="18" t="s">
        <v>81</v>
      </c>
      <c r="G1234" s="18"/>
      <c r="H1234" s="18" t="s">
        <v>302</v>
      </c>
      <c r="I1234" s="18" t="s">
        <v>78</v>
      </c>
      <c r="J1234" s="18"/>
      <c r="K1234" s="20"/>
      <c r="L1234" s="20"/>
      <c r="M1234" s="20"/>
      <c r="N1234" s="18"/>
    </row>
    <row r="1235">
      <c r="A1235" s="17" t="str">
        <f t="shared" si="1"/>
        <v>IOP-875</v>
      </c>
      <c r="B1235" s="18" t="s">
        <v>123</v>
      </c>
      <c r="C1235" s="18" t="s">
        <v>124</v>
      </c>
      <c r="D1235" s="18">
        <v>0.6</v>
      </c>
      <c r="E1235" s="19">
        <v>43272.0</v>
      </c>
      <c r="F1235" s="18" t="s">
        <v>81</v>
      </c>
      <c r="G1235" s="18"/>
      <c r="H1235" s="18" t="s">
        <v>125</v>
      </c>
      <c r="I1235" s="18" t="s">
        <v>120</v>
      </c>
      <c r="J1235" s="18"/>
      <c r="K1235" s="20"/>
      <c r="L1235" s="20"/>
      <c r="M1235" s="20"/>
      <c r="N1235" s="18"/>
    </row>
    <row r="1236">
      <c r="A1236" s="17" t="str">
        <f t="shared" si="1"/>
        <v>IOP-879</v>
      </c>
      <c r="B1236" s="18" t="s">
        <v>155</v>
      </c>
      <c r="C1236" s="18" t="s">
        <v>156</v>
      </c>
      <c r="D1236" s="18">
        <v>1.0</v>
      </c>
      <c r="E1236" s="19">
        <v>43376.0</v>
      </c>
      <c r="F1236" s="18" t="s">
        <v>81</v>
      </c>
      <c r="G1236" s="18"/>
      <c r="H1236" s="18" t="s">
        <v>157</v>
      </c>
      <c r="I1236" s="18" t="s">
        <v>120</v>
      </c>
      <c r="J1236" s="18"/>
      <c r="K1236" s="20"/>
      <c r="L1236" s="20"/>
      <c r="M1236" s="20"/>
      <c r="N1236" s="18"/>
    </row>
    <row r="1237">
      <c r="A1237" s="17" t="str">
        <f t="shared" si="1"/>
        <v>PD-1709</v>
      </c>
      <c r="B1237" s="18" t="s">
        <v>539</v>
      </c>
      <c r="C1237" s="18" t="s">
        <v>540</v>
      </c>
      <c r="D1237" s="18">
        <v>0.866666667</v>
      </c>
      <c r="E1237" s="19">
        <v>43376.0</v>
      </c>
      <c r="F1237" s="18" t="s">
        <v>81</v>
      </c>
      <c r="G1237" s="18"/>
      <c r="H1237" s="18" t="s">
        <v>187</v>
      </c>
      <c r="I1237" s="17" t="s">
        <v>541</v>
      </c>
      <c r="J1237" s="18"/>
      <c r="K1237" s="20"/>
      <c r="L1237" s="20"/>
      <c r="M1237" s="20"/>
      <c r="N1237" s="18"/>
    </row>
    <row r="1238">
      <c r="A1238" s="17" t="str">
        <f t="shared" si="1"/>
        <v>PD-1731</v>
      </c>
      <c r="B1238" s="18" t="s">
        <v>587</v>
      </c>
      <c r="C1238" s="18" t="s">
        <v>588</v>
      </c>
      <c r="D1238" s="18">
        <v>0.466666667</v>
      </c>
      <c r="E1238" s="19">
        <v>43378.0</v>
      </c>
      <c r="F1238" s="18" t="s">
        <v>81</v>
      </c>
      <c r="G1238" s="18"/>
      <c r="H1238" s="18" t="s">
        <v>96</v>
      </c>
      <c r="I1238" s="18" t="s">
        <v>81</v>
      </c>
      <c r="J1238" s="18"/>
      <c r="K1238" s="20"/>
      <c r="L1238" s="20"/>
      <c r="M1238" s="20"/>
      <c r="N1238" s="18"/>
    </row>
    <row r="1239">
      <c r="A1239" s="17" t="str">
        <f t="shared" si="1"/>
        <v>IOP-867</v>
      </c>
      <c r="B1239" s="18" t="s">
        <v>143</v>
      </c>
      <c r="C1239" s="18" t="s">
        <v>144</v>
      </c>
      <c r="D1239" s="18">
        <v>0.033333333</v>
      </c>
      <c r="E1239" s="19">
        <v>43273.0</v>
      </c>
      <c r="F1239" s="18" t="s">
        <v>81</v>
      </c>
      <c r="G1239" s="18"/>
      <c r="H1239" s="18" t="s">
        <v>119</v>
      </c>
      <c r="I1239" s="18" t="s">
        <v>120</v>
      </c>
      <c r="J1239" s="18"/>
      <c r="K1239" s="20"/>
      <c r="L1239" s="20"/>
      <c r="M1239" s="20"/>
      <c r="N1239" s="18"/>
    </row>
    <row r="1240">
      <c r="A1240" s="17" t="str">
        <f t="shared" si="1"/>
        <v>IOP-866</v>
      </c>
      <c r="B1240" s="18" t="s">
        <v>117</v>
      </c>
      <c r="C1240" s="18" t="s">
        <v>118</v>
      </c>
      <c r="D1240" s="18">
        <v>0.066666667</v>
      </c>
      <c r="E1240" s="19">
        <v>43273.0</v>
      </c>
      <c r="F1240" s="18" t="s">
        <v>81</v>
      </c>
      <c r="G1240" s="18"/>
      <c r="H1240" s="18" t="s">
        <v>119</v>
      </c>
      <c r="I1240" s="18" t="s">
        <v>120</v>
      </c>
      <c r="J1240" s="18"/>
      <c r="K1240" s="20"/>
      <c r="L1240" s="20"/>
      <c r="M1240" s="20"/>
      <c r="N1240" s="18"/>
    </row>
    <row r="1241">
      <c r="A1241" s="17" t="str">
        <f t="shared" si="1"/>
        <v>IV2-8</v>
      </c>
      <c r="B1241" s="18" t="s">
        <v>300</v>
      </c>
      <c r="C1241" s="18" t="s">
        <v>301</v>
      </c>
      <c r="D1241" s="18">
        <v>8.333333333</v>
      </c>
      <c r="E1241" s="19">
        <v>43273.0</v>
      </c>
      <c r="F1241" s="18" t="s">
        <v>81</v>
      </c>
      <c r="G1241" s="18"/>
      <c r="H1241" s="18" t="s">
        <v>302</v>
      </c>
      <c r="I1241" s="18" t="s">
        <v>78</v>
      </c>
      <c r="J1241" s="18"/>
      <c r="K1241" s="20"/>
      <c r="L1241" s="20"/>
      <c r="M1241" s="20"/>
      <c r="N1241" s="18"/>
    </row>
    <row r="1242">
      <c r="A1242" s="17" t="str">
        <f t="shared" si="1"/>
        <v>IOP-866</v>
      </c>
      <c r="B1242" s="18" t="s">
        <v>117</v>
      </c>
      <c r="C1242" s="18" t="s">
        <v>118</v>
      </c>
      <c r="D1242" s="18">
        <v>0.1</v>
      </c>
      <c r="E1242" s="19">
        <v>43276.0</v>
      </c>
      <c r="F1242" s="18" t="s">
        <v>81</v>
      </c>
      <c r="G1242" s="18"/>
      <c r="H1242" s="18" t="s">
        <v>119</v>
      </c>
      <c r="I1242" s="18" t="s">
        <v>120</v>
      </c>
      <c r="J1242" s="18"/>
      <c r="K1242" s="20"/>
      <c r="L1242" s="20"/>
      <c r="M1242" s="20"/>
      <c r="N1242" s="18"/>
    </row>
    <row r="1243">
      <c r="A1243" s="17" t="str">
        <f t="shared" si="1"/>
        <v>IV2-8</v>
      </c>
      <c r="B1243" s="18" t="s">
        <v>300</v>
      </c>
      <c r="C1243" s="18" t="s">
        <v>301</v>
      </c>
      <c r="D1243" s="18">
        <v>6.85</v>
      </c>
      <c r="E1243" s="19">
        <v>43276.0</v>
      </c>
      <c r="F1243" s="18" t="s">
        <v>81</v>
      </c>
      <c r="G1243" s="18"/>
      <c r="H1243" s="18" t="s">
        <v>302</v>
      </c>
      <c r="I1243" s="18" t="s">
        <v>78</v>
      </c>
      <c r="J1243" s="18"/>
      <c r="K1243" s="20"/>
      <c r="L1243" s="20"/>
      <c r="M1243" s="20"/>
      <c r="N1243" s="18"/>
    </row>
    <row r="1244">
      <c r="A1244" s="17" t="str">
        <f t="shared" si="1"/>
        <v>PD-1440</v>
      </c>
      <c r="B1244" s="18" t="s">
        <v>158</v>
      </c>
      <c r="C1244" s="18" t="s">
        <v>159</v>
      </c>
      <c r="D1244" s="18">
        <v>1.35</v>
      </c>
      <c r="E1244" s="19">
        <v>43276.0</v>
      </c>
      <c r="F1244" s="18" t="s">
        <v>81</v>
      </c>
      <c r="G1244" s="18"/>
      <c r="H1244" s="18"/>
      <c r="I1244" s="18" t="s">
        <v>81</v>
      </c>
      <c r="J1244" s="18"/>
      <c r="K1244" s="20"/>
      <c r="L1244" s="20"/>
      <c r="M1244" s="18"/>
      <c r="N1244" s="18"/>
    </row>
    <row r="1245">
      <c r="A1245" s="17" t="str">
        <f t="shared" si="1"/>
        <v>IOP-867</v>
      </c>
      <c r="B1245" s="18" t="s">
        <v>143</v>
      </c>
      <c r="C1245" s="18" t="s">
        <v>144</v>
      </c>
      <c r="D1245" s="18">
        <v>0.15</v>
      </c>
      <c r="E1245" s="19">
        <v>43277.0</v>
      </c>
      <c r="F1245" s="18" t="s">
        <v>81</v>
      </c>
      <c r="G1245" s="18"/>
      <c r="H1245" s="18" t="s">
        <v>119</v>
      </c>
      <c r="I1245" s="18" t="s">
        <v>120</v>
      </c>
      <c r="J1245" s="18"/>
      <c r="K1245" s="20"/>
      <c r="L1245" s="20"/>
      <c r="M1245" s="18"/>
      <c r="N1245" s="18"/>
    </row>
    <row r="1246">
      <c r="A1246" s="17" t="str">
        <f t="shared" si="1"/>
        <v>IOP-875</v>
      </c>
      <c r="B1246" s="18" t="s">
        <v>123</v>
      </c>
      <c r="C1246" s="18" t="s">
        <v>124</v>
      </c>
      <c r="D1246" s="18">
        <v>0.166666667</v>
      </c>
      <c r="E1246" s="19">
        <v>43277.0</v>
      </c>
      <c r="F1246" s="18" t="s">
        <v>81</v>
      </c>
      <c r="G1246" s="18"/>
      <c r="H1246" s="18" t="s">
        <v>125</v>
      </c>
      <c r="I1246" s="18" t="s">
        <v>120</v>
      </c>
      <c r="J1246" s="18"/>
      <c r="K1246" s="20"/>
      <c r="L1246" s="18"/>
      <c r="M1246" s="20"/>
      <c r="N1246" s="18"/>
    </row>
    <row r="1247">
      <c r="A1247" s="17" t="str">
        <f t="shared" si="1"/>
        <v>IOP-866</v>
      </c>
      <c r="B1247" s="18" t="s">
        <v>117</v>
      </c>
      <c r="C1247" s="18" t="s">
        <v>118</v>
      </c>
      <c r="D1247" s="18">
        <v>0.2</v>
      </c>
      <c r="E1247" s="19">
        <v>43277.0</v>
      </c>
      <c r="F1247" s="18" t="s">
        <v>81</v>
      </c>
      <c r="G1247" s="18"/>
      <c r="H1247" s="18" t="s">
        <v>119</v>
      </c>
      <c r="I1247" s="18" t="s">
        <v>120</v>
      </c>
      <c r="J1247" s="18"/>
      <c r="K1247" s="20"/>
      <c r="L1247" s="20"/>
      <c r="M1247" s="20"/>
      <c r="N1247" s="18"/>
    </row>
    <row r="1248">
      <c r="A1248" s="17" t="str">
        <f t="shared" si="1"/>
        <v>IOP-895</v>
      </c>
      <c r="B1248" s="18" t="s">
        <v>470</v>
      </c>
      <c r="C1248" s="18" t="s">
        <v>471</v>
      </c>
      <c r="D1248" s="18">
        <v>0.45</v>
      </c>
      <c r="E1248" s="19">
        <v>43277.0</v>
      </c>
      <c r="F1248" s="18" t="s">
        <v>81</v>
      </c>
      <c r="G1248" s="18"/>
      <c r="H1248" s="18" t="s">
        <v>472</v>
      </c>
      <c r="I1248" s="18" t="s">
        <v>77</v>
      </c>
      <c r="J1248" s="18"/>
      <c r="K1248" s="20"/>
      <c r="L1248" s="20"/>
      <c r="M1248" s="20"/>
      <c r="N1248" s="18"/>
    </row>
    <row r="1249">
      <c r="A1249" s="17" t="str">
        <f t="shared" si="1"/>
        <v>IV2-8</v>
      </c>
      <c r="B1249" s="18" t="s">
        <v>300</v>
      </c>
      <c r="C1249" s="18" t="s">
        <v>301</v>
      </c>
      <c r="D1249" s="18">
        <v>4.866666667</v>
      </c>
      <c r="E1249" s="19">
        <v>43277.0</v>
      </c>
      <c r="F1249" s="18" t="s">
        <v>81</v>
      </c>
      <c r="G1249" s="18"/>
      <c r="H1249" s="18" t="s">
        <v>302</v>
      </c>
      <c r="I1249" s="18" t="s">
        <v>78</v>
      </c>
      <c r="J1249" s="18"/>
      <c r="K1249" s="20"/>
      <c r="L1249" s="20"/>
      <c r="M1249" s="20"/>
      <c r="N1249" s="18"/>
    </row>
    <row r="1250">
      <c r="A1250" s="17" t="str">
        <f t="shared" si="1"/>
        <v>IOP-941</v>
      </c>
      <c r="B1250" s="18" t="s">
        <v>589</v>
      </c>
      <c r="C1250" s="18" t="s">
        <v>590</v>
      </c>
      <c r="D1250" s="18">
        <v>1.95</v>
      </c>
      <c r="E1250" s="19">
        <v>43277.0</v>
      </c>
      <c r="F1250" s="18" t="s">
        <v>81</v>
      </c>
      <c r="G1250" s="18"/>
      <c r="H1250" s="18"/>
      <c r="I1250" s="18" t="s">
        <v>132</v>
      </c>
      <c r="J1250" s="18"/>
      <c r="K1250" s="20"/>
      <c r="L1250" s="20"/>
      <c r="M1250" s="20"/>
      <c r="N1250" s="18"/>
    </row>
    <row r="1251">
      <c r="A1251" s="17" t="str">
        <f t="shared" si="1"/>
        <v>PD-1703</v>
      </c>
      <c r="B1251" s="18" t="s">
        <v>591</v>
      </c>
      <c r="C1251" s="18" t="s">
        <v>592</v>
      </c>
      <c r="D1251" s="18">
        <v>0.333333333</v>
      </c>
      <c r="E1251" s="19">
        <v>43277.0</v>
      </c>
      <c r="F1251" s="18" t="s">
        <v>81</v>
      </c>
      <c r="G1251" s="18" t="s">
        <v>592</v>
      </c>
      <c r="H1251" s="18"/>
      <c r="I1251" s="18" t="s">
        <v>81</v>
      </c>
      <c r="J1251" s="18"/>
      <c r="K1251" s="20"/>
      <c r="L1251" s="20"/>
      <c r="M1251" s="20"/>
      <c r="N1251" s="18"/>
    </row>
    <row r="1252">
      <c r="A1252" s="17" t="str">
        <f t="shared" si="1"/>
        <v>IOP-867</v>
      </c>
      <c r="B1252" s="18" t="s">
        <v>143</v>
      </c>
      <c r="C1252" s="18" t="s">
        <v>144</v>
      </c>
      <c r="D1252" s="18">
        <v>0.116666667</v>
      </c>
      <c r="E1252" s="19">
        <v>43278.0</v>
      </c>
      <c r="F1252" s="18" t="s">
        <v>81</v>
      </c>
      <c r="G1252" s="18"/>
      <c r="H1252" s="18" t="s">
        <v>119</v>
      </c>
      <c r="I1252" s="18" t="s">
        <v>120</v>
      </c>
      <c r="J1252" s="18"/>
      <c r="K1252" s="20"/>
      <c r="L1252" s="20"/>
      <c r="M1252" s="18"/>
      <c r="N1252" s="18"/>
    </row>
    <row r="1253">
      <c r="A1253" s="17" t="str">
        <f t="shared" si="1"/>
        <v>IOP-866</v>
      </c>
      <c r="B1253" s="18" t="s">
        <v>117</v>
      </c>
      <c r="C1253" s="18" t="s">
        <v>118</v>
      </c>
      <c r="D1253" s="18">
        <v>0.066666667</v>
      </c>
      <c r="E1253" s="19">
        <v>43278.0</v>
      </c>
      <c r="F1253" s="18" t="s">
        <v>81</v>
      </c>
      <c r="G1253" s="18"/>
      <c r="H1253" s="18" t="s">
        <v>119</v>
      </c>
      <c r="I1253" s="18" t="s">
        <v>120</v>
      </c>
      <c r="J1253" s="18"/>
      <c r="K1253" s="20"/>
      <c r="L1253" s="20"/>
      <c r="M1253" s="18"/>
      <c r="N1253" s="18"/>
    </row>
    <row r="1254">
      <c r="A1254" s="17" t="str">
        <f t="shared" si="1"/>
        <v>IV2-8</v>
      </c>
      <c r="B1254" s="18" t="s">
        <v>300</v>
      </c>
      <c r="C1254" s="18" t="s">
        <v>301</v>
      </c>
      <c r="D1254" s="18">
        <v>6.616666667</v>
      </c>
      <c r="E1254" s="19">
        <v>43278.0</v>
      </c>
      <c r="F1254" s="18" t="s">
        <v>81</v>
      </c>
      <c r="G1254" s="18"/>
      <c r="H1254" s="18" t="s">
        <v>302</v>
      </c>
      <c r="I1254" s="18" t="s">
        <v>78</v>
      </c>
      <c r="J1254" s="18"/>
      <c r="K1254" s="20"/>
      <c r="L1254" s="20"/>
      <c r="M1254" s="20"/>
      <c r="N1254" s="18"/>
    </row>
    <row r="1255">
      <c r="A1255" s="17" t="str">
        <f t="shared" si="1"/>
        <v>IOP-879</v>
      </c>
      <c r="B1255" s="18" t="s">
        <v>155</v>
      </c>
      <c r="C1255" s="18" t="s">
        <v>156</v>
      </c>
      <c r="D1255" s="18">
        <v>0.666666667</v>
      </c>
      <c r="E1255" s="19">
        <v>43278.0</v>
      </c>
      <c r="F1255" s="18" t="s">
        <v>81</v>
      </c>
      <c r="G1255" s="18"/>
      <c r="H1255" s="18" t="s">
        <v>157</v>
      </c>
      <c r="I1255" s="18" t="s">
        <v>120</v>
      </c>
      <c r="J1255" s="18"/>
      <c r="K1255" s="20"/>
      <c r="L1255" s="20"/>
      <c r="M1255" s="20"/>
      <c r="N1255" s="18"/>
    </row>
    <row r="1256">
      <c r="A1256" s="17" t="str">
        <f t="shared" si="1"/>
        <v>IOP-941</v>
      </c>
      <c r="B1256" s="18" t="s">
        <v>589</v>
      </c>
      <c r="C1256" s="18" t="s">
        <v>590</v>
      </c>
      <c r="D1256" s="18">
        <v>0.466666667</v>
      </c>
      <c r="E1256" s="19">
        <v>43278.0</v>
      </c>
      <c r="F1256" s="18" t="s">
        <v>81</v>
      </c>
      <c r="G1256" s="18"/>
      <c r="H1256" s="18"/>
      <c r="I1256" s="18" t="s">
        <v>132</v>
      </c>
      <c r="J1256" s="18"/>
      <c r="K1256" s="20"/>
      <c r="L1256" s="20"/>
      <c r="M1256" s="20"/>
      <c r="N1256" s="18"/>
    </row>
    <row r="1257">
      <c r="A1257" s="17" t="str">
        <f t="shared" si="1"/>
        <v>IOP-867</v>
      </c>
      <c r="B1257" s="18" t="s">
        <v>143</v>
      </c>
      <c r="C1257" s="18" t="s">
        <v>144</v>
      </c>
      <c r="D1257" s="18">
        <v>0.083333333</v>
      </c>
      <c r="E1257" s="19">
        <v>43279.0</v>
      </c>
      <c r="F1257" s="18" t="s">
        <v>81</v>
      </c>
      <c r="G1257" s="18"/>
      <c r="H1257" s="18" t="s">
        <v>119</v>
      </c>
      <c r="I1257" s="18" t="s">
        <v>120</v>
      </c>
      <c r="J1257" s="18"/>
      <c r="K1257" s="20"/>
      <c r="L1257" s="20"/>
      <c r="M1257" s="20"/>
      <c r="N1257" s="18"/>
    </row>
    <row r="1258">
      <c r="A1258" s="17" t="str">
        <f t="shared" si="1"/>
        <v>IOP-866</v>
      </c>
      <c r="B1258" s="18" t="s">
        <v>117</v>
      </c>
      <c r="C1258" s="18" t="s">
        <v>118</v>
      </c>
      <c r="D1258" s="18">
        <v>0.15</v>
      </c>
      <c r="E1258" s="19">
        <v>43279.0</v>
      </c>
      <c r="F1258" s="18" t="s">
        <v>81</v>
      </c>
      <c r="G1258" s="18"/>
      <c r="H1258" s="18" t="s">
        <v>119</v>
      </c>
      <c r="I1258" s="18" t="s">
        <v>120</v>
      </c>
      <c r="J1258" s="18"/>
      <c r="K1258" s="20"/>
      <c r="L1258" s="20"/>
      <c r="M1258" s="20"/>
      <c r="N1258" s="18"/>
    </row>
    <row r="1259">
      <c r="A1259" s="17" t="str">
        <f t="shared" si="1"/>
        <v>IOP-945</v>
      </c>
      <c r="B1259" s="18" t="s">
        <v>593</v>
      </c>
      <c r="C1259" s="18" t="s">
        <v>472</v>
      </c>
      <c r="D1259" s="18">
        <v>0.116666667</v>
      </c>
      <c r="E1259" s="19">
        <v>43279.0</v>
      </c>
      <c r="F1259" s="18" t="s">
        <v>81</v>
      </c>
      <c r="G1259" s="18" t="s">
        <v>472</v>
      </c>
      <c r="H1259" s="18"/>
      <c r="I1259" s="18" t="s">
        <v>77</v>
      </c>
      <c r="J1259" s="18"/>
      <c r="K1259" s="20"/>
      <c r="L1259" s="20"/>
      <c r="M1259" s="20"/>
      <c r="N1259" s="18"/>
    </row>
    <row r="1260">
      <c r="A1260" s="17" t="str">
        <f t="shared" si="1"/>
        <v>IV2-12</v>
      </c>
      <c r="B1260" s="18" t="s">
        <v>405</v>
      </c>
      <c r="C1260" s="18" t="s">
        <v>406</v>
      </c>
      <c r="D1260" s="18">
        <v>0.616666667</v>
      </c>
      <c r="E1260" s="19">
        <v>43279.0</v>
      </c>
      <c r="F1260" s="18" t="s">
        <v>81</v>
      </c>
      <c r="G1260" s="18"/>
      <c r="H1260" s="18" t="s">
        <v>302</v>
      </c>
      <c r="I1260" s="18" t="s">
        <v>81</v>
      </c>
      <c r="J1260" s="18"/>
      <c r="K1260" s="20"/>
      <c r="L1260" s="20"/>
      <c r="M1260" s="20"/>
      <c r="N1260" s="18"/>
    </row>
    <row r="1261">
      <c r="A1261" s="17" t="str">
        <f t="shared" si="1"/>
        <v>IV2-8</v>
      </c>
      <c r="B1261" s="18" t="s">
        <v>300</v>
      </c>
      <c r="C1261" s="18" t="s">
        <v>301</v>
      </c>
      <c r="D1261" s="18">
        <v>6.383333333</v>
      </c>
      <c r="E1261" s="19">
        <v>43279.0</v>
      </c>
      <c r="F1261" s="18" t="s">
        <v>81</v>
      </c>
      <c r="G1261" s="18"/>
      <c r="H1261" s="18" t="s">
        <v>302</v>
      </c>
      <c r="I1261" s="18" t="s">
        <v>78</v>
      </c>
      <c r="J1261" s="18"/>
      <c r="K1261" s="20"/>
      <c r="L1261" s="20"/>
      <c r="M1261" s="20"/>
      <c r="N1261" s="18"/>
    </row>
    <row r="1262">
      <c r="A1262" s="17" t="str">
        <f t="shared" si="1"/>
        <v>IOP-867</v>
      </c>
      <c r="B1262" s="18" t="s">
        <v>143</v>
      </c>
      <c r="C1262" s="18" t="s">
        <v>144</v>
      </c>
      <c r="D1262" s="18">
        <v>0.1</v>
      </c>
      <c r="E1262" s="19">
        <v>43280.0</v>
      </c>
      <c r="F1262" s="18" t="s">
        <v>81</v>
      </c>
      <c r="G1262" s="18"/>
      <c r="H1262" s="18" t="s">
        <v>119</v>
      </c>
      <c r="I1262" s="18" t="s">
        <v>120</v>
      </c>
      <c r="J1262" s="18"/>
      <c r="K1262" s="20"/>
      <c r="L1262" s="20"/>
      <c r="M1262" s="20"/>
      <c r="N1262" s="18"/>
    </row>
    <row r="1263">
      <c r="A1263" s="17" t="str">
        <f t="shared" si="1"/>
        <v>IOP-866</v>
      </c>
      <c r="B1263" s="18" t="s">
        <v>117</v>
      </c>
      <c r="C1263" s="18" t="s">
        <v>118</v>
      </c>
      <c r="D1263" s="18">
        <v>0.083333333</v>
      </c>
      <c r="E1263" s="19">
        <v>43280.0</v>
      </c>
      <c r="F1263" s="18" t="s">
        <v>81</v>
      </c>
      <c r="G1263" s="18"/>
      <c r="H1263" s="18" t="s">
        <v>119</v>
      </c>
      <c r="I1263" s="18" t="s">
        <v>120</v>
      </c>
      <c r="J1263" s="18"/>
      <c r="K1263" s="20"/>
      <c r="L1263" s="20"/>
      <c r="M1263" s="20"/>
      <c r="N1263" s="18"/>
    </row>
    <row r="1264">
      <c r="A1264" s="17" t="str">
        <f t="shared" si="1"/>
        <v>IV2-12</v>
      </c>
      <c r="B1264" s="18" t="s">
        <v>405</v>
      </c>
      <c r="C1264" s="18" t="s">
        <v>406</v>
      </c>
      <c r="D1264" s="18">
        <v>1.833333333</v>
      </c>
      <c r="E1264" s="19">
        <v>43280.0</v>
      </c>
      <c r="F1264" s="18" t="s">
        <v>81</v>
      </c>
      <c r="G1264" s="18"/>
      <c r="H1264" s="18" t="s">
        <v>302</v>
      </c>
      <c r="I1264" s="18" t="s">
        <v>81</v>
      </c>
      <c r="J1264" s="18"/>
      <c r="K1264" s="20"/>
      <c r="L1264" s="20"/>
      <c r="M1264" s="20"/>
      <c r="N1264" s="18"/>
    </row>
    <row r="1265">
      <c r="A1265" s="17" t="str">
        <f t="shared" si="1"/>
        <v>IV2-8</v>
      </c>
      <c r="B1265" s="18" t="s">
        <v>300</v>
      </c>
      <c r="C1265" s="18" t="s">
        <v>301</v>
      </c>
      <c r="D1265" s="18">
        <v>5.3</v>
      </c>
      <c r="E1265" s="19">
        <v>43280.0</v>
      </c>
      <c r="F1265" s="18" t="s">
        <v>81</v>
      </c>
      <c r="G1265" s="18"/>
      <c r="H1265" s="18" t="s">
        <v>302</v>
      </c>
      <c r="I1265" s="18" t="s">
        <v>78</v>
      </c>
      <c r="J1265" s="18"/>
      <c r="K1265" s="20"/>
      <c r="L1265" s="20"/>
      <c r="M1265" s="20"/>
      <c r="N1265" s="18"/>
    </row>
    <row r="1266">
      <c r="A1266" s="17" t="str">
        <f t="shared" si="1"/>
        <v>IOP-875</v>
      </c>
      <c r="B1266" s="18" t="s">
        <v>123</v>
      </c>
      <c r="C1266" s="18" t="s">
        <v>124</v>
      </c>
      <c r="D1266" s="18">
        <v>0.366666667</v>
      </c>
      <c r="E1266" s="19">
        <v>43280.0</v>
      </c>
      <c r="F1266" s="18" t="s">
        <v>81</v>
      </c>
      <c r="G1266" s="18"/>
      <c r="H1266" s="18" t="s">
        <v>125</v>
      </c>
      <c r="I1266" s="18" t="s">
        <v>120</v>
      </c>
      <c r="J1266" s="18"/>
      <c r="K1266" s="20"/>
      <c r="L1266" s="20"/>
      <c r="M1266" s="20"/>
      <c r="N1266" s="18"/>
    </row>
    <row r="1267">
      <c r="A1267" s="17" t="str">
        <f t="shared" si="1"/>
        <v>PD-1680</v>
      </c>
      <c r="B1267" s="18" t="s">
        <v>340</v>
      </c>
      <c r="C1267" s="18" t="s">
        <v>341</v>
      </c>
      <c r="D1267" s="18">
        <v>0.083333333</v>
      </c>
      <c r="E1267" s="19">
        <v>43280.0</v>
      </c>
      <c r="F1267" s="18" t="s">
        <v>81</v>
      </c>
      <c r="G1267" s="18"/>
      <c r="H1267" s="18" t="s">
        <v>88</v>
      </c>
      <c r="I1267" s="18" t="s">
        <v>132</v>
      </c>
      <c r="J1267" s="18"/>
      <c r="K1267" s="20"/>
      <c r="L1267" s="20"/>
      <c r="M1267" s="20"/>
      <c r="N1267" s="18"/>
    </row>
    <row r="1268">
      <c r="A1268" s="17" t="str">
        <f t="shared" si="1"/>
        <v>IOP-867</v>
      </c>
      <c r="B1268" s="18" t="s">
        <v>143</v>
      </c>
      <c r="C1268" s="18" t="s">
        <v>144</v>
      </c>
      <c r="D1268" s="18">
        <v>0.133333333</v>
      </c>
      <c r="E1268" s="19">
        <v>43284.0</v>
      </c>
      <c r="F1268" s="18" t="s">
        <v>81</v>
      </c>
      <c r="G1268" s="18"/>
      <c r="H1268" s="18" t="s">
        <v>119</v>
      </c>
      <c r="I1268" s="18" t="s">
        <v>120</v>
      </c>
      <c r="J1268" s="18"/>
      <c r="K1268" s="20"/>
      <c r="L1268" s="20"/>
      <c r="M1268" s="20"/>
      <c r="N1268" s="18"/>
    </row>
    <row r="1269">
      <c r="A1269" s="17" t="str">
        <f t="shared" si="1"/>
        <v>IOP-866</v>
      </c>
      <c r="B1269" s="18" t="s">
        <v>117</v>
      </c>
      <c r="C1269" s="18" t="s">
        <v>118</v>
      </c>
      <c r="D1269" s="18">
        <v>0.066666667</v>
      </c>
      <c r="E1269" s="19">
        <v>43284.0</v>
      </c>
      <c r="F1269" s="18" t="s">
        <v>81</v>
      </c>
      <c r="G1269" s="18"/>
      <c r="H1269" s="18" t="s">
        <v>119</v>
      </c>
      <c r="I1269" s="18" t="s">
        <v>120</v>
      </c>
      <c r="J1269" s="18"/>
      <c r="K1269" s="20"/>
      <c r="L1269" s="20"/>
      <c r="M1269" s="20"/>
      <c r="N1269" s="18"/>
    </row>
    <row r="1270">
      <c r="A1270" s="17" t="str">
        <f t="shared" si="1"/>
        <v>IV2-8</v>
      </c>
      <c r="B1270" s="18" t="s">
        <v>300</v>
      </c>
      <c r="C1270" s="18" t="s">
        <v>301</v>
      </c>
      <c r="D1270" s="18">
        <v>2.766666667</v>
      </c>
      <c r="E1270" s="19">
        <v>43284.0</v>
      </c>
      <c r="F1270" s="18" t="s">
        <v>81</v>
      </c>
      <c r="G1270" s="18"/>
      <c r="H1270" s="18" t="s">
        <v>302</v>
      </c>
      <c r="I1270" s="18" t="s">
        <v>78</v>
      </c>
      <c r="J1270" s="18"/>
      <c r="K1270" s="20"/>
      <c r="L1270" s="20"/>
      <c r="M1270" s="20"/>
      <c r="N1270" s="18"/>
    </row>
    <row r="1271">
      <c r="A1271" s="17" t="str">
        <f t="shared" si="1"/>
        <v>IV2-28</v>
      </c>
      <c r="B1271" s="18" t="s">
        <v>377</v>
      </c>
      <c r="C1271" s="18" t="s">
        <v>378</v>
      </c>
      <c r="D1271" s="18">
        <v>3.1</v>
      </c>
      <c r="E1271" s="19">
        <v>43284.0</v>
      </c>
      <c r="F1271" s="18" t="s">
        <v>81</v>
      </c>
      <c r="G1271" s="18"/>
      <c r="H1271" s="18" t="s">
        <v>302</v>
      </c>
      <c r="I1271" s="18" t="s">
        <v>81</v>
      </c>
      <c r="J1271" s="18"/>
      <c r="K1271" s="20"/>
      <c r="L1271" s="20"/>
      <c r="M1271" s="20"/>
      <c r="N1271" s="18"/>
    </row>
    <row r="1272">
      <c r="A1272" s="17" t="str">
        <f t="shared" si="1"/>
        <v>IOP-867</v>
      </c>
      <c r="B1272" s="18" t="s">
        <v>143</v>
      </c>
      <c r="C1272" s="18" t="s">
        <v>144</v>
      </c>
      <c r="D1272" s="18">
        <v>0.083333333</v>
      </c>
      <c r="E1272" s="19">
        <v>43285.0</v>
      </c>
      <c r="F1272" s="18" t="s">
        <v>81</v>
      </c>
      <c r="G1272" s="18"/>
      <c r="H1272" s="18" t="s">
        <v>119</v>
      </c>
      <c r="I1272" s="18" t="s">
        <v>120</v>
      </c>
      <c r="J1272" s="18"/>
      <c r="K1272" s="20"/>
      <c r="L1272" s="20"/>
      <c r="M1272" s="20"/>
      <c r="N1272" s="18"/>
    </row>
    <row r="1273">
      <c r="A1273" s="17" t="str">
        <f t="shared" si="1"/>
        <v>IOP-866</v>
      </c>
      <c r="B1273" s="18" t="s">
        <v>117</v>
      </c>
      <c r="C1273" s="18" t="s">
        <v>118</v>
      </c>
      <c r="D1273" s="18">
        <v>0.133333333</v>
      </c>
      <c r="E1273" s="19">
        <v>43285.0</v>
      </c>
      <c r="F1273" s="18" t="s">
        <v>81</v>
      </c>
      <c r="G1273" s="18"/>
      <c r="H1273" s="18" t="s">
        <v>119</v>
      </c>
      <c r="I1273" s="18" t="s">
        <v>120</v>
      </c>
      <c r="J1273" s="18"/>
      <c r="K1273" s="20"/>
      <c r="L1273" s="20"/>
      <c r="M1273" s="20"/>
      <c r="N1273" s="18"/>
    </row>
    <row r="1274">
      <c r="A1274" s="17" t="str">
        <f t="shared" si="1"/>
        <v>IV2-8</v>
      </c>
      <c r="B1274" s="18" t="s">
        <v>300</v>
      </c>
      <c r="C1274" s="18" t="s">
        <v>301</v>
      </c>
      <c r="D1274" s="18">
        <v>0.8</v>
      </c>
      <c r="E1274" s="19">
        <v>43285.0</v>
      </c>
      <c r="F1274" s="18" t="s">
        <v>81</v>
      </c>
      <c r="G1274" s="18"/>
      <c r="H1274" s="18" t="s">
        <v>302</v>
      </c>
      <c r="I1274" s="18" t="s">
        <v>78</v>
      </c>
      <c r="J1274" s="18"/>
      <c r="K1274" s="20"/>
      <c r="L1274" s="20"/>
      <c r="M1274" s="20"/>
      <c r="N1274" s="18"/>
    </row>
    <row r="1275">
      <c r="A1275" s="17" t="str">
        <f t="shared" si="1"/>
        <v>IV2-8</v>
      </c>
      <c r="B1275" s="18" t="s">
        <v>300</v>
      </c>
      <c r="C1275" s="18" t="s">
        <v>301</v>
      </c>
      <c r="D1275" s="18">
        <v>3.933333333</v>
      </c>
      <c r="E1275" s="19">
        <v>43285.0</v>
      </c>
      <c r="F1275" s="18" t="s">
        <v>81</v>
      </c>
      <c r="G1275" s="18"/>
      <c r="H1275" s="18" t="s">
        <v>302</v>
      </c>
      <c r="I1275" s="18" t="s">
        <v>78</v>
      </c>
      <c r="J1275" s="18"/>
      <c r="K1275" s="20"/>
      <c r="L1275" s="20"/>
      <c r="M1275" s="20"/>
      <c r="N1275" s="18"/>
    </row>
    <row r="1276">
      <c r="A1276" s="17" t="str">
        <f t="shared" si="1"/>
        <v>IOP-867</v>
      </c>
      <c r="B1276" s="18" t="s">
        <v>143</v>
      </c>
      <c r="C1276" s="18" t="s">
        <v>144</v>
      </c>
      <c r="D1276" s="18">
        <v>0.216666667</v>
      </c>
      <c r="E1276" s="19">
        <v>43286.0</v>
      </c>
      <c r="F1276" s="18" t="s">
        <v>81</v>
      </c>
      <c r="G1276" s="18"/>
      <c r="H1276" s="18" t="s">
        <v>119</v>
      </c>
      <c r="I1276" s="18" t="s">
        <v>120</v>
      </c>
      <c r="J1276" s="18"/>
      <c r="K1276" s="20"/>
      <c r="L1276" s="20"/>
      <c r="M1276" s="20"/>
      <c r="N1276" s="18"/>
    </row>
    <row r="1277">
      <c r="A1277" s="17" t="str">
        <f t="shared" si="1"/>
        <v>IOP-866</v>
      </c>
      <c r="B1277" s="18" t="s">
        <v>117</v>
      </c>
      <c r="C1277" s="18" t="s">
        <v>118</v>
      </c>
      <c r="D1277" s="18">
        <v>0.116666667</v>
      </c>
      <c r="E1277" s="19">
        <v>43286.0</v>
      </c>
      <c r="F1277" s="18" t="s">
        <v>81</v>
      </c>
      <c r="G1277" s="18"/>
      <c r="H1277" s="18" t="s">
        <v>119</v>
      </c>
      <c r="I1277" s="18" t="s">
        <v>120</v>
      </c>
      <c r="J1277" s="18"/>
      <c r="K1277" s="20"/>
      <c r="L1277" s="20"/>
      <c r="M1277" s="20"/>
      <c r="N1277" s="18"/>
    </row>
    <row r="1278">
      <c r="A1278" s="17" t="str">
        <f t="shared" si="1"/>
        <v>PD-1327</v>
      </c>
      <c r="B1278" s="18" t="s">
        <v>205</v>
      </c>
      <c r="C1278" s="18" t="s">
        <v>206</v>
      </c>
      <c r="D1278" s="18">
        <v>0.233333333</v>
      </c>
      <c r="E1278" s="19">
        <v>43286.0</v>
      </c>
      <c r="F1278" s="18" t="s">
        <v>81</v>
      </c>
      <c r="G1278" s="18"/>
      <c r="H1278" s="18"/>
      <c r="I1278" s="18" t="s">
        <v>77</v>
      </c>
      <c r="J1278" s="18"/>
      <c r="K1278" s="20"/>
      <c r="L1278" s="20"/>
      <c r="M1278" s="20"/>
      <c r="N1278" s="18"/>
    </row>
    <row r="1279">
      <c r="A1279" s="17" t="str">
        <f t="shared" si="1"/>
        <v>IV2-28</v>
      </c>
      <c r="B1279" s="18" t="s">
        <v>377</v>
      </c>
      <c r="C1279" s="18" t="s">
        <v>378</v>
      </c>
      <c r="D1279" s="18">
        <v>6.533333333</v>
      </c>
      <c r="E1279" s="19">
        <v>43286.0</v>
      </c>
      <c r="F1279" s="18" t="s">
        <v>81</v>
      </c>
      <c r="G1279" s="18"/>
      <c r="H1279" s="18" t="s">
        <v>302</v>
      </c>
      <c r="I1279" s="18" t="s">
        <v>81</v>
      </c>
      <c r="J1279" s="18"/>
      <c r="K1279" s="20"/>
      <c r="L1279" s="18"/>
      <c r="M1279" s="20"/>
      <c r="N1279" s="18"/>
    </row>
    <row r="1280">
      <c r="A1280" s="17" t="str">
        <f t="shared" si="1"/>
        <v>PD-1343</v>
      </c>
      <c r="B1280" s="18" t="s">
        <v>401</v>
      </c>
      <c r="C1280" s="18" t="s">
        <v>402</v>
      </c>
      <c r="D1280" s="18">
        <v>0.116666667</v>
      </c>
      <c r="E1280" s="19">
        <v>43286.0</v>
      </c>
      <c r="F1280" s="18" t="s">
        <v>81</v>
      </c>
      <c r="G1280" s="18"/>
      <c r="H1280" s="18" t="s">
        <v>96</v>
      </c>
      <c r="I1280" s="18" t="s">
        <v>81</v>
      </c>
      <c r="J1280" s="18"/>
      <c r="K1280" s="20"/>
      <c r="L1280" s="18"/>
      <c r="M1280" s="20"/>
      <c r="N1280" s="18"/>
    </row>
    <row r="1281">
      <c r="A1281" s="17" t="str">
        <f t="shared" si="1"/>
        <v>IOP-867</v>
      </c>
      <c r="B1281" s="18" t="s">
        <v>143</v>
      </c>
      <c r="C1281" s="18" t="s">
        <v>144</v>
      </c>
      <c r="D1281" s="18">
        <v>0.116666667</v>
      </c>
      <c r="E1281" s="19">
        <v>43287.0</v>
      </c>
      <c r="F1281" s="18" t="s">
        <v>81</v>
      </c>
      <c r="G1281" s="18"/>
      <c r="H1281" s="18" t="s">
        <v>119</v>
      </c>
      <c r="I1281" s="18" t="s">
        <v>120</v>
      </c>
      <c r="J1281" s="18"/>
      <c r="K1281" s="20"/>
      <c r="L1281" s="18"/>
      <c r="M1281" s="20"/>
      <c r="N1281" s="18"/>
    </row>
    <row r="1282">
      <c r="A1282" s="17" t="str">
        <f t="shared" si="1"/>
        <v>IOP-866</v>
      </c>
      <c r="B1282" s="18" t="s">
        <v>117</v>
      </c>
      <c r="C1282" s="18" t="s">
        <v>118</v>
      </c>
      <c r="D1282" s="18">
        <v>0.15</v>
      </c>
      <c r="E1282" s="19">
        <v>43287.0</v>
      </c>
      <c r="F1282" s="18" t="s">
        <v>81</v>
      </c>
      <c r="G1282" s="18"/>
      <c r="H1282" s="18" t="s">
        <v>119</v>
      </c>
      <c r="I1282" s="18" t="s">
        <v>120</v>
      </c>
      <c r="J1282" s="18"/>
      <c r="K1282" s="20"/>
      <c r="L1282" s="18"/>
      <c r="M1282" s="20"/>
      <c r="N1282" s="18"/>
    </row>
    <row r="1283">
      <c r="A1283" s="17" t="str">
        <f t="shared" si="1"/>
        <v>IV2-30</v>
      </c>
      <c r="B1283" s="18" t="s">
        <v>594</v>
      </c>
      <c r="C1283" s="18" t="s">
        <v>553</v>
      </c>
      <c r="D1283" s="18">
        <v>3.266666667</v>
      </c>
      <c r="E1283" s="19">
        <v>43287.0</v>
      </c>
      <c r="F1283" s="18" t="s">
        <v>81</v>
      </c>
      <c r="G1283" s="18" t="s">
        <v>553</v>
      </c>
      <c r="H1283" s="18"/>
      <c r="I1283" s="18" t="s">
        <v>77</v>
      </c>
      <c r="J1283" s="18"/>
      <c r="K1283" s="20"/>
      <c r="L1283" s="18"/>
      <c r="M1283" s="20"/>
      <c r="N1283" s="18"/>
    </row>
    <row r="1284">
      <c r="A1284" s="17" t="str">
        <f t="shared" si="1"/>
        <v>IV2-28</v>
      </c>
      <c r="B1284" s="18" t="s">
        <v>377</v>
      </c>
      <c r="C1284" s="18" t="s">
        <v>378</v>
      </c>
      <c r="D1284" s="18">
        <v>4.133333333</v>
      </c>
      <c r="E1284" s="19">
        <v>43287.0</v>
      </c>
      <c r="F1284" s="18" t="s">
        <v>81</v>
      </c>
      <c r="G1284" s="18"/>
      <c r="H1284" s="18" t="s">
        <v>302</v>
      </c>
      <c r="I1284" s="18" t="s">
        <v>81</v>
      </c>
      <c r="J1284" s="18"/>
      <c r="K1284" s="20"/>
      <c r="L1284" s="18"/>
      <c r="M1284" s="20"/>
      <c r="N1284" s="18"/>
    </row>
    <row r="1285">
      <c r="A1285" s="17" t="str">
        <f t="shared" si="1"/>
        <v>IOP-867</v>
      </c>
      <c r="B1285" s="18" t="s">
        <v>143</v>
      </c>
      <c r="C1285" s="18" t="s">
        <v>144</v>
      </c>
      <c r="D1285" s="18">
        <v>0.116666667</v>
      </c>
      <c r="E1285" s="19">
        <v>43290.0</v>
      </c>
      <c r="F1285" s="18" t="s">
        <v>81</v>
      </c>
      <c r="G1285" s="18"/>
      <c r="H1285" s="18" t="s">
        <v>119</v>
      </c>
      <c r="I1285" s="18" t="s">
        <v>120</v>
      </c>
      <c r="J1285" s="18"/>
      <c r="K1285" s="20"/>
      <c r="L1285" s="18"/>
      <c r="M1285" s="20"/>
      <c r="N1285" s="18"/>
    </row>
    <row r="1286">
      <c r="A1286" s="17" t="str">
        <f t="shared" si="1"/>
        <v>IOP-866</v>
      </c>
      <c r="B1286" s="18" t="s">
        <v>117</v>
      </c>
      <c r="C1286" s="18" t="s">
        <v>118</v>
      </c>
      <c r="D1286" s="18">
        <v>0.133333333</v>
      </c>
      <c r="E1286" s="19">
        <v>43290.0</v>
      </c>
      <c r="F1286" s="18" t="s">
        <v>81</v>
      </c>
      <c r="G1286" s="18"/>
      <c r="H1286" s="18" t="s">
        <v>119</v>
      </c>
      <c r="I1286" s="18" t="s">
        <v>120</v>
      </c>
      <c r="J1286" s="18"/>
      <c r="K1286" s="20"/>
      <c r="L1286" s="20"/>
      <c r="M1286" s="18"/>
      <c r="N1286" s="18"/>
    </row>
    <row r="1287">
      <c r="A1287" s="17" t="str">
        <f t="shared" si="1"/>
        <v>IV2-30</v>
      </c>
      <c r="B1287" s="18" t="s">
        <v>594</v>
      </c>
      <c r="C1287" s="18" t="s">
        <v>553</v>
      </c>
      <c r="D1287" s="18">
        <v>1.766666667</v>
      </c>
      <c r="E1287" s="19">
        <v>43290.0</v>
      </c>
      <c r="F1287" s="18" t="s">
        <v>81</v>
      </c>
      <c r="G1287" s="18" t="s">
        <v>553</v>
      </c>
      <c r="H1287" s="18"/>
      <c r="I1287" s="18" t="s">
        <v>77</v>
      </c>
      <c r="J1287" s="18"/>
      <c r="K1287" s="20"/>
      <c r="L1287" s="20"/>
      <c r="M1287" s="20"/>
      <c r="N1287" s="18"/>
    </row>
    <row r="1288">
      <c r="A1288" s="17" t="str">
        <f t="shared" si="1"/>
        <v>IV2-31</v>
      </c>
      <c r="B1288" s="18" t="s">
        <v>571</v>
      </c>
      <c r="C1288" s="18" t="s">
        <v>572</v>
      </c>
      <c r="D1288" s="18">
        <v>0.85</v>
      </c>
      <c r="E1288" s="19">
        <v>43290.0</v>
      </c>
      <c r="F1288" s="18" t="s">
        <v>81</v>
      </c>
      <c r="G1288" s="18"/>
      <c r="H1288" s="18" t="s">
        <v>302</v>
      </c>
      <c r="I1288" s="18" t="s">
        <v>81</v>
      </c>
      <c r="J1288" s="18"/>
      <c r="K1288" s="20"/>
      <c r="L1288" s="20"/>
      <c r="M1288" s="20"/>
      <c r="N1288" s="18"/>
    </row>
    <row r="1289">
      <c r="A1289" s="17" t="str">
        <f t="shared" si="1"/>
        <v>IV2-28</v>
      </c>
      <c r="B1289" s="18" t="s">
        <v>377</v>
      </c>
      <c r="C1289" s="18" t="s">
        <v>378</v>
      </c>
      <c r="D1289" s="18">
        <v>3.583333333</v>
      </c>
      <c r="E1289" s="19">
        <v>43290.0</v>
      </c>
      <c r="F1289" s="18" t="s">
        <v>81</v>
      </c>
      <c r="G1289" s="18"/>
      <c r="H1289" s="18" t="s">
        <v>302</v>
      </c>
      <c r="I1289" s="18" t="s">
        <v>81</v>
      </c>
      <c r="J1289" s="18"/>
      <c r="K1289" s="20"/>
      <c r="L1289" s="18"/>
      <c r="M1289" s="20"/>
      <c r="N1289" s="18"/>
    </row>
    <row r="1290">
      <c r="A1290" s="17" t="str">
        <f t="shared" si="1"/>
        <v>IV2-13</v>
      </c>
      <c r="B1290" s="18" t="s">
        <v>409</v>
      </c>
      <c r="C1290" s="18" t="s">
        <v>410</v>
      </c>
      <c r="D1290" s="18">
        <v>0.2</v>
      </c>
      <c r="E1290" s="19">
        <v>43290.0</v>
      </c>
      <c r="F1290" s="18" t="s">
        <v>81</v>
      </c>
      <c r="G1290" s="18"/>
      <c r="H1290" s="18" t="s">
        <v>302</v>
      </c>
      <c r="I1290" s="18" t="s">
        <v>81</v>
      </c>
      <c r="J1290" s="18"/>
      <c r="K1290" s="20"/>
      <c r="L1290" s="18"/>
      <c r="M1290" s="20"/>
      <c r="N1290" s="18"/>
    </row>
    <row r="1291">
      <c r="A1291" s="17" t="str">
        <f t="shared" si="1"/>
        <v>PD-1440</v>
      </c>
      <c r="B1291" s="18" t="s">
        <v>158</v>
      </c>
      <c r="C1291" s="18" t="s">
        <v>159</v>
      </c>
      <c r="D1291" s="18">
        <v>0.35</v>
      </c>
      <c r="E1291" s="19">
        <v>43290.0</v>
      </c>
      <c r="F1291" s="18" t="s">
        <v>81</v>
      </c>
      <c r="G1291" s="18"/>
      <c r="H1291" s="18"/>
      <c r="I1291" s="18" t="s">
        <v>81</v>
      </c>
      <c r="J1291" s="18"/>
      <c r="K1291" s="20"/>
      <c r="L1291" s="18"/>
      <c r="M1291" s="20"/>
      <c r="N1291" s="18"/>
    </row>
    <row r="1292">
      <c r="A1292" s="17" t="str">
        <f t="shared" si="1"/>
        <v>IV2-7</v>
      </c>
      <c r="B1292" s="18" t="s">
        <v>403</v>
      </c>
      <c r="C1292" s="18" t="s">
        <v>404</v>
      </c>
      <c r="D1292" s="18">
        <v>1.133333333</v>
      </c>
      <c r="E1292" s="19">
        <v>43290.0</v>
      </c>
      <c r="F1292" s="18" t="s">
        <v>81</v>
      </c>
      <c r="G1292" s="18"/>
      <c r="H1292" s="18" t="s">
        <v>302</v>
      </c>
      <c r="I1292" s="18" t="s">
        <v>81</v>
      </c>
      <c r="J1292" s="18"/>
      <c r="K1292" s="20"/>
      <c r="L1292" s="18"/>
      <c r="M1292" s="20"/>
      <c r="N1292" s="18"/>
    </row>
    <row r="1293">
      <c r="A1293" s="17" t="str">
        <f t="shared" si="1"/>
        <v>IOP-867</v>
      </c>
      <c r="B1293" s="18" t="s">
        <v>143</v>
      </c>
      <c r="C1293" s="18" t="s">
        <v>144</v>
      </c>
      <c r="D1293" s="18">
        <v>0.133333333</v>
      </c>
      <c r="E1293" s="19">
        <v>43291.0</v>
      </c>
      <c r="F1293" s="18" t="s">
        <v>81</v>
      </c>
      <c r="G1293" s="18"/>
      <c r="H1293" s="18" t="s">
        <v>119</v>
      </c>
      <c r="I1293" s="18" t="s">
        <v>120</v>
      </c>
      <c r="J1293" s="18"/>
      <c r="K1293" s="20"/>
      <c r="L1293" s="18"/>
      <c r="M1293" s="20"/>
      <c r="N1293" s="18"/>
    </row>
    <row r="1294">
      <c r="A1294" s="17" t="str">
        <f t="shared" si="1"/>
        <v>IOP-866</v>
      </c>
      <c r="B1294" s="18" t="s">
        <v>117</v>
      </c>
      <c r="C1294" s="18" t="s">
        <v>118</v>
      </c>
      <c r="D1294" s="18">
        <v>0.083333333</v>
      </c>
      <c r="E1294" s="19">
        <v>43291.0</v>
      </c>
      <c r="F1294" s="18" t="s">
        <v>81</v>
      </c>
      <c r="G1294" s="18"/>
      <c r="H1294" s="18" t="s">
        <v>119</v>
      </c>
      <c r="I1294" s="18" t="s">
        <v>120</v>
      </c>
      <c r="J1294" s="18"/>
      <c r="K1294" s="20"/>
      <c r="L1294" s="18"/>
      <c r="M1294" s="20"/>
      <c r="N1294" s="18"/>
    </row>
    <row r="1295">
      <c r="A1295" s="17" t="str">
        <f t="shared" si="1"/>
        <v>IV2-13</v>
      </c>
      <c r="B1295" s="18" t="s">
        <v>409</v>
      </c>
      <c r="C1295" s="18" t="s">
        <v>410</v>
      </c>
      <c r="D1295" s="18">
        <v>0.3</v>
      </c>
      <c r="E1295" s="19">
        <v>43291.0</v>
      </c>
      <c r="F1295" s="18" t="s">
        <v>81</v>
      </c>
      <c r="G1295" s="18"/>
      <c r="H1295" s="18" t="s">
        <v>302</v>
      </c>
      <c r="I1295" s="18" t="s">
        <v>81</v>
      </c>
      <c r="J1295" s="18"/>
      <c r="K1295" s="20"/>
      <c r="L1295" s="18"/>
      <c r="M1295" s="20"/>
      <c r="N1295" s="18"/>
    </row>
    <row r="1296">
      <c r="A1296" s="17" t="str">
        <f t="shared" si="1"/>
        <v>IV2-8</v>
      </c>
      <c r="B1296" s="18" t="s">
        <v>300</v>
      </c>
      <c r="C1296" s="18" t="s">
        <v>301</v>
      </c>
      <c r="D1296" s="18">
        <v>4.883333333</v>
      </c>
      <c r="E1296" s="19">
        <v>43291.0</v>
      </c>
      <c r="F1296" s="18" t="s">
        <v>81</v>
      </c>
      <c r="G1296" s="18"/>
      <c r="H1296" s="18" t="s">
        <v>302</v>
      </c>
      <c r="I1296" s="18" t="s">
        <v>78</v>
      </c>
      <c r="J1296" s="18"/>
      <c r="K1296" s="20"/>
      <c r="L1296" s="18"/>
      <c r="M1296" s="20"/>
      <c r="N1296" s="18"/>
    </row>
    <row r="1297">
      <c r="A1297" s="17" t="str">
        <f t="shared" si="1"/>
        <v>IV2-19</v>
      </c>
      <c r="B1297" s="18" t="s">
        <v>383</v>
      </c>
      <c r="C1297" s="18" t="s">
        <v>384</v>
      </c>
      <c r="D1297" s="18">
        <v>1.833333333</v>
      </c>
      <c r="E1297" s="19">
        <v>43291.0</v>
      </c>
      <c r="F1297" s="18" t="s">
        <v>81</v>
      </c>
      <c r="G1297" s="18"/>
      <c r="H1297" s="18" t="s">
        <v>302</v>
      </c>
      <c r="I1297" s="18" t="s">
        <v>81</v>
      </c>
      <c r="J1297" s="18"/>
      <c r="K1297" s="20"/>
      <c r="L1297" s="18"/>
      <c r="M1297" s="20"/>
      <c r="N1297" s="18"/>
    </row>
    <row r="1298">
      <c r="A1298" s="17" t="str">
        <f t="shared" si="1"/>
        <v>IV2-17</v>
      </c>
      <c r="B1298" s="18" t="s">
        <v>373</v>
      </c>
      <c r="C1298" s="18" t="s">
        <v>374</v>
      </c>
      <c r="D1298" s="18">
        <v>0.3</v>
      </c>
      <c r="E1298" s="19">
        <v>43291.0</v>
      </c>
      <c r="F1298" s="18" t="s">
        <v>81</v>
      </c>
      <c r="G1298" s="18"/>
      <c r="H1298" s="18" t="s">
        <v>302</v>
      </c>
      <c r="I1298" s="18" t="s">
        <v>81</v>
      </c>
      <c r="J1298" s="18"/>
      <c r="K1298" s="20"/>
      <c r="L1298" s="18"/>
      <c r="M1298" s="20"/>
      <c r="N1298" s="18"/>
    </row>
    <row r="1299">
      <c r="A1299" s="17" t="str">
        <f t="shared" si="1"/>
        <v>IV2-31</v>
      </c>
      <c r="B1299" s="18" t="s">
        <v>571</v>
      </c>
      <c r="C1299" s="18" t="s">
        <v>572</v>
      </c>
      <c r="D1299" s="18">
        <v>0.2</v>
      </c>
      <c r="E1299" s="19">
        <v>43291.0</v>
      </c>
      <c r="F1299" s="18" t="s">
        <v>81</v>
      </c>
      <c r="G1299" s="18"/>
      <c r="H1299" s="18" t="s">
        <v>302</v>
      </c>
      <c r="I1299" s="18" t="s">
        <v>81</v>
      </c>
      <c r="J1299" s="18"/>
      <c r="K1299" s="20"/>
      <c r="L1299" s="18"/>
      <c r="M1299" s="20"/>
      <c r="N1299" s="18"/>
    </row>
    <row r="1300">
      <c r="A1300" s="17" t="str">
        <f t="shared" si="1"/>
        <v>IV2-5</v>
      </c>
      <c r="B1300" s="18" t="s">
        <v>395</v>
      </c>
      <c r="C1300" s="18" t="s">
        <v>396</v>
      </c>
      <c r="D1300" s="18">
        <v>0.433333333</v>
      </c>
      <c r="E1300" s="19">
        <v>43291.0</v>
      </c>
      <c r="F1300" s="18" t="s">
        <v>81</v>
      </c>
      <c r="G1300" s="18"/>
      <c r="H1300" s="18" t="s">
        <v>302</v>
      </c>
      <c r="I1300" s="18" t="s">
        <v>81</v>
      </c>
      <c r="J1300" s="18"/>
      <c r="K1300" s="18"/>
      <c r="L1300" s="20"/>
      <c r="M1300" s="20"/>
      <c r="N1300" s="18"/>
    </row>
    <row r="1301">
      <c r="A1301" s="17" t="str">
        <f t="shared" si="1"/>
        <v>IOP-867</v>
      </c>
      <c r="B1301" s="18" t="s">
        <v>143</v>
      </c>
      <c r="C1301" s="18" t="s">
        <v>144</v>
      </c>
      <c r="D1301" s="18">
        <v>0.183333333</v>
      </c>
      <c r="E1301" s="19">
        <v>43292.0</v>
      </c>
      <c r="F1301" s="18" t="s">
        <v>81</v>
      </c>
      <c r="G1301" s="18"/>
      <c r="H1301" s="18" t="s">
        <v>119</v>
      </c>
      <c r="I1301" s="18" t="s">
        <v>120</v>
      </c>
      <c r="J1301" s="18"/>
      <c r="K1301" s="18"/>
      <c r="L1301" s="20"/>
      <c r="M1301" s="20"/>
      <c r="N1301" s="18"/>
    </row>
    <row r="1302">
      <c r="A1302" s="17" t="str">
        <f t="shared" si="1"/>
        <v>IOP-866</v>
      </c>
      <c r="B1302" s="18" t="s">
        <v>117</v>
      </c>
      <c r="C1302" s="18" t="s">
        <v>118</v>
      </c>
      <c r="D1302" s="18">
        <v>0.083333333</v>
      </c>
      <c r="E1302" s="19">
        <v>43292.0</v>
      </c>
      <c r="F1302" s="18" t="s">
        <v>81</v>
      </c>
      <c r="G1302" s="18"/>
      <c r="H1302" s="18" t="s">
        <v>119</v>
      </c>
      <c r="I1302" s="18" t="s">
        <v>120</v>
      </c>
      <c r="J1302" s="18"/>
      <c r="K1302" s="18"/>
      <c r="L1302" s="20"/>
      <c r="M1302" s="20"/>
      <c r="N1302" s="18"/>
    </row>
    <row r="1303">
      <c r="A1303" s="17" t="str">
        <f t="shared" si="1"/>
        <v>IV2-8</v>
      </c>
      <c r="B1303" s="18" t="s">
        <v>300</v>
      </c>
      <c r="C1303" s="18" t="s">
        <v>301</v>
      </c>
      <c r="D1303" s="18">
        <v>1.033333333</v>
      </c>
      <c r="E1303" s="19">
        <v>43292.0</v>
      </c>
      <c r="F1303" s="18" t="s">
        <v>81</v>
      </c>
      <c r="G1303" s="18"/>
      <c r="H1303" s="18" t="s">
        <v>302</v>
      </c>
      <c r="I1303" s="18" t="s">
        <v>78</v>
      </c>
      <c r="J1303" s="18"/>
      <c r="K1303" s="18"/>
      <c r="L1303" s="20"/>
      <c r="M1303" s="20"/>
      <c r="N1303" s="18"/>
    </row>
    <row r="1304">
      <c r="A1304" s="17" t="str">
        <f t="shared" si="1"/>
        <v>IV2-20</v>
      </c>
      <c r="B1304" s="18" t="s">
        <v>385</v>
      </c>
      <c r="C1304" s="18" t="s">
        <v>386</v>
      </c>
      <c r="D1304" s="18">
        <v>5.983333333</v>
      </c>
      <c r="E1304" s="19">
        <v>43292.0</v>
      </c>
      <c r="F1304" s="18" t="s">
        <v>81</v>
      </c>
      <c r="G1304" s="18"/>
      <c r="H1304" s="18" t="s">
        <v>302</v>
      </c>
      <c r="I1304" s="18" t="s">
        <v>78</v>
      </c>
      <c r="J1304" s="18"/>
      <c r="K1304" s="18"/>
      <c r="L1304" s="20"/>
      <c r="M1304" s="20"/>
      <c r="N1304" s="18"/>
    </row>
    <row r="1305">
      <c r="A1305" s="17" t="str">
        <f t="shared" si="1"/>
        <v>IV2-17</v>
      </c>
      <c r="B1305" s="18" t="s">
        <v>373</v>
      </c>
      <c r="C1305" s="18" t="s">
        <v>374</v>
      </c>
      <c r="D1305" s="18">
        <v>0.216666667</v>
      </c>
      <c r="E1305" s="19">
        <v>43292.0</v>
      </c>
      <c r="F1305" s="18" t="s">
        <v>81</v>
      </c>
      <c r="G1305" s="18"/>
      <c r="H1305" s="18" t="s">
        <v>302</v>
      </c>
      <c r="I1305" s="18" t="s">
        <v>81</v>
      </c>
      <c r="J1305" s="18"/>
      <c r="K1305" s="18"/>
      <c r="L1305" s="20"/>
      <c r="M1305" s="20"/>
      <c r="N1305" s="18"/>
    </row>
    <row r="1306">
      <c r="A1306" s="17" t="str">
        <f t="shared" si="1"/>
        <v>IOP-879</v>
      </c>
      <c r="B1306" s="18" t="s">
        <v>155</v>
      </c>
      <c r="C1306" s="18" t="s">
        <v>156</v>
      </c>
      <c r="D1306" s="18">
        <v>0.616666667</v>
      </c>
      <c r="E1306" s="19">
        <v>43292.0</v>
      </c>
      <c r="F1306" s="18" t="s">
        <v>81</v>
      </c>
      <c r="G1306" s="18"/>
      <c r="H1306" s="18" t="s">
        <v>157</v>
      </c>
      <c r="I1306" s="18" t="s">
        <v>120</v>
      </c>
      <c r="J1306" s="18"/>
      <c r="K1306" s="18"/>
      <c r="L1306" s="20"/>
      <c r="M1306" s="20"/>
      <c r="N1306" s="18"/>
    </row>
    <row r="1307">
      <c r="A1307" s="17" t="str">
        <f t="shared" si="1"/>
        <v>IOP-867</v>
      </c>
      <c r="B1307" s="18" t="s">
        <v>143</v>
      </c>
      <c r="C1307" s="18" t="s">
        <v>144</v>
      </c>
      <c r="D1307" s="18">
        <v>0.116666667</v>
      </c>
      <c r="E1307" s="19">
        <v>43293.0</v>
      </c>
      <c r="F1307" s="18" t="s">
        <v>81</v>
      </c>
      <c r="G1307" s="18"/>
      <c r="H1307" s="18" t="s">
        <v>119</v>
      </c>
      <c r="I1307" s="18" t="s">
        <v>120</v>
      </c>
      <c r="J1307" s="18"/>
      <c r="K1307" s="18"/>
      <c r="L1307" s="20"/>
      <c r="M1307" s="20"/>
      <c r="N1307" s="18"/>
    </row>
    <row r="1308">
      <c r="A1308" s="17" t="str">
        <f t="shared" si="1"/>
        <v>IOP-866</v>
      </c>
      <c r="B1308" s="18" t="s">
        <v>117</v>
      </c>
      <c r="C1308" s="18" t="s">
        <v>118</v>
      </c>
      <c r="D1308" s="18">
        <v>0.083333333</v>
      </c>
      <c r="E1308" s="19">
        <v>43293.0</v>
      </c>
      <c r="F1308" s="18" t="s">
        <v>81</v>
      </c>
      <c r="G1308" s="18"/>
      <c r="H1308" s="18" t="s">
        <v>119</v>
      </c>
      <c r="I1308" s="18" t="s">
        <v>120</v>
      </c>
      <c r="J1308" s="18"/>
      <c r="K1308" s="18"/>
      <c r="L1308" s="20"/>
      <c r="M1308" s="20"/>
      <c r="N1308" s="18"/>
    </row>
    <row r="1309">
      <c r="A1309" s="17" t="str">
        <f t="shared" si="1"/>
        <v>IV2-8</v>
      </c>
      <c r="B1309" s="18" t="s">
        <v>300</v>
      </c>
      <c r="C1309" s="18" t="s">
        <v>301</v>
      </c>
      <c r="D1309" s="18">
        <v>1.083333333</v>
      </c>
      <c r="E1309" s="19">
        <v>43293.0</v>
      </c>
      <c r="F1309" s="18" t="s">
        <v>81</v>
      </c>
      <c r="G1309" s="18"/>
      <c r="H1309" s="18" t="s">
        <v>302</v>
      </c>
      <c r="I1309" s="18" t="s">
        <v>78</v>
      </c>
      <c r="J1309" s="18"/>
      <c r="K1309" s="18"/>
      <c r="L1309" s="20"/>
      <c r="M1309" s="20"/>
      <c r="N1309" s="18"/>
    </row>
    <row r="1310">
      <c r="A1310" s="17" t="str">
        <f t="shared" si="1"/>
        <v>PD-1680</v>
      </c>
      <c r="B1310" s="18" t="s">
        <v>340</v>
      </c>
      <c r="C1310" s="18" t="s">
        <v>341</v>
      </c>
      <c r="D1310" s="18">
        <v>0.1</v>
      </c>
      <c r="E1310" s="19">
        <v>43293.0</v>
      </c>
      <c r="F1310" s="18" t="s">
        <v>81</v>
      </c>
      <c r="G1310" s="18"/>
      <c r="H1310" s="18" t="s">
        <v>88</v>
      </c>
      <c r="I1310" s="18" t="s">
        <v>132</v>
      </c>
      <c r="J1310" s="18"/>
      <c r="K1310" s="18"/>
      <c r="L1310" s="20"/>
      <c r="M1310" s="20"/>
      <c r="N1310" s="18"/>
    </row>
    <row r="1311">
      <c r="A1311" s="17" t="str">
        <f t="shared" si="1"/>
        <v>IV2-20</v>
      </c>
      <c r="B1311" s="18" t="s">
        <v>385</v>
      </c>
      <c r="C1311" s="18" t="s">
        <v>386</v>
      </c>
      <c r="D1311" s="18">
        <v>1.783333333</v>
      </c>
      <c r="E1311" s="19">
        <v>43293.0</v>
      </c>
      <c r="F1311" s="18" t="s">
        <v>81</v>
      </c>
      <c r="G1311" s="18"/>
      <c r="H1311" s="18" t="s">
        <v>302</v>
      </c>
      <c r="I1311" s="18" t="s">
        <v>78</v>
      </c>
      <c r="J1311" s="18"/>
      <c r="K1311" s="18"/>
      <c r="L1311" s="20"/>
      <c r="M1311" s="20"/>
      <c r="N1311" s="18"/>
    </row>
    <row r="1312">
      <c r="A1312" s="17" t="str">
        <f t="shared" si="1"/>
        <v>IV2-30</v>
      </c>
      <c r="B1312" s="18" t="s">
        <v>594</v>
      </c>
      <c r="C1312" s="18" t="s">
        <v>553</v>
      </c>
      <c r="D1312" s="18">
        <v>0.1</v>
      </c>
      <c r="E1312" s="19">
        <v>43293.0</v>
      </c>
      <c r="F1312" s="18" t="s">
        <v>81</v>
      </c>
      <c r="G1312" s="18" t="s">
        <v>553</v>
      </c>
      <c r="H1312" s="18"/>
      <c r="I1312" s="18" t="s">
        <v>77</v>
      </c>
      <c r="J1312" s="18"/>
      <c r="K1312" s="18"/>
      <c r="L1312" s="20"/>
      <c r="M1312" s="20"/>
      <c r="N1312" s="18"/>
    </row>
    <row r="1313">
      <c r="A1313" s="17" t="str">
        <f t="shared" si="1"/>
        <v>PD-1705</v>
      </c>
      <c r="B1313" s="18" t="s">
        <v>595</v>
      </c>
      <c r="C1313" s="18" t="s">
        <v>596</v>
      </c>
      <c r="D1313" s="18">
        <v>0.333333333</v>
      </c>
      <c r="E1313" s="19">
        <v>43293.0</v>
      </c>
      <c r="F1313" s="18" t="s">
        <v>81</v>
      </c>
      <c r="G1313" s="18"/>
      <c r="H1313" s="18" t="s">
        <v>88</v>
      </c>
      <c r="I1313" s="18" t="s">
        <v>132</v>
      </c>
      <c r="J1313" s="18"/>
      <c r="K1313" s="18"/>
      <c r="L1313" s="20"/>
      <c r="M1313" s="20"/>
      <c r="N1313" s="18"/>
    </row>
    <row r="1314">
      <c r="A1314" s="17" t="str">
        <f t="shared" si="1"/>
        <v>IV2-17</v>
      </c>
      <c r="B1314" s="18" t="s">
        <v>373</v>
      </c>
      <c r="C1314" s="18" t="s">
        <v>374</v>
      </c>
      <c r="D1314" s="18">
        <v>0.3</v>
      </c>
      <c r="E1314" s="19">
        <v>43293.0</v>
      </c>
      <c r="F1314" s="18" t="s">
        <v>81</v>
      </c>
      <c r="G1314" s="18"/>
      <c r="H1314" s="18" t="s">
        <v>302</v>
      </c>
      <c r="I1314" s="18" t="s">
        <v>81</v>
      </c>
      <c r="J1314" s="18"/>
      <c r="K1314" s="18"/>
      <c r="L1314" s="20"/>
      <c r="M1314" s="20"/>
      <c r="N1314" s="18"/>
    </row>
    <row r="1315">
      <c r="A1315" s="17" t="str">
        <f t="shared" si="1"/>
        <v>PD-1363</v>
      </c>
      <c r="B1315" s="18" t="s">
        <v>597</v>
      </c>
      <c r="C1315" s="18" t="s">
        <v>598</v>
      </c>
      <c r="D1315" s="18">
        <v>0.1</v>
      </c>
      <c r="E1315" s="19">
        <v>43293.0</v>
      </c>
      <c r="F1315" s="18" t="s">
        <v>81</v>
      </c>
      <c r="G1315" s="18"/>
      <c r="H1315" s="18" t="s">
        <v>167</v>
      </c>
      <c r="I1315" s="18" t="s">
        <v>93</v>
      </c>
      <c r="J1315" s="18"/>
      <c r="K1315" s="18"/>
      <c r="L1315" s="20"/>
      <c r="M1315" s="20"/>
      <c r="N1315" s="18"/>
    </row>
    <row r="1316">
      <c r="A1316" s="17" t="str">
        <f t="shared" si="1"/>
        <v>PD-1682</v>
      </c>
      <c r="B1316" s="18" t="s">
        <v>363</v>
      </c>
      <c r="C1316" s="18" t="s">
        <v>364</v>
      </c>
      <c r="D1316" s="18">
        <v>0.25</v>
      </c>
      <c r="E1316" s="19">
        <v>43293.0</v>
      </c>
      <c r="F1316" s="18" t="s">
        <v>81</v>
      </c>
      <c r="G1316" s="18"/>
      <c r="H1316" s="18"/>
      <c r="I1316" s="18" t="s">
        <v>132</v>
      </c>
      <c r="J1316" s="18"/>
      <c r="K1316" s="18"/>
      <c r="L1316" s="20"/>
      <c r="M1316" s="20"/>
      <c r="N1316" s="18"/>
    </row>
    <row r="1317">
      <c r="A1317" s="17" t="str">
        <f t="shared" si="1"/>
        <v>IV2-27</v>
      </c>
      <c r="B1317" s="18" t="s">
        <v>317</v>
      </c>
      <c r="C1317" s="18" t="s">
        <v>318</v>
      </c>
      <c r="D1317" s="18">
        <v>2.466666667</v>
      </c>
      <c r="E1317" s="19">
        <v>43293.0</v>
      </c>
      <c r="F1317" s="18" t="s">
        <v>81</v>
      </c>
      <c r="G1317" s="18"/>
      <c r="H1317" s="18" t="s">
        <v>302</v>
      </c>
      <c r="I1317" s="18" t="s">
        <v>81</v>
      </c>
      <c r="J1317" s="18"/>
      <c r="K1317" s="18"/>
      <c r="L1317" s="20"/>
      <c r="M1317" s="20"/>
      <c r="N1317" s="18"/>
    </row>
    <row r="1318">
      <c r="A1318" s="17" t="str">
        <f t="shared" si="1"/>
        <v>IOP-951</v>
      </c>
      <c r="B1318" s="18" t="s">
        <v>599</v>
      </c>
      <c r="C1318" s="18" t="s">
        <v>600</v>
      </c>
      <c r="D1318" s="18">
        <v>0.2</v>
      </c>
      <c r="E1318" s="19">
        <v>43293.0</v>
      </c>
      <c r="F1318" s="18" t="s">
        <v>81</v>
      </c>
      <c r="G1318" s="18"/>
      <c r="H1318" s="18"/>
      <c r="I1318" s="18" t="s">
        <v>116</v>
      </c>
      <c r="J1318" s="18"/>
      <c r="K1318" s="18"/>
      <c r="L1318" s="20"/>
      <c r="M1318" s="20"/>
      <c r="N1318" s="18"/>
    </row>
    <row r="1319">
      <c r="A1319" s="17" t="str">
        <f t="shared" si="1"/>
        <v>IV2-4</v>
      </c>
      <c r="B1319" s="18" t="s">
        <v>323</v>
      </c>
      <c r="C1319" s="18" t="s">
        <v>324</v>
      </c>
      <c r="D1319" s="18">
        <v>0.6</v>
      </c>
      <c r="E1319" s="19">
        <v>43293.0</v>
      </c>
      <c r="F1319" s="18" t="s">
        <v>81</v>
      </c>
      <c r="G1319" s="18" t="s">
        <v>302</v>
      </c>
      <c r="H1319" s="18"/>
      <c r="I1319" s="18" t="s">
        <v>81</v>
      </c>
      <c r="J1319" s="18"/>
      <c r="K1319" s="18"/>
      <c r="L1319" s="20"/>
      <c r="M1319" s="20"/>
      <c r="N1319" s="18"/>
    </row>
    <row r="1320">
      <c r="A1320" s="17" t="str">
        <f t="shared" si="1"/>
        <v>IOP-867</v>
      </c>
      <c r="B1320" s="18" t="s">
        <v>143</v>
      </c>
      <c r="C1320" s="18" t="s">
        <v>144</v>
      </c>
      <c r="D1320" s="18">
        <v>0.133333333</v>
      </c>
      <c r="E1320" s="19">
        <v>43294.0</v>
      </c>
      <c r="F1320" s="18" t="s">
        <v>81</v>
      </c>
      <c r="G1320" s="18"/>
      <c r="H1320" s="18" t="s">
        <v>119</v>
      </c>
      <c r="I1320" s="18" t="s">
        <v>120</v>
      </c>
      <c r="J1320" s="18"/>
      <c r="K1320" s="18"/>
      <c r="L1320" s="20"/>
      <c r="M1320" s="20"/>
      <c r="N1320" s="18"/>
    </row>
    <row r="1321">
      <c r="A1321" s="17" t="str">
        <f t="shared" si="1"/>
        <v>IOP-866</v>
      </c>
      <c r="B1321" s="18" t="s">
        <v>117</v>
      </c>
      <c r="C1321" s="18" t="s">
        <v>118</v>
      </c>
      <c r="D1321" s="18">
        <v>0.183333333</v>
      </c>
      <c r="E1321" s="19">
        <v>43294.0</v>
      </c>
      <c r="F1321" s="18" t="s">
        <v>81</v>
      </c>
      <c r="G1321" s="18"/>
      <c r="H1321" s="18" t="s">
        <v>119</v>
      </c>
      <c r="I1321" s="18" t="s">
        <v>120</v>
      </c>
      <c r="J1321" s="18"/>
      <c r="K1321" s="18"/>
      <c r="L1321" s="20"/>
      <c r="M1321" s="20"/>
      <c r="N1321" s="18"/>
    </row>
    <row r="1322">
      <c r="A1322" s="17" t="str">
        <f t="shared" si="1"/>
        <v>IV2-4</v>
      </c>
      <c r="B1322" s="18" t="s">
        <v>323</v>
      </c>
      <c r="C1322" s="18" t="s">
        <v>324</v>
      </c>
      <c r="D1322" s="18">
        <v>3.816666667</v>
      </c>
      <c r="E1322" s="19">
        <v>43294.0</v>
      </c>
      <c r="F1322" s="18" t="s">
        <v>81</v>
      </c>
      <c r="G1322" s="18" t="s">
        <v>302</v>
      </c>
      <c r="H1322" s="18"/>
      <c r="I1322" s="18" t="s">
        <v>81</v>
      </c>
      <c r="J1322" s="18"/>
      <c r="K1322" s="18"/>
      <c r="L1322" s="20"/>
      <c r="M1322" s="20"/>
      <c r="N1322" s="18"/>
    </row>
    <row r="1323">
      <c r="A1323" s="17" t="str">
        <f t="shared" si="1"/>
        <v>IV2-30</v>
      </c>
      <c r="B1323" s="18" t="s">
        <v>594</v>
      </c>
      <c r="C1323" s="18" t="s">
        <v>553</v>
      </c>
      <c r="D1323" s="18">
        <v>0.116666667</v>
      </c>
      <c r="E1323" s="19">
        <v>43294.0</v>
      </c>
      <c r="F1323" s="18" t="s">
        <v>81</v>
      </c>
      <c r="G1323" s="18" t="s">
        <v>553</v>
      </c>
      <c r="H1323" s="18"/>
      <c r="I1323" s="18" t="s">
        <v>77</v>
      </c>
      <c r="J1323" s="18"/>
      <c r="K1323" s="18"/>
      <c r="L1323" s="20"/>
      <c r="M1323" s="20"/>
      <c r="N1323" s="18"/>
    </row>
    <row r="1324">
      <c r="A1324" s="17" t="str">
        <f t="shared" si="1"/>
        <v>IOP-952</v>
      </c>
      <c r="B1324" s="18" t="s">
        <v>601</v>
      </c>
      <c r="C1324" s="18" t="s">
        <v>602</v>
      </c>
      <c r="D1324" s="18">
        <v>0.616666667</v>
      </c>
      <c r="E1324" s="19">
        <v>43294.0</v>
      </c>
      <c r="F1324" s="18" t="s">
        <v>81</v>
      </c>
      <c r="G1324" s="18"/>
      <c r="H1324" s="18"/>
      <c r="I1324" s="18" t="s">
        <v>81</v>
      </c>
      <c r="J1324" s="18"/>
      <c r="K1324" s="18"/>
      <c r="L1324" s="20"/>
      <c r="M1324" s="20"/>
      <c r="N1324" s="18"/>
    </row>
    <row r="1325">
      <c r="A1325" s="17" t="str">
        <f t="shared" si="1"/>
        <v>PD-1436</v>
      </c>
      <c r="B1325" s="18" t="s">
        <v>493</v>
      </c>
      <c r="C1325" s="18" t="s">
        <v>494</v>
      </c>
      <c r="D1325" s="18">
        <v>2.283333333</v>
      </c>
      <c r="E1325" s="19">
        <v>43294.0</v>
      </c>
      <c r="F1325" s="18" t="s">
        <v>81</v>
      </c>
      <c r="G1325" s="18"/>
      <c r="H1325" s="18" t="s">
        <v>302</v>
      </c>
      <c r="I1325" s="18" t="s">
        <v>77</v>
      </c>
      <c r="J1325" s="18"/>
      <c r="K1325" s="18"/>
      <c r="L1325" s="20"/>
      <c r="M1325" s="20"/>
      <c r="N1325" s="18"/>
    </row>
    <row r="1326">
      <c r="A1326" s="17" t="str">
        <f t="shared" si="1"/>
        <v>IOP-875</v>
      </c>
      <c r="B1326" s="18" t="s">
        <v>123</v>
      </c>
      <c r="C1326" s="18" t="s">
        <v>124</v>
      </c>
      <c r="D1326" s="18">
        <v>0.483333333</v>
      </c>
      <c r="E1326" s="19">
        <v>43294.0</v>
      </c>
      <c r="F1326" s="18" t="s">
        <v>81</v>
      </c>
      <c r="G1326" s="18"/>
      <c r="H1326" s="18" t="s">
        <v>125</v>
      </c>
      <c r="I1326" s="18" t="s">
        <v>120</v>
      </c>
      <c r="J1326" s="18"/>
      <c r="K1326" s="18"/>
      <c r="L1326" s="20"/>
      <c r="M1326" s="20"/>
      <c r="N1326" s="18"/>
    </row>
    <row r="1327">
      <c r="A1327" s="17" t="str">
        <f t="shared" si="1"/>
        <v>PD-1706</v>
      </c>
      <c r="B1327" s="18" t="s">
        <v>603</v>
      </c>
      <c r="C1327" s="18" t="s">
        <v>604</v>
      </c>
      <c r="D1327" s="18">
        <v>0.15</v>
      </c>
      <c r="E1327" s="19">
        <v>43294.0</v>
      </c>
      <c r="F1327" s="18" t="s">
        <v>81</v>
      </c>
      <c r="G1327" s="18"/>
      <c r="H1327" s="18" t="s">
        <v>101</v>
      </c>
      <c r="I1327" s="18" t="s">
        <v>93</v>
      </c>
      <c r="J1327" s="18"/>
      <c r="K1327" s="18"/>
      <c r="L1327" s="20"/>
      <c r="M1327" s="20"/>
      <c r="N1327" s="18"/>
    </row>
    <row r="1328">
      <c r="A1328" s="17" t="str">
        <f t="shared" si="1"/>
        <v>IOP-867</v>
      </c>
      <c r="B1328" s="18" t="s">
        <v>143</v>
      </c>
      <c r="C1328" s="18" t="s">
        <v>144</v>
      </c>
      <c r="D1328" s="18">
        <v>0.016666667</v>
      </c>
      <c r="E1328" s="19">
        <v>43298.0</v>
      </c>
      <c r="F1328" s="18" t="s">
        <v>81</v>
      </c>
      <c r="G1328" s="18"/>
      <c r="H1328" s="18" t="s">
        <v>119</v>
      </c>
      <c r="I1328" s="18" t="s">
        <v>120</v>
      </c>
      <c r="J1328" s="18"/>
      <c r="K1328" s="18"/>
      <c r="L1328" s="20"/>
      <c r="M1328" s="20"/>
      <c r="N1328" s="18"/>
    </row>
    <row r="1329">
      <c r="A1329" s="17" t="str">
        <f t="shared" si="1"/>
        <v>IOP-866</v>
      </c>
      <c r="B1329" s="18" t="s">
        <v>117</v>
      </c>
      <c r="C1329" s="18" t="s">
        <v>118</v>
      </c>
      <c r="D1329" s="18">
        <v>0.116666667</v>
      </c>
      <c r="E1329" s="19">
        <v>43298.0</v>
      </c>
      <c r="F1329" s="18" t="s">
        <v>81</v>
      </c>
      <c r="G1329" s="18"/>
      <c r="H1329" s="18" t="s">
        <v>119</v>
      </c>
      <c r="I1329" s="18" t="s">
        <v>120</v>
      </c>
      <c r="J1329" s="18"/>
      <c r="K1329" s="18"/>
      <c r="L1329" s="20"/>
      <c r="M1329" s="20"/>
      <c r="N1329" s="18"/>
    </row>
    <row r="1330">
      <c r="A1330" s="17" t="str">
        <f t="shared" si="1"/>
        <v>IV2-4</v>
      </c>
      <c r="B1330" s="18" t="s">
        <v>323</v>
      </c>
      <c r="C1330" s="18" t="s">
        <v>324</v>
      </c>
      <c r="D1330" s="18">
        <v>2.5</v>
      </c>
      <c r="E1330" s="19">
        <v>43298.0</v>
      </c>
      <c r="F1330" s="18" t="s">
        <v>81</v>
      </c>
      <c r="G1330" s="18" t="s">
        <v>302</v>
      </c>
      <c r="H1330" s="18"/>
      <c r="I1330" s="18" t="s">
        <v>81</v>
      </c>
      <c r="J1330" s="18"/>
      <c r="K1330" s="18"/>
      <c r="L1330" s="20"/>
      <c r="M1330" s="20"/>
      <c r="N1330" s="18"/>
    </row>
    <row r="1331">
      <c r="A1331" s="17" t="str">
        <f t="shared" si="1"/>
        <v>PD-1726</v>
      </c>
      <c r="B1331" s="18" t="s">
        <v>544</v>
      </c>
      <c r="C1331" s="18" t="s">
        <v>545</v>
      </c>
      <c r="D1331" s="18">
        <v>6.216666667</v>
      </c>
      <c r="E1331" s="19">
        <v>43350.0</v>
      </c>
      <c r="F1331" s="18" t="s">
        <v>81</v>
      </c>
      <c r="G1331" s="18"/>
      <c r="H1331" s="18" t="s">
        <v>253</v>
      </c>
      <c r="I1331" s="18" t="s">
        <v>81</v>
      </c>
      <c r="J1331" s="18"/>
      <c r="K1331" s="18"/>
      <c r="L1331" s="20"/>
      <c r="M1331" s="20"/>
      <c r="N1331" s="18"/>
    </row>
    <row r="1332">
      <c r="A1332" s="17" t="str">
        <f t="shared" si="1"/>
        <v>IV2-9</v>
      </c>
      <c r="B1332" s="18" t="s">
        <v>391</v>
      </c>
      <c r="C1332" s="18" t="s">
        <v>392</v>
      </c>
      <c r="D1332" s="18">
        <v>0.35</v>
      </c>
      <c r="E1332" s="19">
        <v>43298.0</v>
      </c>
      <c r="F1332" s="18" t="s">
        <v>81</v>
      </c>
      <c r="G1332" s="18"/>
      <c r="H1332" s="18" t="s">
        <v>302</v>
      </c>
      <c r="I1332" s="18" t="s">
        <v>81</v>
      </c>
      <c r="J1332" s="18"/>
      <c r="K1332" s="18"/>
      <c r="L1332" s="20"/>
      <c r="M1332" s="20"/>
      <c r="N1332" s="18"/>
    </row>
    <row r="1333">
      <c r="A1333" s="17" t="str">
        <f t="shared" si="1"/>
        <v>IV2-27</v>
      </c>
      <c r="B1333" s="18" t="s">
        <v>317</v>
      </c>
      <c r="C1333" s="18" t="s">
        <v>318</v>
      </c>
      <c r="D1333" s="18">
        <v>5.25</v>
      </c>
      <c r="E1333" s="19">
        <v>43298.0</v>
      </c>
      <c r="F1333" s="18" t="s">
        <v>81</v>
      </c>
      <c r="G1333" s="18"/>
      <c r="H1333" s="18" t="s">
        <v>302</v>
      </c>
      <c r="I1333" s="18" t="s">
        <v>81</v>
      </c>
      <c r="J1333" s="18"/>
      <c r="K1333" s="18"/>
      <c r="L1333" s="20"/>
      <c r="M1333" s="20"/>
      <c r="N1333" s="18"/>
    </row>
    <row r="1334">
      <c r="A1334" s="17" t="str">
        <f t="shared" si="1"/>
        <v>IOP-867</v>
      </c>
      <c r="B1334" s="18" t="s">
        <v>143</v>
      </c>
      <c r="C1334" s="18" t="s">
        <v>144</v>
      </c>
      <c r="D1334" s="18">
        <v>0.1</v>
      </c>
      <c r="E1334" s="19">
        <v>43299.0</v>
      </c>
      <c r="F1334" s="18" t="s">
        <v>81</v>
      </c>
      <c r="G1334" s="18"/>
      <c r="H1334" s="18" t="s">
        <v>119</v>
      </c>
      <c r="I1334" s="18" t="s">
        <v>120</v>
      </c>
      <c r="J1334" s="18"/>
      <c r="K1334" s="18"/>
      <c r="L1334" s="20"/>
      <c r="M1334" s="20"/>
      <c r="N1334" s="18"/>
    </row>
    <row r="1335">
      <c r="A1335" s="17" t="str">
        <f t="shared" si="1"/>
        <v>IOP-866</v>
      </c>
      <c r="B1335" s="18" t="s">
        <v>117</v>
      </c>
      <c r="C1335" s="18" t="s">
        <v>118</v>
      </c>
      <c r="D1335" s="18">
        <v>0.05</v>
      </c>
      <c r="E1335" s="19">
        <v>43299.0</v>
      </c>
      <c r="F1335" s="18" t="s">
        <v>81</v>
      </c>
      <c r="G1335" s="18"/>
      <c r="H1335" s="18" t="s">
        <v>119</v>
      </c>
      <c r="I1335" s="18" t="s">
        <v>120</v>
      </c>
      <c r="J1335" s="18"/>
      <c r="K1335" s="18"/>
      <c r="L1335" s="20"/>
      <c r="M1335" s="20"/>
      <c r="N1335" s="18"/>
    </row>
    <row r="1336">
      <c r="A1336" s="17" t="str">
        <f t="shared" si="1"/>
        <v>IV2-27</v>
      </c>
      <c r="B1336" s="18" t="s">
        <v>317</v>
      </c>
      <c r="C1336" s="18" t="s">
        <v>318</v>
      </c>
      <c r="D1336" s="18">
        <v>2.55</v>
      </c>
      <c r="E1336" s="19">
        <v>43299.0</v>
      </c>
      <c r="F1336" s="18" t="s">
        <v>81</v>
      </c>
      <c r="G1336" s="18"/>
      <c r="H1336" s="18" t="s">
        <v>302</v>
      </c>
      <c r="I1336" s="18" t="s">
        <v>81</v>
      </c>
      <c r="J1336" s="18"/>
      <c r="K1336" s="18"/>
      <c r="L1336" s="20"/>
      <c r="M1336" s="20"/>
      <c r="N1336" s="18"/>
    </row>
    <row r="1337">
      <c r="A1337" s="17" t="str">
        <f t="shared" si="1"/>
        <v>IV2-28</v>
      </c>
      <c r="B1337" s="18" t="s">
        <v>377</v>
      </c>
      <c r="C1337" s="18" t="s">
        <v>378</v>
      </c>
      <c r="D1337" s="18">
        <v>4.783333333</v>
      </c>
      <c r="E1337" s="19">
        <v>43299.0</v>
      </c>
      <c r="F1337" s="18" t="s">
        <v>81</v>
      </c>
      <c r="G1337" s="18"/>
      <c r="H1337" s="18" t="s">
        <v>302</v>
      </c>
      <c r="I1337" s="18" t="s">
        <v>81</v>
      </c>
      <c r="J1337" s="18"/>
      <c r="K1337" s="18"/>
      <c r="L1337" s="20"/>
      <c r="M1337" s="20"/>
      <c r="N1337" s="18"/>
    </row>
    <row r="1338">
      <c r="A1338" s="17" t="str">
        <f t="shared" si="1"/>
        <v>IV2-8</v>
      </c>
      <c r="B1338" s="18" t="s">
        <v>300</v>
      </c>
      <c r="C1338" s="18" t="s">
        <v>301</v>
      </c>
      <c r="D1338" s="18">
        <v>0.3</v>
      </c>
      <c r="E1338" s="19">
        <v>43299.0</v>
      </c>
      <c r="F1338" s="18" t="s">
        <v>81</v>
      </c>
      <c r="G1338" s="18"/>
      <c r="H1338" s="18" t="s">
        <v>302</v>
      </c>
      <c r="I1338" s="18" t="s">
        <v>78</v>
      </c>
      <c r="J1338" s="18"/>
      <c r="K1338" s="18"/>
      <c r="L1338" s="20"/>
      <c r="M1338" s="20"/>
      <c r="N1338" s="18"/>
    </row>
    <row r="1339">
      <c r="A1339" s="17" t="str">
        <f t="shared" si="1"/>
        <v>IOP-867</v>
      </c>
      <c r="B1339" s="18" t="s">
        <v>143</v>
      </c>
      <c r="C1339" s="18" t="s">
        <v>144</v>
      </c>
      <c r="D1339" s="18">
        <v>0.35</v>
      </c>
      <c r="E1339" s="19">
        <v>43304.0</v>
      </c>
      <c r="F1339" s="18" t="s">
        <v>81</v>
      </c>
      <c r="G1339" s="18"/>
      <c r="H1339" s="18" t="s">
        <v>119</v>
      </c>
      <c r="I1339" s="18" t="s">
        <v>120</v>
      </c>
      <c r="J1339" s="18"/>
      <c r="K1339" s="18"/>
      <c r="L1339" s="20"/>
      <c r="M1339" s="20"/>
      <c r="N1339" s="18"/>
    </row>
    <row r="1340">
      <c r="A1340" s="17" t="str">
        <f t="shared" si="1"/>
        <v>IV2-28</v>
      </c>
      <c r="B1340" s="18" t="s">
        <v>377</v>
      </c>
      <c r="C1340" s="18" t="s">
        <v>378</v>
      </c>
      <c r="D1340" s="18">
        <v>1.333333333</v>
      </c>
      <c r="E1340" s="19">
        <v>43304.0</v>
      </c>
      <c r="F1340" s="18" t="s">
        <v>81</v>
      </c>
      <c r="G1340" s="18"/>
      <c r="H1340" s="18" t="s">
        <v>302</v>
      </c>
      <c r="I1340" s="18" t="s">
        <v>81</v>
      </c>
      <c r="J1340" s="18"/>
      <c r="K1340" s="18"/>
      <c r="L1340" s="20"/>
      <c r="M1340" s="20"/>
      <c r="N1340" s="18"/>
    </row>
    <row r="1341">
      <c r="A1341" s="17" t="str">
        <f t="shared" si="1"/>
        <v>IOP-866</v>
      </c>
      <c r="B1341" s="18" t="s">
        <v>117</v>
      </c>
      <c r="C1341" s="18" t="s">
        <v>118</v>
      </c>
      <c r="D1341" s="18">
        <v>0.183333333</v>
      </c>
      <c r="E1341" s="19">
        <v>43304.0</v>
      </c>
      <c r="F1341" s="18" t="s">
        <v>81</v>
      </c>
      <c r="G1341" s="18"/>
      <c r="H1341" s="18" t="s">
        <v>119</v>
      </c>
      <c r="I1341" s="18" t="s">
        <v>120</v>
      </c>
      <c r="J1341" s="18"/>
      <c r="K1341" s="18"/>
      <c r="L1341" s="20"/>
      <c r="M1341" s="20"/>
      <c r="N1341" s="18"/>
    </row>
    <row r="1342">
      <c r="A1342" s="17" t="str">
        <f t="shared" si="1"/>
        <v>PD-1650</v>
      </c>
      <c r="B1342" s="18" t="s">
        <v>185</v>
      </c>
      <c r="C1342" s="18" t="s">
        <v>186</v>
      </c>
      <c r="D1342" s="18">
        <v>0.216666667</v>
      </c>
      <c r="E1342" s="19">
        <v>43304.0</v>
      </c>
      <c r="F1342" s="18" t="s">
        <v>81</v>
      </c>
      <c r="G1342" s="18" t="s">
        <v>187</v>
      </c>
      <c r="H1342" s="18"/>
      <c r="I1342" s="18" t="s">
        <v>77</v>
      </c>
      <c r="J1342" s="18"/>
      <c r="K1342" s="18"/>
      <c r="L1342" s="20"/>
      <c r="M1342" s="20"/>
      <c r="N1342" s="18"/>
    </row>
    <row r="1343">
      <c r="A1343" s="17" t="str">
        <f t="shared" si="1"/>
        <v>IOP-875</v>
      </c>
      <c r="B1343" s="18" t="s">
        <v>123</v>
      </c>
      <c r="C1343" s="18" t="s">
        <v>124</v>
      </c>
      <c r="D1343" s="18">
        <v>0.95</v>
      </c>
      <c r="E1343" s="19">
        <v>43304.0</v>
      </c>
      <c r="F1343" s="18" t="s">
        <v>81</v>
      </c>
      <c r="G1343" s="18"/>
      <c r="H1343" s="18" t="s">
        <v>125</v>
      </c>
      <c r="I1343" s="18" t="s">
        <v>120</v>
      </c>
      <c r="J1343" s="18"/>
      <c r="K1343" s="18"/>
      <c r="L1343" s="20"/>
      <c r="M1343" s="20"/>
      <c r="N1343" s="18"/>
    </row>
    <row r="1344">
      <c r="A1344" s="17" t="str">
        <f t="shared" si="1"/>
        <v>IV2-27</v>
      </c>
      <c r="B1344" s="18" t="s">
        <v>317</v>
      </c>
      <c r="C1344" s="18" t="s">
        <v>318</v>
      </c>
      <c r="D1344" s="18">
        <v>1.0</v>
      </c>
      <c r="E1344" s="19">
        <v>43304.0</v>
      </c>
      <c r="F1344" s="18" t="s">
        <v>81</v>
      </c>
      <c r="G1344" s="18"/>
      <c r="H1344" s="18" t="s">
        <v>302</v>
      </c>
      <c r="I1344" s="18" t="s">
        <v>81</v>
      </c>
      <c r="J1344" s="18"/>
      <c r="K1344" s="18"/>
      <c r="L1344" s="20"/>
      <c r="M1344" s="20"/>
      <c r="N1344" s="18"/>
    </row>
    <row r="1345">
      <c r="A1345" s="17" t="str">
        <f t="shared" si="1"/>
        <v>IV2-14</v>
      </c>
      <c r="B1345" s="18" t="s">
        <v>413</v>
      </c>
      <c r="C1345" s="18" t="s">
        <v>414</v>
      </c>
      <c r="D1345" s="18">
        <v>4.083333333</v>
      </c>
      <c r="E1345" s="19">
        <v>43304.0</v>
      </c>
      <c r="F1345" s="18" t="s">
        <v>81</v>
      </c>
      <c r="G1345" s="18"/>
      <c r="H1345" s="18" t="s">
        <v>302</v>
      </c>
      <c r="I1345" s="18" t="s">
        <v>81</v>
      </c>
      <c r="J1345" s="18"/>
      <c r="K1345" s="18"/>
      <c r="L1345" s="20"/>
      <c r="M1345" s="20"/>
      <c r="N1345" s="18"/>
    </row>
    <row r="1346">
      <c r="A1346" s="17" t="str">
        <f t="shared" si="1"/>
        <v>IOP-867</v>
      </c>
      <c r="B1346" s="18" t="s">
        <v>143</v>
      </c>
      <c r="C1346" s="18" t="s">
        <v>144</v>
      </c>
      <c r="D1346" s="18">
        <v>0.066666667</v>
      </c>
      <c r="E1346" s="19">
        <v>43305.0</v>
      </c>
      <c r="F1346" s="18" t="s">
        <v>81</v>
      </c>
      <c r="G1346" s="18"/>
      <c r="H1346" s="18" t="s">
        <v>119</v>
      </c>
      <c r="I1346" s="18" t="s">
        <v>120</v>
      </c>
      <c r="J1346" s="18"/>
      <c r="K1346" s="18"/>
      <c r="L1346" s="20"/>
      <c r="M1346" s="20"/>
      <c r="N1346" s="18"/>
    </row>
    <row r="1347">
      <c r="A1347" s="17" t="str">
        <f t="shared" si="1"/>
        <v>IOP-866</v>
      </c>
      <c r="B1347" s="18" t="s">
        <v>117</v>
      </c>
      <c r="C1347" s="18" t="s">
        <v>118</v>
      </c>
      <c r="D1347" s="18">
        <v>0.083333333</v>
      </c>
      <c r="E1347" s="19">
        <v>43305.0</v>
      </c>
      <c r="F1347" s="18" t="s">
        <v>81</v>
      </c>
      <c r="G1347" s="18"/>
      <c r="H1347" s="18" t="s">
        <v>119</v>
      </c>
      <c r="I1347" s="18" t="s">
        <v>120</v>
      </c>
      <c r="J1347" s="18"/>
      <c r="K1347" s="18"/>
      <c r="L1347" s="20"/>
      <c r="M1347" s="20"/>
      <c r="N1347" s="18"/>
    </row>
    <row r="1348">
      <c r="A1348" s="17" t="str">
        <f t="shared" si="1"/>
        <v>IV2-14</v>
      </c>
      <c r="B1348" s="18" t="s">
        <v>413</v>
      </c>
      <c r="C1348" s="18" t="s">
        <v>414</v>
      </c>
      <c r="D1348" s="18">
        <v>4.583333333</v>
      </c>
      <c r="E1348" s="19">
        <v>43305.0</v>
      </c>
      <c r="F1348" s="18" t="s">
        <v>81</v>
      </c>
      <c r="G1348" s="18"/>
      <c r="H1348" s="18" t="s">
        <v>302</v>
      </c>
      <c r="I1348" s="18" t="s">
        <v>81</v>
      </c>
      <c r="J1348" s="18"/>
      <c r="K1348" s="18"/>
      <c r="L1348" s="20"/>
      <c r="M1348" s="20"/>
      <c r="N1348" s="18"/>
    </row>
    <row r="1349">
      <c r="A1349" s="17" t="str">
        <f t="shared" si="1"/>
        <v>PD-1650</v>
      </c>
      <c r="B1349" s="18" t="s">
        <v>185</v>
      </c>
      <c r="C1349" s="18" t="s">
        <v>186</v>
      </c>
      <c r="D1349" s="18">
        <v>1.483333333</v>
      </c>
      <c r="E1349" s="19">
        <v>43305.0</v>
      </c>
      <c r="F1349" s="18" t="s">
        <v>81</v>
      </c>
      <c r="G1349" s="18" t="s">
        <v>187</v>
      </c>
      <c r="H1349" s="18"/>
      <c r="I1349" s="18" t="s">
        <v>77</v>
      </c>
      <c r="J1349" s="18"/>
      <c r="K1349" s="18"/>
      <c r="L1349" s="20"/>
      <c r="M1349" s="20"/>
      <c r="N1349" s="18"/>
    </row>
    <row r="1350">
      <c r="A1350" s="17" t="str">
        <f t="shared" si="1"/>
        <v>IOP-875</v>
      </c>
      <c r="B1350" s="18" t="s">
        <v>123</v>
      </c>
      <c r="C1350" s="18" t="s">
        <v>124</v>
      </c>
      <c r="D1350" s="18">
        <v>0.4</v>
      </c>
      <c r="E1350" s="19">
        <v>43305.0</v>
      </c>
      <c r="F1350" s="18" t="s">
        <v>81</v>
      </c>
      <c r="G1350" s="18"/>
      <c r="H1350" s="18" t="s">
        <v>125</v>
      </c>
      <c r="I1350" s="18" t="s">
        <v>120</v>
      </c>
      <c r="J1350" s="18"/>
      <c r="K1350" s="20"/>
      <c r="L1350" s="20"/>
      <c r="M1350" s="20"/>
      <c r="N1350" s="18"/>
    </row>
    <row r="1351">
      <c r="A1351" s="17" t="str">
        <f t="shared" si="1"/>
        <v>IV2-28</v>
      </c>
      <c r="B1351" s="18" t="s">
        <v>377</v>
      </c>
      <c r="C1351" s="18" t="s">
        <v>378</v>
      </c>
      <c r="D1351" s="18">
        <v>0.133333333</v>
      </c>
      <c r="E1351" s="19">
        <v>43305.0</v>
      </c>
      <c r="F1351" s="18" t="s">
        <v>81</v>
      </c>
      <c r="G1351" s="18"/>
      <c r="H1351" s="18" t="s">
        <v>302</v>
      </c>
      <c r="I1351" s="18" t="s">
        <v>81</v>
      </c>
      <c r="J1351" s="18"/>
      <c r="K1351" s="20"/>
      <c r="L1351" s="20"/>
      <c r="M1351" s="20"/>
      <c r="N1351" s="18"/>
    </row>
    <row r="1352">
      <c r="A1352" s="17" t="str">
        <f t="shared" si="1"/>
        <v>IV2-5</v>
      </c>
      <c r="B1352" s="18" t="s">
        <v>395</v>
      </c>
      <c r="C1352" s="18" t="s">
        <v>396</v>
      </c>
      <c r="D1352" s="18">
        <v>0.216666667</v>
      </c>
      <c r="E1352" s="19">
        <v>43305.0</v>
      </c>
      <c r="F1352" s="18" t="s">
        <v>81</v>
      </c>
      <c r="G1352" s="18"/>
      <c r="H1352" s="18" t="s">
        <v>302</v>
      </c>
      <c r="I1352" s="18" t="s">
        <v>81</v>
      </c>
      <c r="J1352" s="18"/>
      <c r="K1352" s="20"/>
      <c r="L1352" s="18"/>
      <c r="M1352" s="20"/>
      <c r="N1352" s="18"/>
    </row>
    <row r="1353">
      <c r="A1353" s="17" t="str">
        <f t="shared" si="1"/>
        <v>IOP-867</v>
      </c>
      <c r="B1353" s="18" t="s">
        <v>143</v>
      </c>
      <c r="C1353" s="18" t="s">
        <v>144</v>
      </c>
      <c r="D1353" s="18">
        <v>0.216666667</v>
      </c>
      <c r="E1353" s="19">
        <v>43306.0</v>
      </c>
      <c r="F1353" s="18" t="s">
        <v>81</v>
      </c>
      <c r="G1353" s="18"/>
      <c r="H1353" s="18" t="s">
        <v>119</v>
      </c>
      <c r="I1353" s="18" t="s">
        <v>120</v>
      </c>
      <c r="J1353" s="18"/>
      <c r="K1353" s="20"/>
      <c r="L1353" s="18"/>
      <c r="M1353" s="20"/>
      <c r="N1353" s="18"/>
    </row>
    <row r="1354">
      <c r="A1354" s="17" t="str">
        <f t="shared" si="1"/>
        <v>IOP-866</v>
      </c>
      <c r="B1354" s="18" t="s">
        <v>117</v>
      </c>
      <c r="C1354" s="18" t="s">
        <v>118</v>
      </c>
      <c r="D1354" s="18">
        <v>0.25</v>
      </c>
      <c r="E1354" s="19">
        <v>43306.0</v>
      </c>
      <c r="F1354" s="18" t="s">
        <v>81</v>
      </c>
      <c r="G1354" s="18"/>
      <c r="H1354" s="18" t="s">
        <v>119</v>
      </c>
      <c r="I1354" s="18" t="s">
        <v>120</v>
      </c>
      <c r="J1354" s="18"/>
      <c r="K1354" s="20"/>
      <c r="L1354" s="18"/>
      <c r="M1354" s="20"/>
      <c r="N1354" s="18"/>
    </row>
    <row r="1355">
      <c r="A1355" s="17" t="str">
        <f t="shared" si="1"/>
        <v>IV2-28</v>
      </c>
      <c r="B1355" s="18" t="s">
        <v>377</v>
      </c>
      <c r="C1355" s="18" t="s">
        <v>378</v>
      </c>
      <c r="D1355" s="18">
        <v>0.116666667</v>
      </c>
      <c r="E1355" s="19">
        <v>43306.0</v>
      </c>
      <c r="F1355" s="18" t="s">
        <v>81</v>
      </c>
      <c r="G1355" s="18"/>
      <c r="H1355" s="18" t="s">
        <v>302</v>
      </c>
      <c r="I1355" s="18" t="s">
        <v>81</v>
      </c>
      <c r="J1355" s="18"/>
      <c r="K1355" s="20"/>
      <c r="L1355" s="18"/>
      <c r="M1355" s="20"/>
      <c r="N1355" s="18"/>
    </row>
    <row r="1356">
      <c r="A1356" s="17" t="str">
        <f t="shared" si="1"/>
        <v>IOP-875</v>
      </c>
      <c r="B1356" s="18" t="s">
        <v>123</v>
      </c>
      <c r="C1356" s="18" t="s">
        <v>124</v>
      </c>
      <c r="D1356" s="18">
        <v>1.35</v>
      </c>
      <c r="E1356" s="19">
        <v>43306.0</v>
      </c>
      <c r="F1356" s="18" t="s">
        <v>81</v>
      </c>
      <c r="G1356" s="18"/>
      <c r="H1356" s="18" t="s">
        <v>125</v>
      </c>
      <c r="I1356" s="18" t="s">
        <v>120</v>
      </c>
      <c r="J1356" s="18"/>
      <c r="K1356" s="20"/>
      <c r="L1356" s="18"/>
      <c r="M1356" s="20"/>
      <c r="N1356" s="18"/>
    </row>
    <row r="1357">
      <c r="A1357" s="17" t="str">
        <f t="shared" si="1"/>
        <v>IV2-14</v>
      </c>
      <c r="B1357" s="18" t="s">
        <v>413</v>
      </c>
      <c r="C1357" s="18" t="s">
        <v>414</v>
      </c>
      <c r="D1357" s="18">
        <v>0.45</v>
      </c>
      <c r="E1357" s="19">
        <v>43306.0</v>
      </c>
      <c r="F1357" s="18" t="s">
        <v>81</v>
      </c>
      <c r="G1357" s="18"/>
      <c r="H1357" s="18" t="s">
        <v>302</v>
      </c>
      <c r="I1357" s="18" t="s">
        <v>81</v>
      </c>
      <c r="J1357" s="18"/>
      <c r="K1357" s="20"/>
      <c r="L1357" s="20"/>
      <c r="M1357" s="20"/>
      <c r="N1357" s="18"/>
    </row>
    <row r="1358">
      <c r="A1358" s="17" t="str">
        <f t="shared" si="1"/>
        <v>PD-1650</v>
      </c>
      <c r="B1358" s="18" t="s">
        <v>185</v>
      </c>
      <c r="C1358" s="18" t="s">
        <v>186</v>
      </c>
      <c r="D1358" s="18">
        <v>4.45</v>
      </c>
      <c r="E1358" s="19">
        <v>43306.0</v>
      </c>
      <c r="F1358" s="18" t="s">
        <v>81</v>
      </c>
      <c r="G1358" s="18" t="s">
        <v>187</v>
      </c>
      <c r="H1358" s="18"/>
      <c r="I1358" s="18" t="s">
        <v>77</v>
      </c>
      <c r="J1358" s="18"/>
      <c r="K1358" s="20"/>
      <c r="L1358" s="20"/>
      <c r="M1358" s="20"/>
      <c r="N1358" s="18"/>
    </row>
    <row r="1359">
      <c r="A1359" s="17" t="str">
        <f t="shared" si="1"/>
        <v>IOP-879</v>
      </c>
      <c r="B1359" s="18" t="s">
        <v>155</v>
      </c>
      <c r="C1359" s="18" t="s">
        <v>156</v>
      </c>
      <c r="D1359" s="18">
        <v>1.383333333</v>
      </c>
      <c r="E1359" s="19">
        <v>43306.0</v>
      </c>
      <c r="F1359" s="18" t="s">
        <v>81</v>
      </c>
      <c r="G1359" s="18"/>
      <c r="H1359" s="18" t="s">
        <v>157</v>
      </c>
      <c r="I1359" s="18" t="s">
        <v>120</v>
      </c>
      <c r="J1359" s="18"/>
      <c r="K1359" s="20"/>
      <c r="L1359" s="20"/>
      <c r="M1359" s="20"/>
      <c r="N1359" s="18"/>
    </row>
    <row r="1360">
      <c r="A1360" s="17" t="str">
        <f t="shared" si="1"/>
        <v>IOP-875</v>
      </c>
      <c r="B1360" s="18" t="s">
        <v>123</v>
      </c>
      <c r="C1360" s="18" t="s">
        <v>124</v>
      </c>
      <c r="D1360" s="18">
        <v>0.466666667</v>
      </c>
      <c r="E1360" s="19">
        <v>43308.0</v>
      </c>
      <c r="F1360" s="18" t="s">
        <v>81</v>
      </c>
      <c r="G1360" s="18"/>
      <c r="H1360" s="18" t="s">
        <v>125</v>
      </c>
      <c r="I1360" s="18" t="s">
        <v>120</v>
      </c>
      <c r="J1360" s="18"/>
      <c r="K1360" s="20"/>
      <c r="L1360" s="20"/>
      <c r="M1360" s="20"/>
      <c r="N1360" s="18"/>
    </row>
    <row r="1361">
      <c r="A1361" s="17" t="str">
        <f t="shared" si="1"/>
        <v>IV2-30</v>
      </c>
      <c r="B1361" s="18" t="s">
        <v>594</v>
      </c>
      <c r="C1361" s="18" t="s">
        <v>553</v>
      </c>
      <c r="D1361" s="18">
        <v>0.35</v>
      </c>
      <c r="E1361" s="19">
        <v>43308.0</v>
      </c>
      <c r="F1361" s="18" t="s">
        <v>81</v>
      </c>
      <c r="G1361" s="18" t="s">
        <v>553</v>
      </c>
      <c r="H1361" s="18"/>
      <c r="I1361" s="18" t="s">
        <v>77</v>
      </c>
      <c r="J1361" s="18"/>
      <c r="K1361" s="20"/>
      <c r="L1361" s="20"/>
      <c r="M1361" s="20"/>
      <c r="N1361" s="18"/>
    </row>
    <row r="1362">
      <c r="A1362" s="17" t="str">
        <f t="shared" si="1"/>
        <v>IOP-867</v>
      </c>
      <c r="B1362" s="18" t="s">
        <v>143</v>
      </c>
      <c r="C1362" s="18" t="s">
        <v>144</v>
      </c>
      <c r="D1362" s="18">
        <v>0.416666667</v>
      </c>
      <c r="E1362" s="19">
        <v>43308.0</v>
      </c>
      <c r="F1362" s="18" t="s">
        <v>81</v>
      </c>
      <c r="G1362" s="18"/>
      <c r="H1362" s="18" t="s">
        <v>119</v>
      </c>
      <c r="I1362" s="18" t="s">
        <v>120</v>
      </c>
      <c r="J1362" s="18"/>
      <c r="K1362" s="20"/>
      <c r="L1362" s="20"/>
      <c r="M1362" s="20"/>
      <c r="N1362" s="18"/>
    </row>
    <row r="1363">
      <c r="A1363" s="17" t="str">
        <f t="shared" si="1"/>
        <v>IOP-866</v>
      </c>
      <c r="B1363" s="18" t="s">
        <v>117</v>
      </c>
      <c r="C1363" s="18" t="s">
        <v>118</v>
      </c>
      <c r="D1363" s="18">
        <v>0.133333333</v>
      </c>
      <c r="E1363" s="19">
        <v>43308.0</v>
      </c>
      <c r="F1363" s="18" t="s">
        <v>81</v>
      </c>
      <c r="G1363" s="18"/>
      <c r="H1363" s="18" t="s">
        <v>119</v>
      </c>
      <c r="I1363" s="18" t="s">
        <v>120</v>
      </c>
      <c r="J1363" s="18"/>
      <c r="K1363" s="20"/>
      <c r="L1363" s="20"/>
      <c r="M1363" s="20"/>
      <c r="N1363" s="18"/>
    </row>
    <row r="1364">
      <c r="A1364" s="17" t="str">
        <f t="shared" si="1"/>
        <v>PD-1707</v>
      </c>
      <c r="B1364" s="18" t="s">
        <v>605</v>
      </c>
      <c r="C1364" s="18" t="s">
        <v>606</v>
      </c>
      <c r="D1364" s="18">
        <v>0.366666667</v>
      </c>
      <c r="E1364" s="19">
        <v>43308.0</v>
      </c>
      <c r="F1364" s="18" t="s">
        <v>81</v>
      </c>
      <c r="G1364" s="18"/>
      <c r="H1364" s="18"/>
      <c r="I1364" s="18" t="s">
        <v>77</v>
      </c>
      <c r="J1364" s="18"/>
      <c r="K1364" s="20"/>
      <c r="L1364" s="20"/>
      <c r="M1364" s="20"/>
      <c r="N1364" s="18"/>
    </row>
    <row r="1365">
      <c r="A1365" s="17" t="str">
        <f t="shared" si="1"/>
        <v>IV2-47</v>
      </c>
      <c r="B1365" s="18" t="s">
        <v>546</v>
      </c>
      <c r="C1365" s="18" t="s">
        <v>547</v>
      </c>
      <c r="D1365" s="18">
        <v>0.433333333</v>
      </c>
      <c r="E1365" s="19">
        <v>43308.0</v>
      </c>
      <c r="F1365" s="18" t="s">
        <v>81</v>
      </c>
      <c r="G1365" s="18"/>
      <c r="H1365" s="18" t="s">
        <v>302</v>
      </c>
      <c r="I1365" s="18" t="s">
        <v>132</v>
      </c>
      <c r="J1365" s="18"/>
      <c r="K1365" s="20"/>
      <c r="L1365" s="20"/>
      <c r="M1365" s="20"/>
      <c r="N1365" s="18"/>
    </row>
    <row r="1366">
      <c r="A1366" s="17" t="str">
        <f t="shared" si="1"/>
        <v>IV2-48</v>
      </c>
      <c r="B1366" s="18" t="s">
        <v>607</v>
      </c>
      <c r="C1366" s="18" t="s">
        <v>608</v>
      </c>
      <c r="D1366" s="18">
        <v>0.216666667</v>
      </c>
      <c r="E1366" s="19">
        <v>43308.0</v>
      </c>
      <c r="F1366" s="18" t="s">
        <v>81</v>
      </c>
      <c r="G1366" s="18"/>
      <c r="H1366" s="18" t="s">
        <v>302</v>
      </c>
      <c r="I1366" s="18" t="s">
        <v>132</v>
      </c>
      <c r="J1366" s="18"/>
      <c r="K1366" s="20"/>
      <c r="L1366" s="20"/>
      <c r="M1366" s="20"/>
      <c r="N1366" s="18"/>
    </row>
    <row r="1367">
      <c r="A1367" s="17" t="str">
        <f t="shared" si="1"/>
        <v>IV2-49</v>
      </c>
      <c r="B1367" s="18" t="s">
        <v>555</v>
      </c>
      <c r="C1367" s="18" t="s">
        <v>556</v>
      </c>
      <c r="D1367" s="18">
        <v>0.216666667</v>
      </c>
      <c r="E1367" s="19">
        <v>43308.0</v>
      </c>
      <c r="F1367" s="18" t="s">
        <v>81</v>
      </c>
      <c r="G1367" s="18"/>
      <c r="H1367" s="18" t="s">
        <v>302</v>
      </c>
      <c r="I1367" s="18" t="s">
        <v>132</v>
      </c>
      <c r="J1367" s="18"/>
      <c r="K1367" s="20"/>
      <c r="L1367" s="20"/>
      <c r="M1367" s="20"/>
      <c r="N1367" s="18"/>
    </row>
    <row r="1368">
      <c r="A1368" s="17" t="str">
        <f t="shared" si="1"/>
        <v>IV2-50</v>
      </c>
      <c r="B1368" s="18" t="s">
        <v>609</v>
      </c>
      <c r="C1368" s="18" t="s">
        <v>610</v>
      </c>
      <c r="D1368" s="18">
        <v>0.25</v>
      </c>
      <c r="E1368" s="19">
        <v>43308.0</v>
      </c>
      <c r="F1368" s="18" t="s">
        <v>81</v>
      </c>
      <c r="G1368" s="18"/>
      <c r="H1368" s="18" t="s">
        <v>302</v>
      </c>
      <c r="I1368" s="18" t="s">
        <v>132</v>
      </c>
      <c r="J1368" s="18"/>
      <c r="K1368" s="20"/>
      <c r="L1368" s="20"/>
      <c r="M1368" s="20"/>
      <c r="N1368" s="18"/>
    </row>
    <row r="1369">
      <c r="A1369" s="17" t="str">
        <f t="shared" si="1"/>
        <v>IV2-51</v>
      </c>
      <c r="B1369" s="18" t="s">
        <v>611</v>
      </c>
      <c r="C1369" s="18" t="s">
        <v>612</v>
      </c>
      <c r="D1369" s="18">
        <v>0.3</v>
      </c>
      <c r="E1369" s="19">
        <v>43308.0</v>
      </c>
      <c r="F1369" s="18" t="s">
        <v>81</v>
      </c>
      <c r="G1369" s="18"/>
      <c r="H1369" s="18" t="s">
        <v>302</v>
      </c>
      <c r="I1369" s="18" t="s">
        <v>132</v>
      </c>
      <c r="J1369" s="18"/>
      <c r="K1369" s="20"/>
      <c r="L1369" s="20"/>
      <c r="M1369" s="20"/>
      <c r="N1369" s="18"/>
    </row>
    <row r="1370">
      <c r="A1370" s="17" t="str">
        <f t="shared" si="1"/>
        <v>PD-1708</v>
      </c>
      <c r="B1370" s="18" t="s">
        <v>613</v>
      </c>
      <c r="C1370" s="18" t="s">
        <v>614</v>
      </c>
      <c r="D1370" s="18">
        <v>0.25</v>
      </c>
      <c r="E1370" s="19">
        <v>43308.0</v>
      </c>
      <c r="F1370" s="18" t="s">
        <v>81</v>
      </c>
      <c r="G1370" s="18"/>
      <c r="H1370" s="18" t="s">
        <v>253</v>
      </c>
      <c r="I1370" s="18" t="s">
        <v>116</v>
      </c>
      <c r="J1370" s="18"/>
      <c r="K1370" s="20"/>
      <c r="L1370" s="20"/>
      <c r="M1370" s="18"/>
      <c r="N1370" s="18"/>
    </row>
    <row r="1371">
      <c r="A1371" s="17" t="str">
        <f t="shared" si="1"/>
        <v>PD-1440</v>
      </c>
      <c r="B1371" s="18" t="s">
        <v>158</v>
      </c>
      <c r="C1371" s="18" t="s">
        <v>159</v>
      </c>
      <c r="D1371" s="18">
        <v>0.233333333</v>
      </c>
      <c r="E1371" s="19">
        <v>43308.0</v>
      </c>
      <c r="F1371" s="18" t="s">
        <v>81</v>
      </c>
      <c r="G1371" s="18"/>
      <c r="H1371" s="18"/>
      <c r="I1371" s="18" t="s">
        <v>81</v>
      </c>
      <c r="J1371" s="18"/>
      <c r="K1371" s="20"/>
      <c r="L1371" s="20"/>
      <c r="M1371" s="18"/>
      <c r="N1371" s="18"/>
    </row>
    <row r="1372">
      <c r="A1372" s="17" t="str">
        <f t="shared" si="1"/>
        <v>IV2-28</v>
      </c>
      <c r="B1372" s="18" t="s">
        <v>377</v>
      </c>
      <c r="C1372" s="18" t="s">
        <v>378</v>
      </c>
      <c r="D1372" s="18">
        <v>1.2</v>
      </c>
      <c r="E1372" s="19">
        <v>43308.0</v>
      </c>
      <c r="F1372" s="18" t="s">
        <v>81</v>
      </c>
      <c r="G1372" s="18"/>
      <c r="H1372" s="18" t="s">
        <v>302</v>
      </c>
      <c r="I1372" s="18" t="s">
        <v>81</v>
      </c>
      <c r="J1372" s="18"/>
      <c r="K1372" s="20"/>
      <c r="L1372" s="18"/>
      <c r="M1372" s="20"/>
      <c r="N1372" s="18"/>
    </row>
    <row r="1373">
      <c r="A1373" s="17" t="str">
        <f t="shared" si="1"/>
        <v>IV2-27</v>
      </c>
      <c r="B1373" s="18" t="s">
        <v>317</v>
      </c>
      <c r="C1373" s="18" t="s">
        <v>318</v>
      </c>
      <c r="D1373" s="18">
        <v>3.216666667</v>
      </c>
      <c r="E1373" s="19">
        <v>43308.0</v>
      </c>
      <c r="F1373" s="18" t="s">
        <v>81</v>
      </c>
      <c r="G1373" s="18"/>
      <c r="H1373" s="18" t="s">
        <v>302</v>
      </c>
      <c r="I1373" s="18" t="s">
        <v>81</v>
      </c>
      <c r="J1373" s="18"/>
      <c r="K1373" s="20"/>
      <c r="L1373" s="18"/>
      <c r="M1373" s="20"/>
      <c r="N1373" s="18"/>
    </row>
    <row r="1374">
      <c r="A1374" s="17" t="str">
        <f t="shared" si="1"/>
        <v>PD-1650</v>
      </c>
      <c r="B1374" s="18" t="s">
        <v>185</v>
      </c>
      <c r="C1374" s="18" t="s">
        <v>186</v>
      </c>
      <c r="D1374" s="18">
        <v>0.166666667</v>
      </c>
      <c r="E1374" s="19">
        <v>43311.0</v>
      </c>
      <c r="F1374" s="18" t="s">
        <v>81</v>
      </c>
      <c r="G1374" s="18" t="s">
        <v>187</v>
      </c>
      <c r="H1374" s="18"/>
      <c r="I1374" s="18" t="s">
        <v>77</v>
      </c>
      <c r="J1374" s="18"/>
      <c r="K1374" s="20"/>
      <c r="L1374" s="18"/>
      <c r="M1374" s="20"/>
      <c r="N1374" s="18"/>
    </row>
    <row r="1375">
      <c r="A1375" s="17" t="str">
        <f t="shared" si="1"/>
        <v>IOP-867</v>
      </c>
      <c r="B1375" s="18" t="s">
        <v>143</v>
      </c>
      <c r="C1375" s="18" t="s">
        <v>144</v>
      </c>
      <c r="D1375" s="18">
        <v>0.35</v>
      </c>
      <c r="E1375" s="19">
        <v>43311.0</v>
      </c>
      <c r="F1375" s="18" t="s">
        <v>81</v>
      </c>
      <c r="G1375" s="18"/>
      <c r="H1375" s="18" t="s">
        <v>119</v>
      </c>
      <c r="I1375" s="18" t="s">
        <v>120</v>
      </c>
      <c r="J1375" s="18"/>
      <c r="K1375" s="20"/>
      <c r="L1375" s="20"/>
      <c r="M1375" s="20"/>
      <c r="N1375" s="18"/>
    </row>
    <row r="1376">
      <c r="A1376" s="17" t="str">
        <f t="shared" si="1"/>
        <v>IOP-866</v>
      </c>
      <c r="B1376" s="18" t="s">
        <v>117</v>
      </c>
      <c r="C1376" s="18" t="s">
        <v>118</v>
      </c>
      <c r="D1376" s="18">
        <v>0.183333333</v>
      </c>
      <c r="E1376" s="19">
        <v>43311.0</v>
      </c>
      <c r="F1376" s="18" t="s">
        <v>81</v>
      </c>
      <c r="G1376" s="18"/>
      <c r="H1376" s="18" t="s">
        <v>119</v>
      </c>
      <c r="I1376" s="18" t="s">
        <v>120</v>
      </c>
      <c r="J1376" s="18"/>
      <c r="K1376" s="20"/>
      <c r="L1376" s="20"/>
      <c r="M1376" s="20"/>
      <c r="N1376" s="18"/>
    </row>
    <row r="1377">
      <c r="A1377" s="17" t="str">
        <f t="shared" si="1"/>
        <v>PD-1709</v>
      </c>
      <c r="B1377" s="18" t="s">
        <v>539</v>
      </c>
      <c r="C1377" s="18" t="s">
        <v>540</v>
      </c>
      <c r="D1377" s="18">
        <v>0.683333333</v>
      </c>
      <c r="E1377" s="19">
        <v>43311.0</v>
      </c>
      <c r="F1377" s="18" t="s">
        <v>81</v>
      </c>
      <c r="G1377" s="18"/>
      <c r="H1377" s="18" t="s">
        <v>187</v>
      </c>
      <c r="I1377" s="17" t="s">
        <v>541</v>
      </c>
      <c r="J1377" s="18"/>
      <c r="K1377" s="20"/>
      <c r="L1377" s="20"/>
      <c r="M1377" s="20"/>
      <c r="N1377" s="18"/>
    </row>
    <row r="1378">
      <c r="A1378" s="17" t="str">
        <f t="shared" si="1"/>
        <v>PD-1717</v>
      </c>
      <c r="B1378" s="18" t="s">
        <v>615</v>
      </c>
      <c r="C1378" s="18" t="s">
        <v>616</v>
      </c>
      <c r="D1378" s="18">
        <v>0.25</v>
      </c>
      <c r="E1378" s="19">
        <v>43311.0</v>
      </c>
      <c r="F1378" s="18" t="s">
        <v>81</v>
      </c>
      <c r="G1378" s="18"/>
      <c r="H1378" s="18" t="s">
        <v>187</v>
      </c>
      <c r="I1378" s="17" t="s">
        <v>541</v>
      </c>
      <c r="J1378" s="18"/>
      <c r="K1378" s="20"/>
      <c r="L1378" s="20"/>
      <c r="M1378" s="20"/>
      <c r="N1378" s="18"/>
    </row>
    <row r="1379">
      <c r="A1379" s="17" t="str">
        <f t="shared" si="1"/>
        <v>PD-1656</v>
      </c>
      <c r="B1379" s="18" t="s">
        <v>315</v>
      </c>
      <c r="C1379" s="18" t="s">
        <v>316</v>
      </c>
      <c r="D1379" s="18">
        <v>0.3</v>
      </c>
      <c r="E1379" s="19">
        <v>43311.0</v>
      </c>
      <c r="F1379" s="18" t="s">
        <v>81</v>
      </c>
      <c r="G1379" s="18"/>
      <c r="H1379" s="18" t="s">
        <v>187</v>
      </c>
      <c r="I1379" s="18" t="s">
        <v>81</v>
      </c>
      <c r="J1379" s="18"/>
      <c r="K1379" s="20"/>
      <c r="L1379" s="20"/>
      <c r="M1379" s="20"/>
      <c r="N1379" s="18"/>
    </row>
    <row r="1380">
      <c r="A1380" s="17" t="str">
        <f t="shared" si="1"/>
        <v>PD-1711</v>
      </c>
      <c r="B1380" s="18" t="s">
        <v>617</v>
      </c>
      <c r="C1380" s="18" t="s">
        <v>618</v>
      </c>
      <c r="D1380" s="18">
        <v>0.383333333</v>
      </c>
      <c r="E1380" s="19">
        <v>43311.0</v>
      </c>
      <c r="F1380" s="18" t="s">
        <v>81</v>
      </c>
      <c r="G1380" s="18"/>
      <c r="H1380" s="18" t="s">
        <v>187</v>
      </c>
      <c r="I1380" s="17" t="s">
        <v>541</v>
      </c>
      <c r="J1380" s="18"/>
      <c r="K1380" s="20"/>
      <c r="L1380" s="20"/>
      <c r="M1380" s="20"/>
      <c r="N1380" s="18"/>
    </row>
    <row r="1381">
      <c r="A1381" s="17" t="str">
        <f t="shared" si="1"/>
        <v>PD-1658</v>
      </c>
      <c r="B1381" s="18" t="s">
        <v>336</v>
      </c>
      <c r="C1381" s="18" t="s">
        <v>337</v>
      </c>
      <c r="D1381" s="18">
        <v>1.05</v>
      </c>
      <c r="E1381" s="19">
        <v>43311.0</v>
      </c>
      <c r="F1381" s="18" t="s">
        <v>81</v>
      </c>
      <c r="G1381" s="18"/>
      <c r="H1381" s="18" t="s">
        <v>187</v>
      </c>
      <c r="I1381" s="18" t="s">
        <v>81</v>
      </c>
      <c r="J1381" s="18"/>
      <c r="K1381" s="20"/>
      <c r="L1381" s="20"/>
      <c r="M1381" s="20"/>
      <c r="N1381" s="18"/>
    </row>
    <row r="1382">
      <c r="A1382" s="17" t="str">
        <f t="shared" si="1"/>
        <v>IV2-4</v>
      </c>
      <c r="B1382" s="18" t="s">
        <v>323</v>
      </c>
      <c r="C1382" s="18" t="s">
        <v>324</v>
      </c>
      <c r="D1382" s="18">
        <v>0.45</v>
      </c>
      <c r="E1382" s="19">
        <v>43311.0</v>
      </c>
      <c r="F1382" s="18" t="s">
        <v>81</v>
      </c>
      <c r="G1382" s="18" t="s">
        <v>302</v>
      </c>
      <c r="H1382" s="18"/>
      <c r="I1382" s="18" t="s">
        <v>81</v>
      </c>
      <c r="J1382" s="18"/>
      <c r="K1382" s="20"/>
      <c r="L1382" s="20"/>
      <c r="M1382" s="20"/>
      <c r="N1382" s="18"/>
    </row>
    <row r="1383">
      <c r="A1383" s="17" t="str">
        <f t="shared" si="1"/>
        <v>IV2-28</v>
      </c>
      <c r="B1383" s="18" t="s">
        <v>377</v>
      </c>
      <c r="C1383" s="18" t="s">
        <v>378</v>
      </c>
      <c r="D1383" s="18">
        <v>0.716666667</v>
      </c>
      <c r="E1383" s="19">
        <v>43311.0</v>
      </c>
      <c r="F1383" s="18" t="s">
        <v>81</v>
      </c>
      <c r="G1383" s="18"/>
      <c r="H1383" s="18" t="s">
        <v>302</v>
      </c>
      <c r="I1383" s="18" t="s">
        <v>81</v>
      </c>
      <c r="J1383" s="18"/>
      <c r="K1383" s="20"/>
      <c r="L1383" s="20"/>
      <c r="M1383" s="20"/>
      <c r="N1383" s="18"/>
    </row>
    <row r="1384">
      <c r="A1384" s="17" t="str">
        <f t="shared" si="1"/>
        <v>IV2-27</v>
      </c>
      <c r="B1384" s="18" t="s">
        <v>317</v>
      </c>
      <c r="C1384" s="18" t="s">
        <v>318</v>
      </c>
      <c r="D1384" s="18">
        <v>0.316666667</v>
      </c>
      <c r="E1384" s="19">
        <v>43311.0</v>
      </c>
      <c r="F1384" s="18" t="s">
        <v>81</v>
      </c>
      <c r="G1384" s="18"/>
      <c r="H1384" s="18" t="s">
        <v>302</v>
      </c>
      <c r="I1384" s="18" t="s">
        <v>81</v>
      </c>
      <c r="J1384" s="18"/>
      <c r="K1384" s="20"/>
      <c r="L1384" s="20"/>
      <c r="M1384" s="20"/>
      <c r="N1384" s="18"/>
    </row>
    <row r="1385">
      <c r="A1385" s="17" t="str">
        <f t="shared" si="1"/>
        <v>PD-1708</v>
      </c>
      <c r="B1385" s="18" t="s">
        <v>613</v>
      </c>
      <c r="C1385" s="18" t="s">
        <v>614</v>
      </c>
      <c r="D1385" s="18">
        <v>1.283333333</v>
      </c>
      <c r="E1385" s="19">
        <v>43311.0</v>
      </c>
      <c r="F1385" s="18" t="s">
        <v>81</v>
      </c>
      <c r="G1385" s="18"/>
      <c r="H1385" s="18" t="s">
        <v>253</v>
      </c>
      <c r="I1385" s="18" t="s">
        <v>116</v>
      </c>
      <c r="J1385" s="18"/>
      <c r="K1385" s="20"/>
      <c r="L1385" s="20"/>
      <c r="M1385" s="20"/>
      <c r="N1385" s="18"/>
    </row>
    <row r="1386">
      <c r="A1386" s="17" t="str">
        <f t="shared" si="1"/>
        <v>IV2-8</v>
      </c>
      <c r="B1386" s="18" t="s">
        <v>300</v>
      </c>
      <c r="C1386" s="18" t="s">
        <v>301</v>
      </c>
      <c r="D1386" s="18">
        <v>0.1</v>
      </c>
      <c r="E1386" s="19">
        <v>43311.0</v>
      </c>
      <c r="F1386" s="18" t="s">
        <v>81</v>
      </c>
      <c r="G1386" s="18"/>
      <c r="H1386" s="18" t="s">
        <v>302</v>
      </c>
      <c r="I1386" s="18" t="s">
        <v>78</v>
      </c>
      <c r="J1386" s="18"/>
      <c r="K1386" s="20"/>
      <c r="L1386" s="20"/>
      <c r="M1386" s="20"/>
      <c r="N1386" s="18"/>
    </row>
    <row r="1387">
      <c r="A1387" s="17" t="str">
        <f t="shared" si="1"/>
        <v>IV2-47</v>
      </c>
      <c r="B1387" s="18" t="s">
        <v>546</v>
      </c>
      <c r="C1387" s="18" t="s">
        <v>547</v>
      </c>
      <c r="D1387" s="18">
        <v>2.0</v>
      </c>
      <c r="E1387" s="19">
        <v>43311.0</v>
      </c>
      <c r="F1387" s="18" t="s">
        <v>81</v>
      </c>
      <c r="G1387" s="18"/>
      <c r="H1387" s="18" t="s">
        <v>302</v>
      </c>
      <c r="I1387" s="18" t="s">
        <v>132</v>
      </c>
      <c r="J1387" s="18"/>
      <c r="K1387" s="20"/>
      <c r="L1387" s="20"/>
      <c r="M1387" s="20"/>
      <c r="N1387" s="18"/>
    </row>
    <row r="1388">
      <c r="A1388" s="17" t="str">
        <f t="shared" si="1"/>
        <v>IOP-867</v>
      </c>
      <c r="B1388" s="18" t="s">
        <v>143</v>
      </c>
      <c r="C1388" s="18" t="s">
        <v>144</v>
      </c>
      <c r="D1388" s="18">
        <v>0.233333333</v>
      </c>
      <c r="E1388" s="19">
        <v>43348.0</v>
      </c>
      <c r="F1388" s="18" t="s">
        <v>81</v>
      </c>
      <c r="G1388" s="18"/>
      <c r="H1388" s="18" t="s">
        <v>119</v>
      </c>
      <c r="I1388" s="18" t="s">
        <v>120</v>
      </c>
      <c r="J1388" s="18"/>
      <c r="K1388" s="20"/>
      <c r="L1388" s="20"/>
      <c r="M1388" s="20"/>
      <c r="N1388" s="18"/>
    </row>
    <row r="1389">
      <c r="A1389" s="17" t="str">
        <f t="shared" si="1"/>
        <v>IOP-867</v>
      </c>
      <c r="B1389" s="18" t="s">
        <v>143</v>
      </c>
      <c r="C1389" s="18" t="s">
        <v>144</v>
      </c>
      <c r="D1389" s="18">
        <v>0.283333333</v>
      </c>
      <c r="E1389" s="19">
        <v>43349.0</v>
      </c>
      <c r="F1389" s="18" t="s">
        <v>81</v>
      </c>
      <c r="G1389" s="18"/>
      <c r="H1389" s="18" t="s">
        <v>119</v>
      </c>
      <c r="I1389" s="18" t="s">
        <v>120</v>
      </c>
      <c r="J1389" s="18"/>
      <c r="K1389" s="20"/>
      <c r="L1389" s="20"/>
      <c r="M1389" s="20"/>
      <c r="N1389" s="18"/>
    </row>
    <row r="1390">
      <c r="A1390" s="17" t="str">
        <f t="shared" si="1"/>
        <v>IOP-867</v>
      </c>
      <c r="B1390" s="18" t="s">
        <v>143</v>
      </c>
      <c r="C1390" s="18" t="s">
        <v>144</v>
      </c>
      <c r="D1390" s="18">
        <v>0.216666667</v>
      </c>
      <c r="E1390" s="19">
        <v>43312.0</v>
      </c>
      <c r="F1390" s="18" t="s">
        <v>81</v>
      </c>
      <c r="G1390" s="18"/>
      <c r="H1390" s="18" t="s">
        <v>119</v>
      </c>
      <c r="I1390" s="18" t="s">
        <v>120</v>
      </c>
      <c r="J1390" s="18"/>
      <c r="K1390" s="20"/>
      <c r="L1390" s="20"/>
      <c r="M1390" s="20"/>
      <c r="N1390" s="18"/>
    </row>
    <row r="1391">
      <c r="A1391" s="17" t="str">
        <f t="shared" si="1"/>
        <v>IOP-866</v>
      </c>
      <c r="B1391" s="18" t="s">
        <v>117</v>
      </c>
      <c r="C1391" s="18" t="s">
        <v>118</v>
      </c>
      <c r="D1391" s="18">
        <v>0.083333333</v>
      </c>
      <c r="E1391" s="19">
        <v>43312.0</v>
      </c>
      <c r="F1391" s="18" t="s">
        <v>81</v>
      </c>
      <c r="G1391" s="18"/>
      <c r="H1391" s="18" t="s">
        <v>119</v>
      </c>
      <c r="I1391" s="18" t="s">
        <v>120</v>
      </c>
      <c r="J1391" s="18"/>
      <c r="K1391" s="20"/>
      <c r="L1391" s="20"/>
      <c r="M1391" s="20"/>
      <c r="N1391" s="18"/>
    </row>
    <row r="1392">
      <c r="A1392" s="17" t="str">
        <f t="shared" si="1"/>
        <v>PD-1650</v>
      </c>
      <c r="B1392" s="18" t="s">
        <v>185</v>
      </c>
      <c r="C1392" s="18" t="s">
        <v>186</v>
      </c>
      <c r="D1392" s="18">
        <v>0.283333333</v>
      </c>
      <c r="E1392" s="19">
        <v>43312.0</v>
      </c>
      <c r="F1392" s="18" t="s">
        <v>81</v>
      </c>
      <c r="G1392" s="18" t="s">
        <v>187</v>
      </c>
      <c r="H1392" s="18"/>
      <c r="I1392" s="18" t="s">
        <v>77</v>
      </c>
      <c r="J1392" s="18"/>
      <c r="K1392" s="20"/>
      <c r="L1392" s="20"/>
      <c r="M1392" s="20"/>
      <c r="N1392" s="18"/>
    </row>
    <row r="1393">
      <c r="A1393" s="17" t="str">
        <f t="shared" si="1"/>
        <v>PD-1711</v>
      </c>
      <c r="B1393" s="18" t="s">
        <v>617</v>
      </c>
      <c r="C1393" s="18" t="s">
        <v>618</v>
      </c>
      <c r="D1393" s="18">
        <v>0.383333333</v>
      </c>
      <c r="E1393" s="19">
        <v>43312.0</v>
      </c>
      <c r="F1393" s="18" t="s">
        <v>81</v>
      </c>
      <c r="G1393" s="18"/>
      <c r="H1393" s="18" t="s">
        <v>187</v>
      </c>
      <c r="I1393" s="17" t="s">
        <v>541</v>
      </c>
      <c r="J1393" s="18"/>
      <c r="K1393" s="20"/>
      <c r="L1393" s="20"/>
      <c r="M1393" s="20"/>
      <c r="N1393" s="18"/>
    </row>
    <row r="1394">
      <c r="A1394" s="17" t="str">
        <f t="shared" si="1"/>
        <v>PD-1709</v>
      </c>
      <c r="B1394" s="18" t="s">
        <v>539</v>
      </c>
      <c r="C1394" s="18" t="s">
        <v>540</v>
      </c>
      <c r="D1394" s="18">
        <v>4.433333333</v>
      </c>
      <c r="E1394" s="19">
        <v>43312.0</v>
      </c>
      <c r="F1394" s="18" t="s">
        <v>81</v>
      </c>
      <c r="G1394" s="18"/>
      <c r="H1394" s="18" t="s">
        <v>187</v>
      </c>
      <c r="I1394" s="17" t="s">
        <v>541</v>
      </c>
      <c r="J1394" s="18"/>
      <c r="K1394" s="20"/>
      <c r="L1394" s="20"/>
      <c r="M1394" s="20"/>
      <c r="N1394" s="18"/>
    </row>
    <row r="1395">
      <c r="A1395" s="17" t="str">
        <f t="shared" si="1"/>
        <v>PD-1679</v>
      </c>
      <c r="B1395" s="18" t="s">
        <v>357</v>
      </c>
      <c r="C1395" s="18" t="s">
        <v>358</v>
      </c>
      <c r="D1395" s="18">
        <v>2.333333333</v>
      </c>
      <c r="E1395" s="19">
        <v>43312.0</v>
      </c>
      <c r="F1395" s="18" t="s">
        <v>81</v>
      </c>
      <c r="G1395" s="18"/>
      <c r="H1395" s="18" t="s">
        <v>187</v>
      </c>
      <c r="I1395" s="18" t="s">
        <v>77</v>
      </c>
      <c r="J1395" s="18"/>
      <c r="K1395" s="20"/>
      <c r="L1395" s="20"/>
      <c r="M1395" s="20"/>
      <c r="N1395" s="18"/>
    </row>
    <row r="1396">
      <c r="A1396" s="17" t="str">
        <f t="shared" si="1"/>
        <v>PD-1708</v>
      </c>
      <c r="B1396" s="18" t="s">
        <v>613</v>
      </c>
      <c r="C1396" s="18" t="s">
        <v>614</v>
      </c>
      <c r="D1396" s="18">
        <v>0.283333333</v>
      </c>
      <c r="E1396" s="19">
        <v>43312.0</v>
      </c>
      <c r="F1396" s="18" t="s">
        <v>81</v>
      </c>
      <c r="G1396" s="18"/>
      <c r="H1396" s="18" t="s">
        <v>253</v>
      </c>
      <c r="I1396" s="18" t="s">
        <v>116</v>
      </c>
      <c r="J1396" s="18"/>
      <c r="K1396" s="20"/>
      <c r="L1396" s="18"/>
      <c r="M1396" s="20"/>
      <c r="N1396" s="18"/>
    </row>
    <row r="1397">
      <c r="A1397" s="17" t="str">
        <f t="shared" si="1"/>
        <v>IOP-866</v>
      </c>
      <c r="B1397" s="18" t="s">
        <v>117</v>
      </c>
      <c r="C1397" s="18" t="s">
        <v>118</v>
      </c>
      <c r="D1397" s="18">
        <v>0.25</v>
      </c>
      <c r="E1397" s="19">
        <v>43348.0</v>
      </c>
      <c r="F1397" s="18" t="s">
        <v>81</v>
      </c>
      <c r="G1397" s="18"/>
      <c r="H1397" s="18" t="s">
        <v>119</v>
      </c>
      <c r="I1397" s="18" t="s">
        <v>120</v>
      </c>
      <c r="J1397" s="18"/>
      <c r="K1397" s="20"/>
      <c r="L1397" s="20"/>
      <c r="M1397" s="20"/>
      <c r="N1397" s="18"/>
    </row>
    <row r="1398">
      <c r="A1398" s="17" t="str">
        <f t="shared" si="1"/>
        <v>IOP-866</v>
      </c>
      <c r="B1398" s="18" t="s">
        <v>117</v>
      </c>
      <c r="C1398" s="18" t="s">
        <v>118</v>
      </c>
      <c r="D1398" s="18">
        <v>0.166666667</v>
      </c>
      <c r="E1398" s="19">
        <v>43349.0</v>
      </c>
      <c r="F1398" s="18" t="s">
        <v>81</v>
      </c>
      <c r="G1398" s="18"/>
      <c r="H1398" s="18" t="s">
        <v>119</v>
      </c>
      <c r="I1398" s="18" t="s">
        <v>120</v>
      </c>
      <c r="J1398" s="18"/>
      <c r="K1398" s="20"/>
      <c r="L1398" s="20"/>
      <c r="M1398" s="20"/>
      <c r="N1398" s="18"/>
    </row>
    <row r="1399">
      <c r="A1399" s="17" t="str">
        <f t="shared" si="1"/>
        <v>PD-1709</v>
      </c>
      <c r="B1399" s="18" t="s">
        <v>539</v>
      </c>
      <c r="C1399" s="18" t="s">
        <v>540</v>
      </c>
      <c r="D1399" s="18">
        <v>5.483333333</v>
      </c>
      <c r="E1399" s="19">
        <v>43348.0</v>
      </c>
      <c r="F1399" s="18" t="s">
        <v>81</v>
      </c>
      <c r="G1399" s="18"/>
      <c r="H1399" s="18" t="s">
        <v>187</v>
      </c>
      <c r="I1399" s="17" t="s">
        <v>541</v>
      </c>
      <c r="J1399" s="18"/>
      <c r="K1399" s="20"/>
      <c r="L1399" s="20"/>
      <c r="M1399" s="20"/>
      <c r="N1399" s="18"/>
    </row>
    <row r="1400">
      <c r="A1400" s="17" t="str">
        <f t="shared" si="1"/>
        <v>IV2-17</v>
      </c>
      <c r="B1400" s="18" t="s">
        <v>373</v>
      </c>
      <c r="C1400" s="18" t="s">
        <v>374</v>
      </c>
      <c r="D1400" s="18">
        <v>5.866666667</v>
      </c>
      <c r="E1400" s="19">
        <v>43349.0</v>
      </c>
      <c r="F1400" s="18" t="s">
        <v>81</v>
      </c>
      <c r="G1400" s="18"/>
      <c r="H1400" s="18" t="s">
        <v>302</v>
      </c>
      <c r="I1400" s="18" t="s">
        <v>81</v>
      </c>
      <c r="J1400" s="18"/>
      <c r="K1400" s="20"/>
      <c r="L1400" s="20"/>
      <c r="M1400" s="20"/>
      <c r="N1400" s="18"/>
    </row>
    <row r="1401">
      <c r="A1401" s="17" t="str">
        <f t="shared" si="1"/>
        <v>IOP-867</v>
      </c>
      <c r="B1401" s="18" t="s">
        <v>143</v>
      </c>
      <c r="C1401" s="18" t="s">
        <v>144</v>
      </c>
      <c r="D1401" s="18">
        <v>0.116666667</v>
      </c>
      <c r="E1401" s="19">
        <v>43313.0</v>
      </c>
      <c r="F1401" s="18" t="s">
        <v>81</v>
      </c>
      <c r="G1401" s="18"/>
      <c r="H1401" s="18" t="s">
        <v>119</v>
      </c>
      <c r="I1401" s="18" t="s">
        <v>120</v>
      </c>
      <c r="J1401" s="18"/>
      <c r="K1401" s="20"/>
      <c r="L1401" s="20"/>
      <c r="M1401" s="20"/>
      <c r="N1401" s="18"/>
    </row>
    <row r="1402">
      <c r="A1402" s="17" t="str">
        <f t="shared" si="1"/>
        <v>IOP-866</v>
      </c>
      <c r="B1402" s="18" t="s">
        <v>117</v>
      </c>
      <c r="C1402" s="18" t="s">
        <v>118</v>
      </c>
      <c r="D1402" s="18">
        <v>0.133333333</v>
      </c>
      <c r="E1402" s="19">
        <v>43313.0</v>
      </c>
      <c r="F1402" s="18" t="s">
        <v>81</v>
      </c>
      <c r="G1402" s="18"/>
      <c r="H1402" s="18" t="s">
        <v>119</v>
      </c>
      <c r="I1402" s="18" t="s">
        <v>120</v>
      </c>
      <c r="J1402" s="18"/>
      <c r="K1402" s="20"/>
      <c r="L1402" s="20"/>
      <c r="M1402" s="20"/>
      <c r="N1402" s="18"/>
    </row>
    <row r="1403">
      <c r="A1403" s="17" t="str">
        <f t="shared" si="1"/>
        <v>PD-1679</v>
      </c>
      <c r="B1403" s="18" t="s">
        <v>357</v>
      </c>
      <c r="C1403" s="18" t="s">
        <v>358</v>
      </c>
      <c r="D1403" s="18">
        <v>0.25</v>
      </c>
      <c r="E1403" s="19">
        <v>43313.0</v>
      </c>
      <c r="F1403" s="18" t="s">
        <v>81</v>
      </c>
      <c r="G1403" s="18"/>
      <c r="H1403" s="18" t="s">
        <v>187</v>
      </c>
      <c r="I1403" s="18" t="s">
        <v>77</v>
      </c>
      <c r="J1403" s="18"/>
      <c r="K1403" s="20"/>
      <c r="L1403" s="20"/>
      <c r="M1403" s="20"/>
      <c r="N1403" s="18"/>
    </row>
    <row r="1404">
      <c r="A1404" s="17" t="str">
        <f t="shared" si="1"/>
        <v>IV2-4</v>
      </c>
      <c r="B1404" s="18" t="s">
        <v>323</v>
      </c>
      <c r="C1404" s="18" t="s">
        <v>324</v>
      </c>
      <c r="D1404" s="18">
        <v>0.25</v>
      </c>
      <c r="E1404" s="19">
        <v>43313.0</v>
      </c>
      <c r="F1404" s="18" t="s">
        <v>81</v>
      </c>
      <c r="G1404" s="18" t="s">
        <v>302</v>
      </c>
      <c r="H1404" s="18"/>
      <c r="I1404" s="18" t="s">
        <v>81</v>
      </c>
      <c r="J1404" s="18"/>
      <c r="K1404" s="20"/>
      <c r="L1404" s="20"/>
      <c r="M1404" s="20"/>
      <c r="N1404" s="18"/>
    </row>
    <row r="1405">
      <c r="A1405" s="17" t="str">
        <f t="shared" si="1"/>
        <v>IV2-14</v>
      </c>
      <c r="B1405" s="18" t="s">
        <v>413</v>
      </c>
      <c r="C1405" s="18" t="s">
        <v>414</v>
      </c>
      <c r="D1405" s="18">
        <v>0.116666667</v>
      </c>
      <c r="E1405" s="19">
        <v>43313.0</v>
      </c>
      <c r="F1405" s="18" t="s">
        <v>81</v>
      </c>
      <c r="G1405" s="18"/>
      <c r="H1405" s="18" t="s">
        <v>302</v>
      </c>
      <c r="I1405" s="18" t="s">
        <v>81</v>
      </c>
      <c r="J1405" s="18"/>
      <c r="K1405" s="20"/>
      <c r="L1405" s="20"/>
      <c r="M1405" s="20"/>
      <c r="N1405" s="18"/>
    </row>
    <row r="1406">
      <c r="A1406" s="17" t="str">
        <f t="shared" si="1"/>
        <v>PD-1436</v>
      </c>
      <c r="B1406" s="18" t="s">
        <v>493</v>
      </c>
      <c r="C1406" s="18" t="s">
        <v>494</v>
      </c>
      <c r="D1406" s="18">
        <v>0.066666667</v>
      </c>
      <c r="E1406" s="19">
        <v>43313.0</v>
      </c>
      <c r="F1406" s="18" t="s">
        <v>81</v>
      </c>
      <c r="G1406" s="18"/>
      <c r="H1406" s="18" t="s">
        <v>302</v>
      </c>
      <c r="I1406" s="18" t="s">
        <v>77</v>
      </c>
      <c r="J1406" s="18"/>
      <c r="K1406" s="20"/>
      <c r="L1406" s="20"/>
      <c r="M1406" s="20"/>
      <c r="N1406" s="18"/>
    </row>
    <row r="1407">
      <c r="A1407" s="17" t="str">
        <f t="shared" si="1"/>
        <v>PD-1708</v>
      </c>
      <c r="B1407" s="18" t="s">
        <v>613</v>
      </c>
      <c r="C1407" s="18" t="s">
        <v>614</v>
      </c>
      <c r="D1407" s="18">
        <v>3.25</v>
      </c>
      <c r="E1407" s="19">
        <v>43313.0</v>
      </c>
      <c r="F1407" s="18" t="s">
        <v>81</v>
      </c>
      <c r="G1407" s="18"/>
      <c r="H1407" s="18" t="s">
        <v>253</v>
      </c>
      <c r="I1407" s="18" t="s">
        <v>116</v>
      </c>
      <c r="J1407" s="18"/>
      <c r="K1407" s="20"/>
      <c r="L1407" s="20"/>
      <c r="M1407" s="20"/>
      <c r="N1407" s="18"/>
    </row>
    <row r="1408">
      <c r="A1408" s="17" t="str">
        <f t="shared" si="1"/>
        <v>PD-1709</v>
      </c>
      <c r="B1408" s="18" t="s">
        <v>539</v>
      </c>
      <c r="C1408" s="18" t="s">
        <v>540</v>
      </c>
      <c r="D1408" s="18">
        <v>1.633333333</v>
      </c>
      <c r="E1408" s="19">
        <v>43313.0</v>
      </c>
      <c r="F1408" s="18" t="s">
        <v>81</v>
      </c>
      <c r="G1408" s="18"/>
      <c r="H1408" s="18" t="s">
        <v>187</v>
      </c>
      <c r="I1408" s="17" t="s">
        <v>541</v>
      </c>
      <c r="J1408" s="18"/>
      <c r="K1408" s="20"/>
      <c r="L1408" s="20"/>
      <c r="M1408" s="20"/>
      <c r="N1408" s="18"/>
    </row>
    <row r="1409">
      <c r="A1409" s="17" t="str">
        <f t="shared" si="1"/>
        <v>IOP-879</v>
      </c>
      <c r="B1409" s="18" t="s">
        <v>155</v>
      </c>
      <c r="C1409" s="18" t="s">
        <v>156</v>
      </c>
      <c r="D1409" s="18">
        <v>0.683333333</v>
      </c>
      <c r="E1409" s="19">
        <v>43313.0</v>
      </c>
      <c r="F1409" s="18" t="s">
        <v>81</v>
      </c>
      <c r="G1409" s="18"/>
      <c r="H1409" s="18" t="s">
        <v>157</v>
      </c>
      <c r="I1409" s="18" t="s">
        <v>120</v>
      </c>
      <c r="J1409" s="18"/>
      <c r="K1409" s="20"/>
      <c r="L1409" s="20"/>
      <c r="M1409" s="18"/>
      <c r="N1409" s="18"/>
    </row>
    <row r="1410">
      <c r="A1410" s="17" t="str">
        <f t="shared" si="1"/>
        <v>IV2-47</v>
      </c>
      <c r="B1410" s="18" t="s">
        <v>546</v>
      </c>
      <c r="C1410" s="18" t="s">
        <v>547</v>
      </c>
      <c r="D1410" s="18">
        <v>2.183333333</v>
      </c>
      <c r="E1410" s="19">
        <v>43313.0</v>
      </c>
      <c r="F1410" s="18" t="s">
        <v>81</v>
      </c>
      <c r="G1410" s="18"/>
      <c r="H1410" s="18" t="s">
        <v>302</v>
      </c>
      <c r="I1410" s="18" t="s">
        <v>132</v>
      </c>
      <c r="J1410" s="18"/>
      <c r="K1410" s="20"/>
      <c r="L1410" s="20"/>
      <c r="M1410" s="18"/>
      <c r="N1410" s="18"/>
    </row>
    <row r="1411">
      <c r="A1411" s="17" t="str">
        <f t="shared" si="1"/>
        <v>PD-1682</v>
      </c>
      <c r="B1411" s="18" t="s">
        <v>363</v>
      </c>
      <c r="C1411" s="18" t="s">
        <v>364</v>
      </c>
      <c r="D1411" s="18">
        <v>2.216666667</v>
      </c>
      <c r="E1411" s="19">
        <v>43348.0</v>
      </c>
      <c r="F1411" s="18" t="s">
        <v>81</v>
      </c>
      <c r="G1411" s="18"/>
      <c r="H1411" s="18"/>
      <c r="I1411" s="18" t="s">
        <v>132</v>
      </c>
      <c r="J1411" s="18"/>
      <c r="K1411" s="20"/>
      <c r="L1411" s="20"/>
      <c r="M1411" s="18"/>
      <c r="N1411" s="18"/>
    </row>
    <row r="1412">
      <c r="A1412" s="17" t="str">
        <f t="shared" si="1"/>
        <v>PD-1682</v>
      </c>
      <c r="B1412" s="18" t="s">
        <v>363</v>
      </c>
      <c r="C1412" s="18" t="s">
        <v>364</v>
      </c>
      <c r="D1412" s="18">
        <v>0.25</v>
      </c>
      <c r="E1412" s="19">
        <v>43349.0</v>
      </c>
      <c r="F1412" s="18" t="s">
        <v>81</v>
      </c>
      <c r="G1412" s="18"/>
      <c r="H1412" s="18"/>
      <c r="I1412" s="18" t="s">
        <v>132</v>
      </c>
      <c r="J1412" s="18"/>
      <c r="K1412" s="20"/>
      <c r="L1412" s="20"/>
      <c r="M1412" s="18"/>
      <c r="N1412" s="18"/>
    </row>
    <row r="1413">
      <c r="A1413" s="17" t="str">
        <f t="shared" si="1"/>
        <v>IOP-867</v>
      </c>
      <c r="B1413" s="18" t="s">
        <v>143</v>
      </c>
      <c r="C1413" s="18" t="s">
        <v>144</v>
      </c>
      <c r="D1413" s="18">
        <v>0.233333333</v>
      </c>
      <c r="E1413" s="19">
        <v>43319.0</v>
      </c>
      <c r="F1413" s="18" t="s">
        <v>81</v>
      </c>
      <c r="G1413" s="18"/>
      <c r="H1413" s="18" t="s">
        <v>119</v>
      </c>
      <c r="I1413" s="18" t="s">
        <v>120</v>
      </c>
      <c r="J1413" s="18"/>
      <c r="K1413" s="20"/>
      <c r="L1413" s="20"/>
      <c r="M1413" s="18"/>
      <c r="N1413" s="18"/>
    </row>
    <row r="1414">
      <c r="A1414" s="17" t="str">
        <f t="shared" si="1"/>
        <v>IOP-875</v>
      </c>
      <c r="B1414" s="18" t="s">
        <v>123</v>
      </c>
      <c r="C1414" s="18" t="s">
        <v>124</v>
      </c>
      <c r="D1414" s="18">
        <v>0.416666667</v>
      </c>
      <c r="E1414" s="19">
        <v>43319.0</v>
      </c>
      <c r="F1414" s="18" t="s">
        <v>81</v>
      </c>
      <c r="G1414" s="18"/>
      <c r="H1414" s="18" t="s">
        <v>125</v>
      </c>
      <c r="I1414" s="18" t="s">
        <v>120</v>
      </c>
      <c r="J1414" s="18"/>
      <c r="K1414" s="20"/>
      <c r="L1414" s="20"/>
      <c r="M1414" s="18"/>
      <c r="N1414" s="18"/>
    </row>
    <row r="1415">
      <c r="A1415" s="17" t="str">
        <f t="shared" si="1"/>
        <v>IV2-53</v>
      </c>
      <c r="B1415" s="18" t="s">
        <v>619</v>
      </c>
      <c r="C1415" s="18" t="s">
        <v>620</v>
      </c>
      <c r="D1415" s="18">
        <v>0.183333333</v>
      </c>
      <c r="E1415" s="19">
        <v>43319.0</v>
      </c>
      <c r="F1415" s="18" t="s">
        <v>81</v>
      </c>
      <c r="G1415" s="18"/>
      <c r="H1415" s="18" t="s">
        <v>302</v>
      </c>
      <c r="I1415" s="18" t="s">
        <v>89</v>
      </c>
      <c r="J1415" s="18"/>
      <c r="K1415" s="20"/>
      <c r="L1415" s="20"/>
      <c r="M1415" s="18"/>
      <c r="N1415" s="18"/>
    </row>
    <row r="1416">
      <c r="A1416" s="17" t="str">
        <f t="shared" si="1"/>
        <v>IV2-54</v>
      </c>
      <c r="B1416" s="18" t="s">
        <v>621</v>
      </c>
      <c r="C1416" s="18" t="s">
        <v>622</v>
      </c>
      <c r="D1416" s="18">
        <v>1.083333333</v>
      </c>
      <c r="E1416" s="19">
        <v>43319.0</v>
      </c>
      <c r="F1416" s="18" t="s">
        <v>81</v>
      </c>
      <c r="G1416" s="18"/>
      <c r="H1416" s="18" t="s">
        <v>302</v>
      </c>
      <c r="I1416" s="18" t="s">
        <v>89</v>
      </c>
      <c r="J1416" s="18"/>
      <c r="K1416" s="20"/>
      <c r="L1416" s="20"/>
      <c r="M1416" s="18"/>
      <c r="N1416" s="18"/>
    </row>
    <row r="1417">
      <c r="A1417" s="17" t="str">
        <f t="shared" si="1"/>
        <v>IOP-866</v>
      </c>
      <c r="B1417" s="18" t="s">
        <v>117</v>
      </c>
      <c r="C1417" s="18" t="s">
        <v>118</v>
      </c>
      <c r="D1417" s="18">
        <v>0.166666667</v>
      </c>
      <c r="E1417" s="19">
        <v>43319.0</v>
      </c>
      <c r="F1417" s="18" t="s">
        <v>81</v>
      </c>
      <c r="G1417" s="18"/>
      <c r="H1417" s="18" t="s">
        <v>119</v>
      </c>
      <c r="I1417" s="18" t="s">
        <v>120</v>
      </c>
      <c r="J1417" s="18"/>
      <c r="K1417" s="20"/>
      <c r="L1417" s="20"/>
      <c r="M1417" s="20"/>
      <c r="N1417" s="18"/>
    </row>
    <row r="1418">
      <c r="A1418" s="17" t="str">
        <f t="shared" si="1"/>
        <v>IV2-12</v>
      </c>
      <c r="B1418" s="18" t="s">
        <v>405</v>
      </c>
      <c r="C1418" s="18" t="s">
        <v>406</v>
      </c>
      <c r="D1418" s="18">
        <v>1.3</v>
      </c>
      <c r="E1418" s="19">
        <v>43319.0</v>
      </c>
      <c r="F1418" s="18" t="s">
        <v>81</v>
      </c>
      <c r="G1418" s="18"/>
      <c r="H1418" s="18" t="s">
        <v>302</v>
      </c>
      <c r="I1418" s="18" t="s">
        <v>81</v>
      </c>
      <c r="J1418" s="18"/>
      <c r="K1418" s="20"/>
      <c r="L1418" s="20"/>
      <c r="M1418" s="18"/>
      <c r="N1418" s="18"/>
    </row>
    <row r="1419">
      <c r="A1419" s="17" t="str">
        <f t="shared" si="1"/>
        <v>PD-1650</v>
      </c>
      <c r="B1419" s="18" t="s">
        <v>185</v>
      </c>
      <c r="C1419" s="18" t="s">
        <v>186</v>
      </c>
      <c r="D1419" s="18">
        <v>0.416666667</v>
      </c>
      <c r="E1419" s="19">
        <v>43319.0</v>
      </c>
      <c r="F1419" s="18" t="s">
        <v>81</v>
      </c>
      <c r="G1419" s="18" t="s">
        <v>187</v>
      </c>
      <c r="H1419" s="18"/>
      <c r="I1419" s="18" t="s">
        <v>77</v>
      </c>
      <c r="J1419" s="18"/>
      <c r="K1419" s="20"/>
      <c r="L1419" s="20"/>
      <c r="M1419" s="18"/>
      <c r="N1419" s="18"/>
    </row>
    <row r="1420">
      <c r="A1420" s="17" t="str">
        <f t="shared" si="1"/>
        <v>IV2-7</v>
      </c>
      <c r="B1420" s="18" t="s">
        <v>403</v>
      </c>
      <c r="C1420" s="18" t="s">
        <v>404</v>
      </c>
      <c r="D1420" s="18">
        <v>0.316666667</v>
      </c>
      <c r="E1420" s="19">
        <v>43319.0</v>
      </c>
      <c r="F1420" s="18" t="s">
        <v>81</v>
      </c>
      <c r="G1420" s="18"/>
      <c r="H1420" s="18" t="s">
        <v>302</v>
      </c>
      <c r="I1420" s="18" t="s">
        <v>81</v>
      </c>
      <c r="J1420" s="18"/>
      <c r="K1420" s="20"/>
      <c r="L1420" s="20"/>
      <c r="M1420" s="20"/>
      <c r="N1420" s="18"/>
    </row>
    <row r="1421">
      <c r="A1421" s="17" t="str">
        <f t="shared" si="1"/>
        <v>PD-1708</v>
      </c>
      <c r="B1421" s="18" t="s">
        <v>613</v>
      </c>
      <c r="C1421" s="18" t="s">
        <v>614</v>
      </c>
      <c r="D1421" s="18">
        <v>3.05</v>
      </c>
      <c r="E1421" s="19">
        <v>43319.0</v>
      </c>
      <c r="F1421" s="18" t="s">
        <v>81</v>
      </c>
      <c r="G1421" s="18"/>
      <c r="H1421" s="18" t="s">
        <v>253</v>
      </c>
      <c r="I1421" s="18" t="s">
        <v>116</v>
      </c>
      <c r="J1421" s="18"/>
      <c r="K1421" s="20"/>
      <c r="L1421" s="20"/>
      <c r="M1421" s="20"/>
      <c r="N1421" s="18"/>
    </row>
    <row r="1422">
      <c r="A1422" s="17" t="str">
        <f t="shared" si="1"/>
        <v>PD-1440</v>
      </c>
      <c r="B1422" s="18" t="s">
        <v>158</v>
      </c>
      <c r="C1422" s="18" t="s">
        <v>159</v>
      </c>
      <c r="D1422" s="18">
        <v>0.533333333</v>
      </c>
      <c r="E1422" s="19">
        <v>43319.0</v>
      </c>
      <c r="F1422" s="18" t="s">
        <v>81</v>
      </c>
      <c r="G1422" s="18"/>
      <c r="H1422" s="18"/>
      <c r="I1422" s="18" t="s">
        <v>81</v>
      </c>
      <c r="J1422" s="18"/>
      <c r="K1422" s="20"/>
      <c r="L1422" s="20"/>
      <c r="M1422" s="20"/>
      <c r="N1422" s="18"/>
    </row>
    <row r="1423">
      <c r="A1423" s="17" t="str">
        <f t="shared" si="1"/>
        <v>IV2-47</v>
      </c>
      <c r="B1423" s="18" t="s">
        <v>546</v>
      </c>
      <c r="C1423" s="18" t="s">
        <v>547</v>
      </c>
      <c r="D1423" s="18">
        <v>0.3</v>
      </c>
      <c r="E1423" s="19">
        <v>43319.0</v>
      </c>
      <c r="F1423" s="18" t="s">
        <v>81</v>
      </c>
      <c r="G1423" s="18"/>
      <c r="H1423" s="18" t="s">
        <v>302</v>
      </c>
      <c r="I1423" s="18" t="s">
        <v>132</v>
      </c>
      <c r="J1423" s="18"/>
      <c r="K1423" s="20"/>
      <c r="L1423" s="18"/>
      <c r="M1423" s="20"/>
      <c r="N1423" s="18"/>
    </row>
    <row r="1424">
      <c r="A1424" s="17" t="str">
        <f t="shared" si="1"/>
        <v>IOP-867</v>
      </c>
      <c r="B1424" s="18" t="s">
        <v>143</v>
      </c>
      <c r="C1424" s="18" t="s">
        <v>144</v>
      </c>
      <c r="D1424" s="18">
        <v>0.15</v>
      </c>
      <c r="E1424" s="19">
        <v>43320.0</v>
      </c>
      <c r="F1424" s="18" t="s">
        <v>81</v>
      </c>
      <c r="G1424" s="18"/>
      <c r="H1424" s="18" t="s">
        <v>119</v>
      </c>
      <c r="I1424" s="18" t="s">
        <v>120</v>
      </c>
      <c r="J1424" s="18"/>
      <c r="K1424" s="20"/>
      <c r="L1424" s="18"/>
      <c r="M1424" s="20"/>
      <c r="N1424" s="18"/>
    </row>
    <row r="1425">
      <c r="A1425" s="17" t="str">
        <f t="shared" si="1"/>
        <v>IOP-866</v>
      </c>
      <c r="B1425" s="18" t="s">
        <v>117</v>
      </c>
      <c r="C1425" s="18" t="s">
        <v>118</v>
      </c>
      <c r="D1425" s="18">
        <v>0.133333333</v>
      </c>
      <c r="E1425" s="19">
        <v>43320.0</v>
      </c>
      <c r="F1425" s="18" t="s">
        <v>81</v>
      </c>
      <c r="G1425" s="18"/>
      <c r="H1425" s="18" t="s">
        <v>119</v>
      </c>
      <c r="I1425" s="18" t="s">
        <v>120</v>
      </c>
      <c r="J1425" s="18"/>
      <c r="K1425" s="20"/>
      <c r="L1425" s="18"/>
      <c r="M1425" s="20"/>
      <c r="N1425" s="18"/>
    </row>
    <row r="1426">
      <c r="A1426" s="17" t="str">
        <f t="shared" si="1"/>
        <v>PD-1708</v>
      </c>
      <c r="B1426" s="18" t="s">
        <v>613</v>
      </c>
      <c r="C1426" s="18" t="s">
        <v>614</v>
      </c>
      <c r="D1426" s="18">
        <v>0.216666667</v>
      </c>
      <c r="E1426" s="19">
        <v>43320.0</v>
      </c>
      <c r="F1426" s="18" t="s">
        <v>81</v>
      </c>
      <c r="G1426" s="18"/>
      <c r="H1426" s="18" t="s">
        <v>253</v>
      </c>
      <c r="I1426" s="18" t="s">
        <v>116</v>
      </c>
      <c r="J1426" s="18"/>
      <c r="K1426" s="20"/>
      <c r="L1426" s="18"/>
      <c r="M1426" s="20"/>
      <c r="N1426" s="18"/>
    </row>
    <row r="1427">
      <c r="A1427" s="17" t="str">
        <f t="shared" si="1"/>
        <v>IV2-7</v>
      </c>
      <c r="B1427" s="18" t="s">
        <v>403</v>
      </c>
      <c r="C1427" s="18" t="s">
        <v>404</v>
      </c>
      <c r="D1427" s="18">
        <v>0.933333333</v>
      </c>
      <c r="E1427" s="19">
        <v>43320.0</v>
      </c>
      <c r="F1427" s="18" t="s">
        <v>81</v>
      </c>
      <c r="G1427" s="18"/>
      <c r="H1427" s="18" t="s">
        <v>302</v>
      </c>
      <c r="I1427" s="18" t="s">
        <v>81</v>
      </c>
      <c r="J1427" s="18"/>
      <c r="K1427" s="20"/>
      <c r="L1427" s="18"/>
      <c r="M1427" s="20"/>
      <c r="N1427" s="18"/>
    </row>
    <row r="1428">
      <c r="A1428" s="17" t="str">
        <f t="shared" si="1"/>
        <v>IV2-12</v>
      </c>
      <c r="B1428" s="18" t="s">
        <v>405</v>
      </c>
      <c r="C1428" s="18" t="s">
        <v>406</v>
      </c>
      <c r="D1428" s="18">
        <v>1.416666667</v>
      </c>
      <c r="E1428" s="19">
        <v>43320.0</v>
      </c>
      <c r="F1428" s="18" t="s">
        <v>81</v>
      </c>
      <c r="G1428" s="18"/>
      <c r="H1428" s="18" t="s">
        <v>302</v>
      </c>
      <c r="I1428" s="18" t="s">
        <v>81</v>
      </c>
      <c r="J1428" s="18"/>
      <c r="K1428" s="20"/>
      <c r="L1428" s="18"/>
      <c r="M1428" s="20"/>
      <c r="N1428" s="18"/>
    </row>
    <row r="1429">
      <c r="A1429" s="17" t="str">
        <f t="shared" si="1"/>
        <v>PD-1682</v>
      </c>
      <c r="B1429" s="18" t="s">
        <v>363</v>
      </c>
      <c r="C1429" s="18" t="s">
        <v>364</v>
      </c>
      <c r="D1429" s="18">
        <v>4.733333333</v>
      </c>
      <c r="E1429" s="19">
        <v>43320.0</v>
      </c>
      <c r="F1429" s="18" t="s">
        <v>81</v>
      </c>
      <c r="G1429" s="18"/>
      <c r="H1429" s="18"/>
      <c r="I1429" s="18" t="s">
        <v>132</v>
      </c>
      <c r="J1429" s="18"/>
      <c r="K1429" s="20"/>
      <c r="L1429" s="18"/>
      <c r="M1429" s="20"/>
      <c r="N1429" s="18"/>
    </row>
    <row r="1430">
      <c r="A1430" s="17" t="str">
        <f t="shared" si="1"/>
        <v>IV2-47</v>
      </c>
      <c r="B1430" s="18" t="s">
        <v>546</v>
      </c>
      <c r="C1430" s="18" t="s">
        <v>547</v>
      </c>
      <c r="D1430" s="18">
        <v>0.216666667</v>
      </c>
      <c r="E1430" s="19">
        <v>43320.0</v>
      </c>
      <c r="F1430" s="18" t="s">
        <v>81</v>
      </c>
      <c r="G1430" s="18"/>
      <c r="H1430" s="18" t="s">
        <v>302</v>
      </c>
      <c r="I1430" s="18" t="s">
        <v>132</v>
      </c>
      <c r="J1430" s="18"/>
      <c r="K1430" s="20"/>
      <c r="L1430" s="18"/>
      <c r="M1430" s="20"/>
      <c r="N1430" s="18"/>
    </row>
    <row r="1431">
      <c r="A1431" s="17" t="str">
        <f t="shared" si="1"/>
        <v>IOP-879</v>
      </c>
      <c r="B1431" s="18" t="s">
        <v>155</v>
      </c>
      <c r="C1431" s="18" t="s">
        <v>156</v>
      </c>
      <c r="D1431" s="18">
        <v>0.55</v>
      </c>
      <c r="E1431" s="19">
        <v>43320.0</v>
      </c>
      <c r="F1431" s="18" t="s">
        <v>81</v>
      </c>
      <c r="G1431" s="18"/>
      <c r="H1431" s="18" t="s">
        <v>157</v>
      </c>
      <c r="I1431" s="18" t="s">
        <v>120</v>
      </c>
      <c r="J1431" s="18"/>
      <c r="K1431" s="20"/>
      <c r="L1431" s="18"/>
      <c r="M1431" s="20"/>
      <c r="N1431" s="18"/>
    </row>
    <row r="1432">
      <c r="A1432" s="17" t="str">
        <f t="shared" si="1"/>
        <v>IOP-867</v>
      </c>
      <c r="B1432" s="18" t="s">
        <v>143</v>
      </c>
      <c r="C1432" s="18" t="s">
        <v>144</v>
      </c>
      <c r="D1432" s="18">
        <v>0.333333333</v>
      </c>
      <c r="E1432" s="19">
        <v>43325.0</v>
      </c>
      <c r="F1432" s="18" t="s">
        <v>81</v>
      </c>
      <c r="G1432" s="18"/>
      <c r="H1432" s="18" t="s">
        <v>119</v>
      </c>
      <c r="I1432" s="18" t="s">
        <v>120</v>
      </c>
      <c r="J1432" s="18"/>
      <c r="K1432" s="20"/>
      <c r="L1432" s="18"/>
      <c r="M1432" s="20"/>
      <c r="N1432" s="18"/>
    </row>
    <row r="1433">
      <c r="A1433" s="17" t="str">
        <f t="shared" si="1"/>
        <v>IOP-866</v>
      </c>
      <c r="B1433" s="18" t="s">
        <v>117</v>
      </c>
      <c r="C1433" s="18" t="s">
        <v>118</v>
      </c>
      <c r="D1433" s="18">
        <v>0.266666667</v>
      </c>
      <c r="E1433" s="19">
        <v>43325.0</v>
      </c>
      <c r="F1433" s="18" t="s">
        <v>81</v>
      </c>
      <c r="G1433" s="18"/>
      <c r="H1433" s="18" t="s">
        <v>119</v>
      </c>
      <c r="I1433" s="18" t="s">
        <v>120</v>
      </c>
      <c r="J1433" s="18"/>
      <c r="K1433" s="20"/>
      <c r="L1433" s="18"/>
      <c r="M1433" s="20"/>
      <c r="N1433" s="18"/>
    </row>
    <row r="1434">
      <c r="A1434" s="17" t="str">
        <f t="shared" si="1"/>
        <v>PD-1682</v>
      </c>
      <c r="B1434" s="18" t="s">
        <v>363</v>
      </c>
      <c r="C1434" s="18" t="s">
        <v>364</v>
      </c>
      <c r="D1434" s="18">
        <v>0.083333333</v>
      </c>
      <c r="E1434" s="19">
        <v>43325.0</v>
      </c>
      <c r="F1434" s="18" t="s">
        <v>81</v>
      </c>
      <c r="G1434" s="18"/>
      <c r="H1434" s="18"/>
      <c r="I1434" s="18" t="s">
        <v>132</v>
      </c>
      <c r="J1434" s="18"/>
      <c r="K1434" s="20"/>
      <c r="L1434" s="18"/>
      <c r="M1434" s="20"/>
      <c r="N1434" s="18"/>
    </row>
    <row r="1435">
      <c r="A1435" s="17" t="str">
        <f t="shared" si="1"/>
        <v>PD-1708</v>
      </c>
      <c r="B1435" s="18" t="s">
        <v>613</v>
      </c>
      <c r="C1435" s="18" t="s">
        <v>614</v>
      </c>
      <c r="D1435" s="18">
        <v>0.25</v>
      </c>
      <c r="E1435" s="19">
        <v>43325.0</v>
      </c>
      <c r="F1435" s="18" t="s">
        <v>81</v>
      </c>
      <c r="G1435" s="18"/>
      <c r="H1435" s="18" t="s">
        <v>253</v>
      </c>
      <c r="I1435" s="18" t="s">
        <v>116</v>
      </c>
      <c r="J1435" s="18"/>
      <c r="K1435" s="20"/>
      <c r="L1435" s="18"/>
      <c r="M1435" s="20"/>
      <c r="N1435" s="18"/>
    </row>
    <row r="1436">
      <c r="A1436" s="17" t="str">
        <f t="shared" si="1"/>
        <v>PD-1650</v>
      </c>
      <c r="B1436" s="18" t="s">
        <v>185</v>
      </c>
      <c r="C1436" s="18" t="s">
        <v>186</v>
      </c>
      <c r="D1436" s="18">
        <v>0.266666667</v>
      </c>
      <c r="E1436" s="19">
        <v>43325.0</v>
      </c>
      <c r="F1436" s="18" t="s">
        <v>81</v>
      </c>
      <c r="G1436" s="18" t="s">
        <v>187</v>
      </c>
      <c r="H1436" s="18"/>
      <c r="I1436" s="18" t="s">
        <v>77</v>
      </c>
      <c r="J1436" s="18"/>
      <c r="K1436" s="20"/>
      <c r="L1436" s="18"/>
      <c r="M1436" s="20"/>
      <c r="N1436" s="18"/>
    </row>
    <row r="1437">
      <c r="A1437" s="17" t="str">
        <f t="shared" si="1"/>
        <v>PD-1660</v>
      </c>
      <c r="B1437" s="18" t="s">
        <v>359</v>
      </c>
      <c r="C1437" s="18" t="s">
        <v>360</v>
      </c>
      <c r="D1437" s="18">
        <v>0.216666667</v>
      </c>
      <c r="E1437" s="19">
        <v>43325.0</v>
      </c>
      <c r="F1437" s="18" t="s">
        <v>81</v>
      </c>
      <c r="G1437" s="18"/>
      <c r="H1437" s="18" t="s">
        <v>187</v>
      </c>
      <c r="I1437" s="18" t="s">
        <v>81</v>
      </c>
      <c r="J1437" s="18"/>
      <c r="K1437" s="20"/>
      <c r="L1437" s="18"/>
      <c r="M1437" s="20"/>
      <c r="N1437" s="18"/>
    </row>
    <row r="1438">
      <c r="A1438" s="17" t="str">
        <f t="shared" si="1"/>
        <v>IV2-19</v>
      </c>
      <c r="B1438" s="18" t="s">
        <v>383</v>
      </c>
      <c r="C1438" s="18" t="s">
        <v>384</v>
      </c>
      <c r="D1438" s="18">
        <v>2.45</v>
      </c>
      <c r="E1438" s="19">
        <v>43325.0</v>
      </c>
      <c r="F1438" s="18" t="s">
        <v>81</v>
      </c>
      <c r="G1438" s="18"/>
      <c r="H1438" s="18" t="s">
        <v>302</v>
      </c>
      <c r="I1438" s="18" t="s">
        <v>81</v>
      </c>
      <c r="J1438" s="18"/>
      <c r="K1438" s="20"/>
      <c r="L1438" s="20"/>
      <c r="M1438" s="20"/>
      <c r="N1438" s="18"/>
    </row>
    <row r="1439">
      <c r="A1439" s="17" t="str">
        <f t="shared" si="1"/>
        <v>IV2-4</v>
      </c>
      <c r="B1439" s="18" t="s">
        <v>323</v>
      </c>
      <c r="C1439" s="18" t="s">
        <v>324</v>
      </c>
      <c r="D1439" s="18">
        <v>0.3</v>
      </c>
      <c r="E1439" s="19">
        <v>43325.0</v>
      </c>
      <c r="F1439" s="18" t="s">
        <v>81</v>
      </c>
      <c r="G1439" s="18" t="s">
        <v>302</v>
      </c>
      <c r="H1439" s="18"/>
      <c r="I1439" s="18" t="s">
        <v>81</v>
      </c>
      <c r="J1439" s="18"/>
      <c r="K1439" s="20"/>
      <c r="L1439" s="20"/>
      <c r="M1439" s="20"/>
      <c r="N1439" s="18"/>
    </row>
    <row r="1440">
      <c r="A1440" s="17" t="str">
        <f t="shared" si="1"/>
        <v>IOP-875</v>
      </c>
      <c r="B1440" s="18" t="s">
        <v>123</v>
      </c>
      <c r="C1440" s="18" t="s">
        <v>124</v>
      </c>
      <c r="D1440" s="18">
        <v>0.316666667</v>
      </c>
      <c r="E1440" s="19">
        <v>43325.0</v>
      </c>
      <c r="F1440" s="18" t="s">
        <v>81</v>
      </c>
      <c r="G1440" s="18"/>
      <c r="H1440" s="18" t="s">
        <v>125</v>
      </c>
      <c r="I1440" s="18" t="s">
        <v>120</v>
      </c>
      <c r="J1440" s="18"/>
      <c r="K1440" s="20"/>
      <c r="L1440" s="20"/>
      <c r="M1440" s="20"/>
      <c r="N1440" s="18"/>
    </row>
    <row r="1441">
      <c r="A1441" s="17" t="str">
        <f t="shared" si="1"/>
        <v>PD-1720</v>
      </c>
      <c r="B1441" s="18" t="s">
        <v>623</v>
      </c>
      <c r="C1441" s="18" t="s">
        <v>624</v>
      </c>
      <c r="D1441" s="18">
        <v>1.816666667</v>
      </c>
      <c r="E1441" s="19">
        <v>43325.0</v>
      </c>
      <c r="F1441" s="18" t="s">
        <v>81</v>
      </c>
      <c r="G1441" s="18"/>
      <c r="H1441" s="18"/>
      <c r="I1441" s="18" t="s">
        <v>93</v>
      </c>
      <c r="J1441" s="18"/>
      <c r="K1441" s="20"/>
      <c r="L1441" s="20"/>
      <c r="M1441" s="20"/>
      <c r="N1441" s="18"/>
    </row>
    <row r="1442">
      <c r="A1442" s="17" t="str">
        <f t="shared" si="1"/>
        <v>IV2-20</v>
      </c>
      <c r="B1442" s="18" t="s">
        <v>385</v>
      </c>
      <c r="C1442" s="18" t="s">
        <v>386</v>
      </c>
      <c r="D1442" s="18">
        <v>0.066666667</v>
      </c>
      <c r="E1442" s="19">
        <v>43325.0</v>
      </c>
      <c r="F1442" s="18" t="s">
        <v>81</v>
      </c>
      <c r="G1442" s="18"/>
      <c r="H1442" s="18" t="s">
        <v>302</v>
      </c>
      <c r="I1442" s="18" t="s">
        <v>78</v>
      </c>
      <c r="J1442" s="18"/>
      <c r="K1442" s="20"/>
      <c r="L1442" s="20"/>
      <c r="M1442" s="20"/>
      <c r="N1442" s="18"/>
    </row>
    <row r="1443">
      <c r="A1443" s="17" t="str">
        <f t="shared" si="1"/>
        <v>IV2-47</v>
      </c>
      <c r="B1443" s="18" t="s">
        <v>546</v>
      </c>
      <c r="C1443" s="18" t="s">
        <v>547</v>
      </c>
      <c r="D1443" s="18">
        <v>1.85</v>
      </c>
      <c r="E1443" s="19">
        <v>43325.0</v>
      </c>
      <c r="F1443" s="18" t="s">
        <v>81</v>
      </c>
      <c r="G1443" s="18"/>
      <c r="H1443" s="18" t="s">
        <v>302</v>
      </c>
      <c r="I1443" s="18" t="s">
        <v>132</v>
      </c>
      <c r="J1443" s="18"/>
      <c r="K1443" s="20"/>
      <c r="L1443" s="18"/>
      <c r="M1443" s="20"/>
      <c r="N1443" s="18"/>
    </row>
    <row r="1444">
      <c r="A1444" s="17" t="str">
        <f t="shared" si="1"/>
        <v>IOP-867</v>
      </c>
      <c r="B1444" s="18" t="s">
        <v>143</v>
      </c>
      <c r="C1444" s="18" t="s">
        <v>144</v>
      </c>
      <c r="D1444" s="18">
        <v>0.316666667</v>
      </c>
      <c r="E1444" s="19">
        <v>43326.0</v>
      </c>
      <c r="F1444" s="18" t="s">
        <v>81</v>
      </c>
      <c r="G1444" s="18"/>
      <c r="H1444" s="18" t="s">
        <v>119</v>
      </c>
      <c r="I1444" s="18" t="s">
        <v>120</v>
      </c>
      <c r="J1444" s="18"/>
      <c r="K1444" s="20"/>
      <c r="L1444" s="18"/>
      <c r="M1444" s="20"/>
      <c r="N1444" s="18"/>
    </row>
    <row r="1445">
      <c r="A1445" s="17" t="str">
        <f t="shared" si="1"/>
        <v>PD-1708</v>
      </c>
      <c r="B1445" s="18" t="s">
        <v>613</v>
      </c>
      <c r="C1445" s="18" t="s">
        <v>614</v>
      </c>
      <c r="D1445" s="18">
        <v>1.95</v>
      </c>
      <c r="E1445" s="19">
        <v>43326.0</v>
      </c>
      <c r="F1445" s="18" t="s">
        <v>81</v>
      </c>
      <c r="G1445" s="18"/>
      <c r="H1445" s="18" t="s">
        <v>253</v>
      </c>
      <c r="I1445" s="18" t="s">
        <v>116</v>
      </c>
      <c r="J1445" s="18"/>
      <c r="K1445" s="20"/>
      <c r="L1445" s="18"/>
      <c r="M1445" s="20"/>
      <c r="N1445" s="18"/>
    </row>
    <row r="1446">
      <c r="A1446" s="17" t="str">
        <f t="shared" si="1"/>
        <v>PD-1720</v>
      </c>
      <c r="B1446" s="18" t="s">
        <v>623</v>
      </c>
      <c r="C1446" s="18" t="s">
        <v>624</v>
      </c>
      <c r="D1446" s="18">
        <v>0.833333333</v>
      </c>
      <c r="E1446" s="19">
        <v>43326.0</v>
      </c>
      <c r="F1446" s="18" t="s">
        <v>81</v>
      </c>
      <c r="G1446" s="18"/>
      <c r="H1446" s="18"/>
      <c r="I1446" s="18" t="s">
        <v>93</v>
      </c>
      <c r="J1446" s="18"/>
      <c r="K1446" s="20"/>
      <c r="L1446" s="20"/>
      <c r="M1446" s="20"/>
      <c r="N1446" s="18"/>
    </row>
    <row r="1447">
      <c r="A1447" s="17" t="str">
        <f t="shared" si="1"/>
        <v>PD-1710</v>
      </c>
      <c r="B1447" s="18" t="s">
        <v>625</v>
      </c>
      <c r="C1447" s="18" t="s">
        <v>626</v>
      </c>
      <c r="D1447" s="18">
        <v>0.216666667</v>
      </c>
      <c r="E1447" s="19">
        <v>43326.0</v>
      </c>
      <c r="F1447" s="18" t="s">
        <v>81</v>
      </c>
      <c r="G1447" s="18"/>
      <c r="H1447" s="18" t="s">
        <v>187</v>
      </c>
      <c r="I1447" s="17" t="s">
        <v>541</v>
      </c>
      <c r="J1447" s="18"/>
      <c r="K1447" s="20"/>
      <c r="L1447" s="20"/>
      <c r="M1447" s="20"/>
      <c r="N1447" s="18"/>
    </row>
    <row r="1448">
      <c r="A1448" s="17" t="str">
        <f t="shared" si="1"/>
        <v>IV2-12</v>
      </c>
      <c r="B1448" s="18" t="s">
        <v>405</v>
      </c>
      <c r="C1448" s="18" t="s">
        <v>406</v>
      </c>
      <c r="D1448" s="18">
        <v>1.016666667</v>
      </c>
      <c r="E1448" s="19">
        <v>43326.0</v>
      </c>
      <c r="F1448" s="18" t="s">
        <v>81</v>
      </c>
      <c r="G1448" s="18"/>
      <c r="H1448" s="18" t="s">
        <v>302</v>
      </c>
      <c r="I1448" s="18" t="s">
        <v>81</v>
      </c>
      <c r="J1448" s="18"/>
      <c r="K1448" s="20"/>
      <c r="L1448" s="20"/>
      <c r="M1448" s="20"/>
      <c r="N1448" s="18"/>
    </row>
    <row r="1449">
      <c r="A1449" s="17" t="str">
        <f t="shared" si="1"/>
        <v>IV2-27</v>
      </c>
      <c r="B1449" s="18" t="s">
        <v>317</v>
      </c>
      <c r="C1449" s="18" t="s">
        <v>318</v>
      </c>
      <c r="D1449" s="18">
        <v>0.533333333</v>
      </c>
      <c r="E1449" s="19">
        <v>43326.0</v>
      </c>
      <c r="F1449" s="18" t="s">
        <v>81</v>
      </c>
      <c r="G1449" s="18"/>
      <c r="H1449" s="18" t="s">
        <v>302</v>
      </c>
      <c r="I1449" s="18" t="s">
        <v>81</v>
      </c>
      <c r="J1449" s="18"/>
      <c r="K1449" s="20"/>
      <c r="L1449" s="20"/>
      <c r="M1449" s="20"/>
      <c r="N1449" s="18"/>
    </row>
    <row r="1450">
      <c r="A1450" s="17" t="str">
        <f t="shared" si="1"/>
        <v>PD-1650</v>
      </c>
      <c r="B1450" s="18" t="s">
        <v>185</v>
      </c>
      <c r="C1450" s="18" t="s">
        <v>186</v>
      </c>
      <c r="D1450" s="18">
        <v>0.116666667</v>
      </c>
      <c r="E1450" s="19">
        <v>43326.0</v>
      </c>
      <c r="F1450" s="18" t="s">
        <v>81</v>
      </c>
      <c r="G1450" s="18" t="s">
        <v>187</v>
      </c>
      <c r="H1450" s="18"/>
      <c r="I1450" s="18" t="s">
        <v>77</v>
      </c>
      <c r="J1450" s="18"/>
      <c r="K1450" s="20"/>
      <c r="L1450" s="20"/>
      <c r="M1450" s="20"/>
      <c r="N1450" s="18"/>
    </row>
    <row r="1451">
      <c r="A1451" s="17" t="str">
        <f t="shared" si="1"/>
        <v>IV2-47</v>
      </c>
      <c r="B1451" s="18" t="s">
        <v>546</v>
      </c>
      <c r="C1451" s="18" t="s">
        <v>547</v>
      </c>
      <c r="D1451" s="18">
        <v>2.216666667</v>
      </c>
      <c r="E1451" s="19">
        <v>43326.0</v>
      </c>
      <c r="F1451" s="18" t="s">
        <v>81</v>
      </c>
      <c r="G1451" s="18"/>
      <c r="H1451" s="18" t="s">
        <v>302</v>
      </c>
      <c r="I1451" s="18" t="s">
        <v>132</v>
      </c>
      <c r="J1451" s="18"/>
      <c r="K1451" s="20"/>
      <c r="L1451" s="20"/>
      <c r="M1451" s="20"/>
      <c r="N1451" s="18"/>
    </row>
    <row r="1452">
      <c r="A1452" s="17" t="str">
        <f t="shared" si="1"/>
        <v>IV2-49</v>
      </c>
      <c r="B1452" s="18" t="s">
        <v>555</v>
      </c>
      <c r="C1452" s="18" t="s">
        <v>556</v>
      </c>
      <c r="D1452" s="18">
        <v>0.866666667</v>
      </c>
      <c r="E1452" s="19">
        <v>43326.0</v>
      </c>
      <c r="F1452" s="18" t="s">
        <v>81</v>
      </c>
      <c r="G1452" s="18"/>
      <c r="H1452" s="18" t="s">
        <v>302</v>
      </c>
      <c r="I1452" s="18" t="s">
        <v>132</v>
      </c>
      <c r="J1452" s="18"/>
      <c r="K1452" s="20"/>
      <c r="L1452" s="20"/>
      <c r="M1452" s="20"/>
      <c r="N1452" s="18"/>
    </row>
    <row r="1453">
      <c r="A1453" s="17" t="str">
        <f t="shared" si="1"/>
        <v>IOP-867</v>
      </c>
      <c r="B1453" s="18" t="s">
        <v>143</v>
      </c>
      <c r="C1453" s="18" t="s">
        <v>144</v>
      </c>
      <c r="D1453" s="18">
        <v>0.233333333</v>
      </c>
      <c r="E1453" s="19">
        <v>43327.0</v>
      </c>
      <c r="F1453" s="18" t="s">
        <v>81</v>
      </c>
      <c r="G1453" s="18"/>
      <c r="H1453" s="18" t="s">
        <v>119</v>
      </c>
      <c r="I1453" s="18" t="s">
        <v>120</v>
      </c>
      <c r="J1453" s="18"/>
      <c r="K1453" s="20"/>
      <c r="L1453" s="20"/>
      <c r="M1453" s="20"/>
      <c r="N1453" s="18"/>
    </row>
    <row r="1454">
      <c r="A1454" s="17" t="str">
        <f t="shared" si="1"/>
        <v>IV2-12</v>
      </c>
      <c r="B1454" s="18" t="s">
        <v>405</v>
      </c>
      <c r="C1454" s="18" t="s">
        <v>406</v>
      </c>
      <c r="D1454" s="18">
        <v>0.233333333</v>
      </c>
      <c r="E1454" s="19">
        <v>43327.0</v>
      </c>
      <c r="F1454" s="18" t="s">
        <v>81</v>
      </c>
      <c r="G1454" s="18"/>
      <c r="H1454" s="18" t="s">
        <v>302</v>
      </c>
      <c r="I1454" s="18" t="s">
        <v>81</v>
      </c>
      <c r="J1454" s="18"/>
      <c r="K1454" s="20"/>
      <c r="L1454" s="20"/>
      <c r="M1454" s="20"/>
      <c r="N1454" s="18"/>
    </row>
    <row r="1455">
      <c r="A1455" s="17" t="str">
        <f t="shared" si="1"/>
        <v>IV2-49</v>
      </c>
      <c r="B1455" s="18" t="s">
        <v>555</v>
      </c>
      <c r="C1455" s="18" t="s">
        <v>556</v>
      </c>
      <c r="D1455" s="18">
        <v>2.4</v>
      </c>
      <c r="E1455" s="19">
        <v>43327.0</v>
      </c>
      <c r="F1455" s="18" t="s">
        <v>81</v>
      </c>
      <c r="G1455" s="18"/>
      <c r="H1455" s="18" t="s">
        <v>302</v>
      </c>
      <c r="I1455" s="18" t="s">
        <v>132</v>
      </c>
      <c r="J1455" s="18"/>
      <c r="K1455" s="20"/>
      <c r="L1455" s="20"/>
      <c r="M1455" s="20"/>
      <c r="N1455" s="18"/>
    </row>
    <row r="1456">
      <c r="A1456" s="17" t="str">
        <f t="shared" si="1"/>
        <v>PD-1717</v>
      </c>
      <c r="B1456" s="18" t="s">
        <v>615</v>
      </c>
      <c r="C1456" s="18" t="s">
        <v>616</v>
      </c>
      <c r="D1456" s="18">
        <v>0.216666667</v>
      </c>
      <c r="E1456" s="19">
        <v>43327.0</v>
      </c>
      <c r="F1456" s="18" t="s">
        <v>81</v>
      </c>
      <c r="G1456" s="18"/>
      <c r="H1456" s="18" t="s">
        <v>187</v>
      </c>
      <c r="I1456" s="17" t="s">
        <v>541</v>
      </c>
      <c r="J1456" s="18"/>
      <c r="K1456" s="20"/>
      <c r="L1456" s="20"/>
      <c r="M1456" s="20"/>
      <c r="N1456" s="18"/>
    </row>
    <row r="1457">
      <c r="A1457" s="17" t="str">
        <f t="shared" si="1"/>
        <v>PD-1722</v>
      </c>
      <c r="B1457" s="18" t="s">
        <v>627</v>
      </c>
      <c r="C1457" s="18" t="s">
        <v>628</v>
      </c>
      <c r="D1457" s="18">
        <v>0.3</v>
      </c>
      <c r="E1457" s="19">
        <v>43327.0</v>
      </c>
      <c r="F1457" s="18" t="s">
        <v>81</v>
      </c>
      <c r="G1457" s="18"/>
      <c r="H1457" s="18" t="s">
        <v>187</v>
      </c>
      <c r="I1457" s="17" t="s">
        <v>541</v>
      </c>
      <c r="J1457" s="18"/>
      <c r="K1457" s="20"/>
      <c r="L1457" s="18"/>
      <c r="M1457" s="20"/>
      <c r="N1457" s="18"/>
    </row>
    <row r="1458">
      <c r="A1458" s="17" t="str">
        <f t="shared" si="1"/>
        <v>IV2-27</v>
      </c>
      <c r="B1458" s="18" t="s">
        <v>317</v>
      </c>
      <c r="C1458" s="18" t="s">
        <v>318</v>
      </c>
      <c r="D1458" s="18">
        <v>0.866666667</v>
      </c>
      <c r="E1458" s="19">
        <v>43327.0</v>
      </c>
      <c r="F1458" s="18" t="s">
        <v>81</v>
      </c>
      <c r="G1458" s="18"/>
      <c r="H1458" s="18" t="s">
        <v>302</v>
      </c>
      <c r="I1458" s="18" t="s">
        <v>81</v>
      </c>
      <c r="J1458" s="18"/>
      <c r="K1458" s="20"/>
      <c r="L1458" s="18"/>
      <c r="M1458" s="20"/>
      <c r="N1458" s="18"/>
    </row>
    <row r="1459">
      <c r="A1459" s="17" t="str">
        <f t="shared" si="1"/>
        <v>IV2-47</v>
      </c>
      <c r="B1459" s="18" t="s">
        <v>546</v>
      </c>
      <c r="C1459" s="18" t="s">
        <v>547</v>
      </c>
      <c r="D1459" s="18">
        <v>0.083333333</v>
      </c>
      <c r="E1459" s="19">
        <v>43327.0</v>
      </c>
      <c r="F1459" s="18" t="s">
        <v>81</v>
      </c>
      <c r="G1459" s="18"/>
      <c r="H1459" s="18" t="s">
        <v>302</v>
      </c>
      <c r="I1459" s="18" t="s">
        <v>132</v>
      </c>
      <c r="J1459" s="18"/>
      <c r="K1459" s="20"/>
      <c r="L1459" s="18"/>
      <c r="M1459" s="20"/>
      <c r="N1459" s="18"/>
    </row>
    <row r="1460">
      <c r="A1460" s="17" t="str">
        <f t="shared" si="1"/>
        <v>IV2-30</v>
      </c>
      <c r="B1460" s="18" t="s">
        <v>594</v>
      </c>
      <c r="C1460" s="18" t="s">
        <v>553</v>
      </c>
      <c r="D1460" s="18">
        <v>1.366666667</v>
      </c>
      <c r="E1460" s="19">
        <v>43327.0</v>
      </c>
      <c r="F1460" s="18" t="s">
        <v>81</v>
      </c>
      <c r="G1460" s="18" t="s">
        <v>553</v>
      </c>
      <c r="H1460" s="18"/>
      <c r="I1460" s="18" t="s">
        <v>77</v>
      </c>
      <c r="J1460" s="18"/>
      <c r="K1460" s="20"/>
      <c r="L1460" s="20"/>
      <c r="M1460" s="18"/>
      <c r="N1460" s="18"/>
    </row>
    <row r="1461">
      <c r="A1461" s="17" t="str">
        <f t="shared" si="1"/>
        <v>IOP-879</v>
      </c>
      <c r="B1461" s="18" t="s">
        <v>155</v>
      </c>
      <c r="C1461" s="18" t="s">
        <v>156</v>
      </c>
      <c r="D1461" s="18">
        <v>1.066666667</v>
      </c>
      <c r="E1461" s="19">
        <v>43327.0</v>
      </c>
      <c r="F1461" s="18" t="s">
        <v>81</v>
      </c>
      <c r="G1461" s="18"/>
      <c r="H1461" s="18" t="s">
        <v>157</v>
      </c>
      <c r="I1461" s="18" t="s">
        <v>120</v>
      </c>
      <c r="J1461" s="18"/>
      <c r="K1461" s="20"/>
      <c r="L1461" s="20"/>
      <c r="M1461" s="18"/>
      <c r="N1461" s="18"/>
    </row>
    <row r="1462">
      <c r="A1462" s="17" t="str">
        <f t="shared" si="1"/>
        <v>IV2-32</v>
      </c>
      <c r="B1462" s="18" t="s">
        <v>551</v>
      </c>
      <c r="C1462" s="18" t="s">
        <v>552</v>
      </c>
      <c r="D1462" s="18">
        <v>0.916666667</v>
      </c>
      <c r="E1462" s="19">
        <v>43327.0</v>
      </c>
      <c r="F1462" s="18" t="s">
        <v>81</v>
      </c>
      <c r="G1462" s="18"/>
      <c r="H1462" s="18" t="s">
        <v>553</v>
      </c>
      <c r="I1462" s="18" t="s">
        <v>554</v>
      </c>
      <c r="J1462" s="18"/>
      <c r="K1462" s="20"/>
      <c r="L1462" s="20"/>
      <c r="M1462" s="18"/>
      <c r="N1462" s="18"/>
    </row>
    <row r="1463">
      <c r="A1463" s="17" t="str">
        <f t="shared" si="1"/>
        <v>PD-1708</v>
      </c>
      <c r="B1463" s="18" t="s">
        <v>613</v>
      </c>
      <c r="C1463" s="18" t="s">
        <v>614</v>
      </c>
      <c r="D1463" s="18">
        <v>0.516666667</v>
      </c>
      <c r="E1463" s="19">
        <v>43327.0</v>
      </c>
      <c r="F1463" s="18" t="s">
        <v>81</v>
      </c>
      <c r="G1463" s="18"/>
      <c r="H1463" s="18" t="s">
        <v>253</v>
      </c>
      <c r="I1463" s="18" t="s">
        <v>116</v>
      </c>
      <c r="J1463" s="18"/>
      <c r="K1463" s="20"/>
      <c r="L1463" s="20"/>
      <c r="M1463" s="18"/>
      <c r="N1463" s="18"/>
    </row>
    <row r="1464">
      <c r="A1464" s="17" t="str">
        <f t="shared" si="1"/>
        <v>IOP-867</v>
      </c>
      <c r="B1464" s="18" t="s">
        <v>143</v>
      </c>
      <c r="C1464" s="18" t="s">
        <v>144</v>
      </c>
      <c r="D1464" s="18">
        <v>0.2</v>
      </c>
      <c r="E1464" s="19">
        <v>43328.0</v>
      </c>
      <c r="F1464" s="18" t="s">
        <v>81</v>
      </c>
      <c r="G1464" s="18"/>
      <c r="H1464" s="18" t="s">
        <v>119</v>
      </c>
      <c r="I1464" s="18" t="s">
        <v>120</v>
      </c>
      <c r="J1464" s="18"/>
      <c r="K1464" s="20"/>
      <c r="L1464" s="20"/>
      <c r="M1464" s="18"/>
      <c r="N1464" s="18"/>
    </row>
    <row r="1465">
      <c r="A1465" s="17" t="str">
        <f t="shared" si="1"/>
        <v>IV2-32</v>
      </c>
      <c r="B1465" s="18" t="s">
        <v>551</v>
      </c>
      <c r="C1465" s="18" t="s">
        <v>552</v>
      </c>
      <c r="D1465" s="18">
        <v>1.316666667</v>
      </c>
      <c r="E1465" s="19">
        <v>43328.0</v>
      </c>
      <c r="F1465" s="18" t="s">
        <v>81</v>
      </c>
      <c r="G1465" s="18"/>
      <c r="H1465" s="18" t="s">
        <v>553</v>
      </c>
      <c r="I1465" s="18" t="s">
        <v>554</v>
      </c>
      <c r="J1465" s="18"/>
      <c r="K1465" s="20"/>
      <c r="L1465" s="18"/>
      <c r="M1465" s="20"/>
      <c r="N1465" s="18"/>
    </row>
    <row r="1466">
      <c r="A1466" s="17" t="str">
        <f t="shared" si="1"/>
        <v>PD-1682</v>
      </c>
      <c r="B1466" s="18" t="s">
        <v>363</v>
      </c>
      <c r="C1466" s="18" t="s">
        <v>364</v>
      </c>
      <c r="D1466" s="18">
        <v>2.766666667</v>
      </c>
      <c r="E1466" s="19">
        <v>43328.0</v>
      </c>
      <c r="F1466" s="18" t="s">
        <v>81</v>
      </c>
      <c r="G1466" s="18"/>
      <c r="H1466" s="18"/>
      <c r="I1466" s="18" t="s">
        <v>132</v>
      </c>
      <c r="J1466" s="18"/>
      <c r="K1466" s="20"/>
      <c r="L1466" s="18"/>
      <c r="M1466" s="20"/>
      <c r="N1466" s="18"/>
    </row>
    <row r="1467">
      <c r="A1467" s="17" t="str">
        <f t="shared" si="1"/>
        <v>IV2-55</v>
      </c>
      <c r="B1467" s="18" t="s">
        <v>629</v>
      </c>
      <c r="C1467" s="18" t="s">
        <v>630</v>
      </c>
      <c r="D1467" s="18">
        <v>0.216666667</v>
      </c>
      <c r="E1467" s="19">
        <v>43328.0</v>
      </c>
      <c r="F1467" s="18" t="s">
        <v>81</v>
      </c>
      <c r="G1467" s="18"/>
      <c r="H1467" s="18" t="s">
        <v>553</v>
      </c>
      <c r="I1467" s="18" t="s">
        <v>77</v>
      </c>
      <c r="J1467" s="18"/>
      <c r="K1467" s="20"/>
      <c r="L1467" s="18"/>
      <c r="M1467" s="20"/>
      <c r="N1467" s="18"/>
    </row>
    <row r="1468">
      <c r="A1468" s="17" t="str">
        <f t="shared" si="1"/>
        <v>IV2-35</v>
      </c>
      <c r="B1468" s="18" t="s">
        <v>631</v>
      </c>
      <c r="C1468" s="18" t="s">
        <v>632</v>
      </c>
      <c r="D1468" s="18">
        <v>0.033333333</v>
      </c>
      <c r="E1468" s="19">
        <v>43328.0</v>
      </c>
      <c r="F1468" s="18" t="s">
        <v>81</v>
      </c>
      <c r="G1468" s="18"/>
      <c r="H1468" s="18" t="s">
        <v>553</v>
      </c>
      <c r="I1468" s="18" t="s">
        <v>554</v>
      </c>
      <c r="J1468" s="18"/>
      <c r="K1468" s="20"/>
      <c r="L1468" s="18"/>
      <c r="M1468" s="20"/>
      <c r="N1468" s="18"/>
    </row>
    <row r="1469">
      <c r="A1469" s="17" t="str">
        <f t="shared" si="1"/>
        <v>IOP-866</v>
      </c>
      <c r="B1469" s="18" t="s">
        <v>117</v>
      </c>
      <c r="C1469" s="18" t="s">
        <v>118</v>
      </c>
      <c r="D1469" s="18">
        <v>0.116666667</v>
      </c>
      <c r="E1469" s="19">
        <v>43328.0</v>
      </c>
      <c r="F1469" s="18" t="s">
        <v>81</v>
      </c>
      <c r="G1469" s="18"/>
      <c r="H1469" s="18" t="s">
        <v>119</v>
      </c>
      <c r="I1469" s="18" t="s">
        <v>120</v>
      </c>
      <c r="J1469" s="18"/>
      <c r="K1469" s="20"/>
      <c r="L1469" s="18"/>
      <c r="M1469" s="20"/>
      <c r="N1469" s="18"/>
    </row>
    <row r="1470">
      <c r="A1470" s="17" t="str">
        <f t="shared" si="1"/>
        <v>PD-1708</v>
      </c>
      <c r="B1470" s="18" t="s">
        <v>613</v>
      </c>
      <c r="C1470" s="18" t="s">
        <v>614</v>
      </c>
      <c r="D1470" s="18">
        <v>0.983333333</v>
      </c>
      <c r="E1470" s="19">
        <v>43328.0</v>
      </c>
      <c r="F1470" s="18" t="s">
        <v>81</v>
      </c>
      <c r="G1470" s="18"/>
      <c r="H1470" s="18" t="s">
        <v>253</v>
      </c>
      <c r="I1470" s="18" t="s">
        <v>116</v>
      </c>
      <c r="J1470" s="18"/>
      <c r="K1470" s="20"/>
      <c r="L1470" s="18"/>
      <c r="M1470" s="20"/>
      <c r="N1470" s="18"/>
    </row>
    <row r="1471">
      <c r="A1471" s="17" t="str">
        <f t="shared" si="1"/>
        <v>PD-1710</v>
      </c>
      <c r="B1471" s="18" t="s">
        <v>625</v>
      </c>
      <c r="C1471" s="18" t="s">
        <v>626</v>
      </c>
      <c r="D1471" s="18">
        <v>1.683333333</v>
      </c>
      <c r="E1471" s="19">
        <v>43328.0</v>
      </c>
      <c r="F1471" s="18" t="s">
        <v>81</v>
      </c>
      <c r="G1471" s="18"/>
      <c r="H1471" s="18" t="s">
        <v>187</v>
      </c>
      <c r="I1471" s="17" t="s">
        <v>541</v>
      </c>
      <c r="J1471" s="18"/>
      <c r="K1471" s="20"/>
      <c r="L1471" s="18"/>
      <c r="M1471" s="20"/>
      <c r="N1471" s="18"/>
    </row>
    <row r="1472">
      <c r="A1472" s="17" t="str">
        <f t="shared" si="1"/>
        <v>IV2-27</v>
      </c>
      <c r="B1472" s="18" t="s">
        <v>317</v>
      </c>
      <c r="C1472" s="18" t="s">
        <v>318</v>
      </c>
      <c r="D1472" s="18">
        <v>0.183333333</v>
      </c>
      <c r="E1472" s="19">
        <v>43328.0</v>
      </c>
      <c r="F1472" s="18" t="s">
        <v>81</v>
      </c>
      <c r="G1472" s="18"/>
      <c r="H1472" s="18" t="s">
        <v>302</v>
      </c>
      <c r="I1472" s="18" t="s">
        <v>81</v>
      </c>
      <c r="J1472" s="18"/>
      <c r="K1472" s="20"/>
      <c r="L1472" s="18"/>
      <c r="M1472" s="20"/>
      <c r="N1472" s="18"/>
    </row>
    <row r="1473">
      <c r="A1473" s="17" t="str">
        <f t="shared" si="1"/>
        <v>IOP-867</v>
      </c>
      <c r="B1473" s="18" t="s">
        <v>143</v>
      </c>
      <c r="C1473" s="18" t="s">
        <v>144</v>
      </c>
      <c r="D1473" s="18">
        <v>0.083333333</v>
      </c>
      <c r="E1473" s="19">
        <v>43329.0</v>
      </c>
      <c r="F1473" s="18" t="s">
        <v>81</v>
      </c>
      <c r="G1473" s="18"/>
      <c r="H1473" s="18" t="s">
        <v>119</v>
      </c>
      <c r="I1473" s="18" t="s">
        <v>120</v>
      </c>
      <c r="J1473" s="18"/>
      <c r="K1473" s="20"/>
      <c r="L1473" s="18"/>
      <c r="M1473" s="20"/>
      <c r="N1473" s="18"/>
    </row>
    <row r="1474">
      <c r="A1474" s="17" t="str">
        <f t="shared" si="1"/>
        <v>IOP-866</v>
      </c>
      <c r="B1474" s="18" t="s">
        <v>117</v>
      </c>
      <c r="C1474" s="18" t="s">
        <v>118</v>
      </c>
      <c r="D1474" s="18">
        <v>0.1</v>
      </c>
      <c r="E1474" s="19">
        <v>43329.0</v>
      </c>
      <c r="F1474" s="18" t="s">
        <v>81</v>
      </c>
      <c r="G1474" s="18"/>
      <c r="H1474" s="18" t="s">
        <v>119</v>
      </c>
      <c r="I1474" s="18" t="s">
        <v>120</v>
      </c>
      <c r="J1474" s="18"/>
      <c r="K1474" s="20"/>
      <c r="L1474" s="18"/>
      <c r="M1474" s="20"/>
      <c r="N1474" s="18"/>
    </row>
    <row r="1475">
      <c r="A1475" s="17" t="str">
        <f t="shared" si="1"/>
        <v>IV2-57</v>
      </c>
      <c r="B1475" s="18" t="s">
        <v>633</v>
      </c>
      <c r="C1475" s="18" t="s">
        <v>634</v>
      </c>
      <c r="D1475" s="18">
        <v>0.4</v>
      </c>
      <c r="E1475" s="19">
        <v>43329.0</v>
      </c>
      <c r="F1475" s="18" t="s">
        <v>81</v>
      </c>
      <c r="G1475" s="18"/>
      <c r="H1475" s="18" t="s">
        <v>437</v>
      </c>
      <c r="I1475" s="18" t="s">
        <v>81</v>
      </c>
      <c r="J1475" s="18"/>
      <c r="K1475" s="20"/>
      <c r="L1475" s="18"/>
      <c r="M1475" s="20"/>
      <c r="N1475" s="18"/>
    </row>
    <row r="1476">
      <c r="A1476" s="17" t="str">
        <f t="shared" si="1"/>
        <v>IV2-14</v>
      </c>
      <c r="B1476" s="18" t="s">
        <v>413</v>
      </c>
      <c r="C1476" s="18" t="s">
        <v>414</v>
      </c>
      <c r="D1476" s="18">
        <v>0.583333333</v>
      </c>
      <c r="E1476" s="19">
        <v>43329.0</v>
      </c>
      <c r="F1476" s="18" t="s">
        <v>81</v>
      </c>
      <c r="G1476" s="18"/>
      <c r="H1476" s="18" t="s">
        <v>302</v>
      </c>
      <c r="I1476" s="18" t="s">
        <v>81</v>
      </c>
      <c r="J1476" s="18"/>
      <c r="K1476" s="20"/>
      <c r="L1476" s="18"/>
      <c r="M1476" s="20"/>
      <c r="N1476" s="18"/>
    </row>
    <row r="1477">
      <c r="A1477" s="17" t="str">
        <f t="shared" si="1"/>
        <v>IV2-20</v>
      </c>
      <c r="B1477" s="18" t="s">
        <v>385</v>
      </c>
      <c r="C1477" s="18" t="s">
        <v>386</v>
      </c>
      <c r="D1477" s="18">
        <v>0.883333333</v>
      </c>
      <c r="E1477" s="19">
        <v>43329.0</v>
      </c>
      <c r="F1477" s="18" t="s">
        <v>81</v>
      </c>
      <c r="G1477" s="18"/>
      <c r="H1477" s="18" t="s">
        <v>302</v>
      </c>
      <c r="I1477" s="18" t="s">
        <v>78</v>
      </c>
      <c r="J1477" s="18"/>
      <c r="K1477" s="20"/>
      <c r="L1477" s="20"/>
      <c r="M1477" s="20"/>
      <c r="N1477" s="18"/>
    </row>
    <row r="1478">
      <c r="A1478" s="17" t="str">
        <f t="shared" si="1"/>
        <v>PD-1682</v>
      </c>
      <c r="B1478" s="18" t="s">
        <v>363</v>
      </c>
      <c r="C1478" s="18" t="s">
        <v>364</v>
      </c>
      <c r="D1478" s="18">
        <v>5.983333333</v>
      </c>
      <c r="E1478" s="19">
        <v>43329.0</v>
      </c>
      <c r="F1478" s="18" t="s">
        <v>81</v>
      </c>
      <c r="G1478" s="18"/>
      <c r="H1478" s="18"/>
      <c r="I1478" s="18" t="s">
        <v>132</v>
      </c>
      <c r="J1478" s="18"/>
      <c r="K1478" s="20"/>
      <c r="L1478" s="20"/>
      <c r="M1478" s="20"/>
      <c r="N1478" s="18"/>
    </row>
    <row r="1479">
      <c r="A1479" s="17" t="str">
        <f t="shared" si="1"/>
        <v>IOP-875</v>
      </c>
      <c r="B1479" s="18" t="s">
        <v>123</v>
      </c>
      <c r="C1479" s="18" t="s">
        <v>124</v>
      </c>
      <c r="D1479" s="18">
        <v>0.183333333</v>
      </c>
      <c r="E1479" s="19">
        <v>43329.0</v>
      </c>
      <c r="F1479" s="18" t="s">
        <v>81</v>
      </c>
      <c r="G1479" s="18"/>
      <c r="H1479" s="18" t="s">
        <v>125</v>
      </c>
      <c r="I1479" s="18" t="s">
        <v>120</v>
      </c>
      <c r="J1479" s="18"/>
      <c r="K1479" s="20"/>
      <c r="L1479" s="20"/>
      <c r="M1479" s="20"/>
      <c r="N1479" s="18"/>
    </row>
    <row r="1480">
      <c r="A1480" s="17" t="str">
        <f t="shared" si="1"/>
        <v>IOP-867</v>
      </c>
      <c r="B1480" s="18" t="s">
        <v>143</v>
      </c>
      <c r="C1480" s="18" t="s">
        <v>144</v>
      </c>
      <c r="D1480" s="18">
        <v>0.266666667</v>
      </c>
      <c r="E1480" s="19">
        <v>43332.0</v>
      </c>
      <c r="F1480" s="18" t="s">
        <v>81</v>
      </c>
      <c r="G1480" s="18"/>
      <c r="H1480" s="18" t="s">
        <v>119</v>
      </c>
      <c r="I1480" s="18" t="s">
        <v>120</v>
      </c>
      <c r="J1480" s="18"/>
      <c r="K1480" s="20"/>
      <c r="L1480" s="20"/>
      <c r="M1480" s="20"/>
      <c r="N1480" s="18"/>
    </row>
    <row r="1481">
      <c r="A1481" s="17" t="str">
        <f t="shared" si="1"/>
        <v>IOP-866</v>
      </c>
      <c r="B1481" s="18" t="s">
        <v>117</v>
      </c>
      <c r="C1481" s="18" t="s">
        <v>118</v>
      </c>
      <c r="D1481" s="18">
        <v>0.166666667</v>
      </c>
      <c r="E1481" s="19">
        <v>43332.0</v>
      </c>
      <c r="F1481" s="18" t="s">
        <v>81</v>
      </c>
      <c r="G1481" s="18"/>
      <c r="H1481" s="18" t="s">
        <v>119</v>
      </c>
      <c r="I1481" s="18" t="s">
        <v>120</v>
      </c>
      <c r="J1481" s="18"/>
      <c r="K1481" s="20"/>
      <c r="L1481" s="20"/>
      <c r="M1481" s="20"/>
      <c r="N1481" s="18"/>
    </row>
    <row r="1482">
      <c r="A1482" s="17" t="str">
        <f t="shared" si="1"/>
        <v>IV2-32</v>
      </c>
      <c r="B1482" s="18" t="s">
        <v>551</v>
      </c>
      <c r="C1482" s="18" t="s">
        <v>552</v>
      </c>
      <c r="D1482" s="18">
        <v>0.216666667</v>
      </c>
      <c r="E1482" s="19">
        <v>43332.0</v>
      </c>
      <c r="F1482" s="18" t="s">
        <v>81</v>
      </c>
      <c r="G1482" s="18"/>
      <c r="H1482" s="18" t="s">
        <v>553</v>
      </c>
      <c r="I1482" s="18" t="s">
        <v>554</v>
      </c>
      <c r="J1482" s="18"/>
      <c r="K1482" s="20"/>
      <c r="L1482" s="20"/>
      <c r="M1482" s="20"/>
      <c r="N1482" s="18"/>
    </row>
    <row r="1483">
      <c r="A1483" s="17" t="str">
        <f t="shared" si="1"/>
        <v>PD-1650</v>
      </c>
      <c r="B1483" s="18" t="s">
        <v>185</v>
      </c>
      <c r="C1483" s="18" t="s">
        <v>186</v>
      </c>
      <c r="D1483" s="18">
        <v>0.916666667</v>
      </c>
      <c r="E1483" s="19">
        <v>43332.0</v>
      </c>
      <c r="F1483" s="18" t="s">
        <v>81</v>
      </c>
      <c r="G1483" s="18" t="s">
        <v>187</v>
      </c>
      <c r="H1483" s="18"/>
      <c r="I1483" s="18" t="s">
        <v>77</v>
      </c>
      <c r="J1483" s="18"/>
      <c r="K1483" s="20"/>
      <c r="L1483" s="20"/>
      <c r="M1483" s="20"/>
      <c r="N1483" s="18"/>
    </row>
    <row r="1484">
      <c r="A1484" s="17" t="str">
        <f t="shared" si="1"/>
        <v>IV2-14</v>
      </c>
      <c r="B1484" s="18" t="s">
        <v>413</v>
      </c>
      <c r="C1484" s="18" t="s">
        <v>414</v>
      </c>
      <c r="D1484" s="18">
        <v>0.8</v>
      </c>
      <c r="E1484" s="19">
        <v>43332.0</v>
      </c>
      <c r="F1484" s="18" t="s">
        <v>81</v>
      </c>
      <c r="G1484" s="18"/>
      <c r="H1484" s="18" t="s">
        <v>302</v>
      </c>
      <c r="I1484" s="18" t="s">
        <v>81</v>
      </c>
      <c r="J1484" s="18"/>
      <c r="K1484" s="20"/>
      <c r="L1484" s="20"/>
      <c r="M1484" s="20"/>
      <c r="N1484" s="18"/>
    </row>
    <row r="1485">
      <c r="A1485" s="17" t="str">
        <f t="shared" si="1"/>
        <v>PD-1436</v>
      </c>
      <c r="B1485" s="18" t="s">
        <v>493</v>
      </c>
      <c r="C1485" s="18" t="s">
        <v>494</v>
      </c>
      <c r="D1485" s="18">
        <v>0.316666667</v>
      </c>
      <c r="E1485" s="19">
        <v>43332.0</v>
      </c>
      <c r="F1485" s="18" t="s">
        <v>81</v>
      </c>
      <c r="G1485" s="18"/>
      <c r="H1485" s="18" t="s">
        <v>302</v>
      </c>
      <c r="I1485" s="18" t="s">
        <v>77</v>
      </c>
      <c r="J1485" s="18"/>
      <c r="K1485" s="20"/>
      <c r="L1485" s="20"/>
      <c r="M1485" s="20"/>
      <c r="N1485" s="18"/>
    </row>
    <row r="1486">
      <c r="A1486" s="17" t="str">
        <f t="shared" si="1"/>
        <v>IOP-875</v>
      </c>
      <c r="B1486" s="18" t="s">
        <v>123</v>
      </c>
      <c r="C1486" s="18" t="s">
        <v>124</v>
      </c>
      <c r="D1486" s="18">
        <v>2.016666667</v>
      </c>
      <c r="E1486" s="19">
        <v>43332.0</v>
      </c>
      <c r="F1486" s="18" t="s">
        <v>81</v>
      </c>
      <c r="G1486" s="18"/>
      <c r="H1486" s="18" t="s">
        <v>125</v>
      </c>
      <c r="I1486" s="18" t="s">
        <v>120</v>
      </c>
      <c r="J1486" s="18"/>
      <c r="K1486" s="20"/>
      <c r="L1486" s="20"/>
      <c r="M1486" s="20"/>
      <c r="N1486" s="18"/>
    </row>
    <row r="1487">
      <c r="A1487" s="17" t="str">
        <f t="shared" si="1"/>
        <v>PD-1682</v>
      </c>
      <c r="B1487" s="18" t="s">
        <v>363</v>
      </c>
      <c r="C1487" s="18" t="s">
        <v>364</v>
      </c>
      <c r="D1487" s="18">
        <v>2.616666667</v>
      </c>
      <c r="E1487" s="19">
        <v>43332.0</v>
      </c>
      <c r="F1487" s="18" t="s">
        <v>81</v>
      </c>
      <c r="G1487" s="18"/>
      <c r="H1487" s="18"/>
      <c r="I1487" s="18" t="s">
        <v>132</v>
      </c>
      <c r="J1487" s="18"/>
      <c r="K1487" s="20"/>
      <c r="L1487" s="20"/>
      <c r="M1487" s="20"/>
      <c r="N1487" s="18"/>
    </row>
    <row r="1488">
      <c r="A1488" s="17" t="str">
        <f t="shared" si="1"/>
        <v>IOP-867</v>
      </c>
      <c r="B1488" s="18" t="s">
        <v>143</v>
      </c>
      <c r="C1488" s="18" t="s">
        <v>144</v>
      </c>
      <c r="D1488" s="18">
        <v>0.016666667</v>
      </c>
      <c r="E1488" s="19">
        <v>43333.0</v>
      </c>
      <c r="F1488" s="18" t="s">
        <v>81</v>
      </c>
      <c r="G1488" s="18"/>
      <c r="H1488" s="18" t="s">
        <v>119</v>
      </c>
      <c r="I1488" s="18" t="s">
        <v>120</v>
      </c>
      <c r="J1488" s="18"/>
      <c r="K1488" s="20"/>
      <c r="L1488" s="20"/>
      <c r="M1488" s="20"/>
      <c r="N1488" s="18"/>
    </row>
    <row r="1489">
      <c r="A1489" s="17" t="str">
        <f t="shared" si="1"/>
        <v>IOP-866</v>
      </c>
      <c r="B1489" s="18" t="s">
        <v>117</v>
      </c>
      <c r="C1489" s="18" t="s">
        <v>118</v>
      </c>
      <c r="D1489" s="18">
        <v>0.066666667</v>
      </c>
      <c r="E1489" s="19">
        <v>43333.0</v>
      </c>
      <c r="F1489" s="18" t="s">
        <v>81</v>
      </c>
      <c r="G1489" s="18"/>
      <c r="H1489" s="18" t="s">
        <v>119</v>
      </c>
      <c r="I1489" s="18" t="s">
        <v>120</v>
      </c>
      <c r="J1489" s="18"/>
      <c r="K1489" s="20"/>
      <c r="L1489" s="20"/>
      <c r="M1489" s="20"/>
      <c r="N1489" s="18"/>
    </row>
    <row r="1490">
      <c r="A1490" s="17" t="str">
        <f t="shared" si="1"/>
        <v>PD-1440</v>
      </c>
      <c r="B1490" s="18" t="s">
        <v>158</v>
      </c>
      <c r="C1490" s="18" t="s">
        <v>159</v>
      </c>
      <c r="D1490" s="18">
        <v>0.5</v>
      </c>
      <c r="E1490" s="19">
        <v>43333.0</v>
      </c>
      <c r="F1490" s="18" t="s">
        <v>81</v>
      </c>
      <c r="G1490" s="18"/>
      <c r="H1490" s="18"/>
      <c r="I1490" s="18" t="s">
        <v>81</v>
      </c>
      <c r="J1490" s="18"/>
      <c r="K1490" s="20"/>
      <c r="L1490" s="20"/>
      <c r="M1490" s="20"/>
      <c r="N1490" s="18"/>
    </row>
    <row r="1491">
      <c r="A1491" s="17" t="str">
        <f t="shared" si="1"/>
        <v>IV2-14</v>
      </c>
      <c r="B1491" s="18" t="s">
        <v>413</v>
      </c>
      <c r="C1491" s="18" t="s">
        <v>414</v>
      </c>
      <c r="D1491" s="18">
        <v>1.633333333</v>
      </c>
      <c r="E1491" s="19">
        <v>43333.0</v>
      </c>
      <c r="F1491" s="18" t="s">
        <v>81</v>
      </c>
      <c r="G1491" s="18"/>
      <c r="H1491" s="18" t="s">
        <v>302</v>
      </c>
      <c r="I1491" s="18" t="s">
        <v>81</v>
      </c>
      <c r="J1491" s="18"/>
      <c r="K1491" s="20"/>
      <c r="L1491" s="20"/>
      <c r="M1491" s="20"/>
      <c r="N1491" s="18"/>
    </row>
    <row r="1492">
      <c r="A1492" s="17" t="str">
        <f t="shared" si="1"/>
        <v>IV2-20</v>
      </c>
      <c r="B1492" s="18" t="s">
        <v>385</v>
      </c>
      <c r="C1492" s="18" t="s">
        <v>386</v>
      </c>
      <c r="D1492" s="18">
        <v>1.65</v>
      </c>
      <c r="E1492" s="19">
        <v>43333.0</v>
      </c>
      <c r="F1492" s="18" t="s">
        <v>81</v>
      </c>
      <c r="G1492" s="18"/>
      <c r="H1492" s="18" t="s">
        <v>302</v>
      </c>
      <c r="I1492" s="18" t="s">
        <v>78</v>
      </c>
      <c r="J1492" s="18"/>
      <c r="K1492" s="20"/>
      <c r="L1492" s="20"/>
      <c r="M1492" s="20"/>
      <c r="N1492" s="18"/>
    </row>
    <row r="1493">
      <c r="A1493" s="17" t="str">
        <f t="shared" si="1"/>
        <v>IOP-963</v>
      </c>
      <c r="B1493" s="18" t="s">
        <v>635</v>
      </c>
      <c r="C1493" s="18" t="s">
        <v>636</v>
      </c>
      <c r="D1493" s="18">
        <v>0.133333333</v>
      </c>
      <c r="E1493" s="19">
        <v>43333.0</v>
      </c>
      <c r="F1493" s="18" t="s">
        <v>81</v>
      </c>
      <c r="G1493" s="18"/>
      <c r="H1493" s="18"/>
      <c r="I1493" s="18" t="s">
        <v>116</v>
      </c>
      <c r="J1493" s="18"/>
      <c r="K1493" s="20"/>
      <c r="L1493" s="20"/>
      <c r="M1493" s="20"/>
      <c r="N1493" s="18"/>
    </row>
    <row r="1494">
      <c r="A1494" s="17" t="str">
        <f t="shared" si="1"/>
        <v>PD-1565</v>
      </c>
      <c r="B1494" s="18" t="s">
        <v>75</v>
      </c>
      <c r="C1494" s="18" t="s">
        <v>76</v>
      </c>
      <c r="D1494" s="18">
        <v>0.166666667</v>
      </c>
      <c r="E1494" s="19">
        <v>43333.0</v>
      </c>
      <c r="F1494" s="18" t="s">
        <v>81</v>
      </c>
      <c r="G1494" s="18"/>
      <c r="H1494" s="18"/>
      <c r="I1494" s="18" t="s">
        <v>78</v>
      </c>
      <c r="J1494" s="18"/>
      <c r="K1494" s="20"/>
      <c r="L1494" s="20"/>
      <c r="M1494" s="20"/>
      <c r="N1494" s="18"/>
    </row>
    <row r="1495">
      <c r="A1495" s="17" t="str">
        <f t="shared" si="1"/>
        <v>PD-1682</v>
      </c>
      <c r="B1495" s="18" t="s">
        <v>363</v>
      </c>
      <c r="C1495" s="18" t="s">
        <v>364</v>
      </c>
      <c r="D1495" s="18">
        <v>3.566666667</v>
      </c>
      <c r="E1495" s="19">
        <v>43333.0</v>
      </c>
      <c r="F1495" s="18" t="s">
        <v>81</v>
      </c>
      <c r="G1495" s="18"/>
      <c r="H1495" s="18"/>
      <c r="I1495" s="18" t="s">
        <v>132</v>
      </c>
      <c r="J1495" s="18"/>
      <c r="K1495" s="20"/>
      <c r="L1495" s="20"/>
      <c r="M1495" s="20"/>
      <c r="N1495" s="18"/>
    </row>
    <row r="1496">
      <c r="A1496" s="17" t="str">
        <f t="shared" si="1"/>
        <v>IOP-879</v>
      </c>
      <c r="B1496" s="18" t="s">
        <v>155</v>
      </c>
      <c r="C1496" s="18" t="s">
        <v>156</v>
      </c>
      <c r="D1496" s="18">
        <v>1.233333333</v>
      </c>
      <c r="E1496" s="19">
        <v>43349.0</v>
      </c>
      <c r="F1496" s="18" t="s">
        <v>81</v>
      </c>
      <c r="G1496" s="18"/>
      <c r="H1496" s="18" t="s">
        <v>157</v>
      </c>
      <c r="I1496" s="18" t="s">
        <v>120</v>
      </c>
      <c r="J1496" s="18"/>
      <c r="K1496" s="20"/>
      <c r="L1496" s="20"/>
      <c r="M1496" s="20"/>
      <c r="N1496" s="18"/>
    </row>
    <row r="1497">
      <c r="A1497" s="17" t="str">
        <f t="shared" si="1"/>
        <v>IOP-867</v>
      </c>
      <c r="B1497" s="18" t="s">
        <v>143</v>
      </c>
      <c r="C1497" s="18" t="s">
        <v>144</v>
      </c>
      <c r="D1497" s="18">
        <v>0.133333333</v>
      </c>
      <c r="E1497" s="19">
        <v>43334.0</v>
      </c>
      <c r="F1497" s="18" t="s">
        <v>81</v>
      </c>
      <c r="G1497" s="18"/>
      <c r="H1497" s="18" t="s">
        <v>119</v>
      </c>
      <c r="I1497" s="18" t="s">
        <v>120</v>
      </c>
      <c r="J1497" s="18"/>
      <c r="K1497" s="20"/>
      <c r="L1497" s="20"/>
      <c r="M1497" s="20"/>
      <c r="N1497" s="18"/>
    </row>
    <row r="1498">
      <c r="A1498" s="17" t="str">
        <f t="shared" si="1"/>
        <v>IOP-866</v>
      </c>
      <c r="B1498" s="18" t="s">
        <v>117</v>
      </c>
      <c r="C1498" s="18" t="s">
        <v>118</v>
      </c>
      <c r="D1498" s="18">
        <v>0.116666667</v>
      </c>
      <c r="E1498" s="19">
        <v>43334.0</v>
      </c>
      <c r="F1498" s="18" t="s">
        <v>81</v>
      </c>
      <c r="G1498" s="18"/>
      <c r="H1498" s="18" t="s">
        <v>119</v>
      </c>
      <c r="I1498" s="18" t="s">
        <v>120</v>
      </c>
      <c r="J1498" s="18"/>
      <c r="K1498" s="20"/>
      <c r="L1498" s="20"/>
      <c r="M1498" s="20"/>
      <c r="N1498" s="18"/>
    </row>
    <row r="1499">
      <c r="A1499" s="17" t="str">
        <f t="shared" si="1"/>
        <v>IV2-20</v>
      </c>
      <c r="B1499" s="18" t="s">
        <v>385</v>
      </c>
      <c r="C1499" s="18" t="s">
        <v>386</v>
      </c>
      <c r="D1499" s="18">
        <v>0.683333333</v>
      </c>
      <c r="E1499" s="19">
        <v>43334.0</v>
      </c>
      <c r="F1499" s="18" t="s">
        <v>81</v>
      </c>
      <c r="G1499" s="18"/>
      <c r="H1499" s="18" t="s">
        <v>302</v>
      </c>
      <c r="I1499" s="18" t="s">
        <v>78</v>
      </c>
      <c r="J1499" s="18"/>
      <c r="K1499" s="20"/>
      <c r="L1499" s="20"/>
      <c r="M1499" s="20"/>
      <c r="N1499" s="18"/>
    </row>
    <row r="1500">
      <c r="A1500" s="17" t="str">
        <f t="shared" si="1"/>
        <v>PD-1682</v>
      </c>
      <c r="B1500" s="18" t="s">
        <v>363</v>
      </c>
      <c r="C1500" s="18" t="s">
        <v>364</v>
      </c>
      <c r="D1500" s="18">
        <v>3.683333333</v>
      </c>
      <c r="E1500" s="19">
        <v>43334.0</v>
      </c>
      <c r="F1500" s="18" t="s">
        <v>81</v>
      </c>
      <c r="G1500" s="18"/>
      <c r="H1500" s="18"/>
      <c r="I1500" s="18" t="s">
        <v>132</v>
      </c>
      <c r="J1500" s="18"/>
      <c r="K1500" s="20"/>
      <c r="L1500" s="20"/>
      <c r="M1500" s="20"/>
      <c r="N1500" s="18"/>
    </row>
    <row r="1501">
      <c r="A1501" s="17" t="str">
        <f t="shared" si="1"/>
        <v>IV2-32</v>
      </c>
      <c r="B1501" s="18" t="s">
        <v>551</v>
      </c>
      <c r="C1501" s="18" t="s">
        <v>552</v>
      </c>
      <c r="D1501" s="18">
        <v>0.8</v>
      </c>
      <c r="E1501" s="19">
        <v>43334.0</v>
      </c>
      <c r="F1501" s="18" t="s">
        <v>81</v>
      </c>
      <c r="G1501" s="18"/>
      <c r="H1501" s="18" t="s">
        <v>553</v>
      </c>
      <c r="I1501" s="18" t="s">
        <v>554</v>
      </c>
      <c r="J1501" s="18"/>
      <c r="K1501" s="20"/>
      <c r="L1501" s="20"/>
      <c r="M1501" s="20"/>
      <c r="N1501" s="18"/>
    </row>
    <row r="1502">
      <c r="A1502" s="17" t="str">
        <f t="shared" si="1"/>
        <v>IV2-47</v>
      </c>
      <c r="B1502" s="18" t="s">
        <v>546</v>
      </c>
      <c r="C1502" s="18" t="s">
        <v>547</v>
      </c>
      <c r="D1502" s="18">
        <v>1.95</v>
      </c>
      <c r="E1502" s="19">
        <v>43334.0</v>
      </c>
      <c r="F1502" s="18" t="s">
        <v>81</v>
      </c>
      <c r="G1502" s="18"/>
      <c r="H1502" s="18" t="s">
        <v>302</v>
      </c>
      <c r="I1502" s="18" t="s">
        <v>132</v>
      </c>
      <c r="J1502" s="18"/>
      <c r="K1502" s="20"/>
      <c r="L1502" s="20"/>
      <c r="M1502" s="20"/>
      <c r="N1502" s="18"/>
    </row>
    <row r="1503">
      <c r="A1503" s="17" t="str">
        <f t="shared" si="1"/>
        <v>IOP-879</v>
      </c>
      <c r="B1503" s="18" t="s">
        <v>155</v>
      </c>
      <c r="C1503" s="18" t="s">
        <v>156</v>
      </c>
      <c r="D1503" s="18">
        <v>1.033333333</v>
      </c>
      <c r="E1503" s="19">
        <v>43334.0</v>
      </c>
      <c r="F1503" s="18" t="s">
        <v>81</v>
      </c>
      <c r="G1503" s="18"/>
      <c r="H1503" s="18" t="s">
        <v>157</v>
      </c>
      <c r="I1503" s="18" t="s">
        <v>120</v>
      </c>
      <c r="J1503" s="18"/>
      <c r="K1503" s="20"/>
      <c r="L1503" s="20"/>
      <c r="M1503" s="20"/>
      <c r="N1503" s="18"/>
    </row>
    <row r="1504">
      <c r="A1504" s="17" t="str">
        <f t="shared" si="1"/>
        <v>IV2-50</v>
      </c>
      <c r="B1504" s="18" t="s">
        <v>609</v>
      </c>
      <c r="C1504" s="18" t="s">
        <v>610</v>
      </c>
      <c r="D1504" s="18">
        <v>0.066666667</v>
      </c>
      <c r="E1504" s="19">
        <v>43334.0</v>
      </c>
      <c r="F1504" s="18" t="s">
        <v>81</v>
      </c>
      <c r="G1504" s="18"/>
      <c r="H1504" s="18" t="s">
        <v>302</v>
      </c>
      <c r="I1504" s="18" t="s">
        <v>132</v>
      </c>
      <c r="J1504" s="18"/>
      <c r="K1504" s="20"/>
      <c r="L1504" s="20"/>
      <c r="M1504" s="20"/>
      <c r="N1504" s="18"/>
    </row>
    <row r="1505">
      <c r="A1505" s="17" t="str">
        <f t="shared" si="1"/>
        <v>IOP-867</v>
      </c>
      <c r="B1505" s="18" t="s">
        <v>143</v>
      </c>
      <c r="C1505" s="18" t="s">
        <v>144</v>
      </c>
      <c r="D1505" s="18">
        <v>0.25</v>
      </c>
      <c r="E1505" s="19">
        <v>43335.0</v>
      </c>
      <c r="F1505" s="18" t="s">
        <v>81</v>
      </c>
      <c r="G1505" s="18"/>
      <c r="H1505" s="18" t="s">
        <v>119</v>
      </c>
      <c r="I1505" s="18" t="s">
        <v>120</v>
      </c>
      <c r="J1505" s="18"/>
      <c r="K1505" s="20"/>
      <c r="L1505" s="20"/>
      <c r="M1505" s="20"/>
      <c r="N1505" s="18"/>
    </row>
    <row r="1506">
      <c r="A1506" s="17" t="str">
        <f t="shared" si="1"/>
        <v>IOP-866</v>
      </c>
      <c r="B1506" s="18" t="s">
        <v>117</v>
      </c>
      <c r="C1506" s="18" t="s">
        <v>118</v>
      </c>
      <c r="D1506" s="18">
        <v>0.066666667</v>
      </c>
      <c r="E1506" s="19">
        <v>43335.0</v>
      </c>
      <c r="F1506" s="18" t="s">
        <v>81</v>
      </c>
      <c r="G1506" s="18"/>
      <c r="H1506" s="18" t="s">
        <v>119</v>
      </c>
      <c r="I1506" s="18" t="s">
        <v>120</v>
      </c>
      <c r="J1506" s="18"/>
      <c r="K1506" s="20"/>
      <c r="L1506" s="20"/>
      <c r="M1506" s="20"/>
      <c r="N1506" s="18"/>
    </row>
    <row r="1507">
      <c r="A1507" s="17" t="str">
        <f t="shared" si="1"/>
        <v>IV2-47</v>
      </c>
      <c r="B1507" s="18" t="s">
        <v>546</v>
      </c>
      <c r="C1507" s="18" t="s">
        <v>547</v>
      </c>
      <c r="D1507" s="18">
        <v>1.1</v>
      </c>
      <c r="E1507" s="19">
        <v>43335.0</v>
      </c>
      <c r="F1507" s="18" t="s">
        <v>81</v>
      </c>
      <c r="G1507" s="18"/>
      <c r="H1507" s="18" t="s">
        <v>302</v>
      </c>
      <c r="I1507" s="18" t="s">
        <v>132</v>
      </c>
      <c r="J1507" s="18"/>
      <c r="K1507" s="20"/>
      <c r="L1507" s="20"/>
      <c r="M1507" s="20"/>
      <c r="N1507" s="18"/>
    </row>
    <row r="1508">
      <c r="A1508" s="17" t="str">
        <f t="shared" si="1"/>
        <v>PD-1436</v>
      </c>
      <c r="B1508" s="18" t="s">
        <v>493</v>
      </c>
      <c r="C1508" s="18" t="s">
        <v>494</v>
      </c>
      <c r="D1508" s="18">
        <v>0.933333333</v>
      </c>
      <c r="E1508" s="19">
        <v>43335.0</v>
      </c>
      <c r="F1508" s="18" t="s">
        <v>81</v>
      </c>
      <c r="G1508" s="18"/>
      <c r="H1508" s="18" t="s">
        <v>302</v>
      </c>
      <c r="I1508" s="18" t="s">
        <v>77</v>
      </c>
      <c r="J1508" s="18"/>
      <c r="K1508" s="20"/>
      <c r="L1508" s="20"/>
      <c r="M1508" s="20"/>
      <c r="N1508" s="18"/>
    </row>
    <row r="1509">
      <c r="A1509" s="17" t="str">
        <f t="shared" si="1"/>
        <v>PD-1682</v>
      </c>
      <c r="B1509" s="18" t="s">
        <v>363</v>
      </c>
      <c r="C1509" s="18" t="s">
        <v>364</v>
      </c>
      <c r="D1509" s="18">
        <v>2.466666667</v>
      </c>
      <c r="E1509" s="19">
        <v>43335.0</v>
      </c>
      <c r="F1509" s="18" t="s">
        <v>81</v>
      </c>
      <c r="G1509" s="18"/>
      <c r="H1509" s="18"/>
      <c r="I1509" s="18" t="s">
        <v>132</v>
      </c>
      <c r="J1509" s="18"/>
      <c r="K1509" s="20"/>
      <c r="L1509" s="20"/>
      <c r="M1509" s="20"/>
      <c r="N1509" s="18"/>
    </row>
    <row r="1510">
      <c r="A1510" s="17" t="str">
        <f t="shared" si="1"/>
        <v>IV2-17</v>
      </c>
      <c r="B1510" s="18" t="s">
        <v>373</v>
      </c>
      <c r="C1510" s="18" t="s">
        <v>374</v>
      </c>
      <c r="D1510" s="18">
        <v>2.466666667</v>
      </c>
      <c r="E1510" s="19">
        <v>43335.0</v>
      </c>
      <c r="F1510" s="18" t="s">
        <v>81</v>
      </c>
      <c r="G1510" s="18"/>
      <c r="H1510" s="18" t="s">
        <v>302</v>
      </c>
      <c r="I1510" s="18" t="s">
        <v>81</v>
      </c>
      <c r="J1510" s="18"/>
      <c r="K1510" s="20"/>
      <c r="L1510" s="20"/>
      <c r="M1510" s="20"/>
      <c r="N1510" s="18"/>
    </row>
    <row r="1511">
      <c r="A1511" s="17" t="str">
        <f t="shared" si="1"/>
        <v>PD-1651</v>
      </c>
      <c r="B1511" s="18" t="s">
        <v>294</v>
      </c>
      <c r="C1511" s="18" t="s">
        <v>295</v>
      </c>
      <c r="D1511" s="18">
        <v>0.183333333</v>
      </c>
      <c r="E1511" s="19">
        <v>43335.0</v>
      </c>
      <c r="F1511" s="18" t="s">
        <v>81</v>
      </c>
      <c r="G1511" s="18"/>
      <c r="H1511" s="18" t="s">
        <v>187</v>
      </c>
      <c r="I1511" s="18" t="s">
        <v>81</v>
      </c>
      <c r="J1511" s="18"/>
      <c r="K1511" s="20"/>
      <c r="L1511" s="20"/>
      <c r="M1511" s="20"/>
      <c r="N1511" s="18"/>
    </row>
    <row r="1512">
      <c r="A1512" s="17" t="str">
        <f t="shared" si="1"/>
        <v>IV2-32</v>
      </c>
      <c r="B1512" s="18" t="s">
        <v>551</v>
      </c>
      <c r="C1512" s="18" t="s">
        <v>552</v>
      </c>
      <c r="D1512" s="18">
        <v>0.116666667</v>
      </c>
      <c r="E1512" s="19">
        <v>43335.0</v>
      </c>
      <c r="F1512" s="18" t="s">
        <v>81</v>
      </c>
      <c r="G1512" s="18"/>
      <c r="H1512" s="18" t="s">
        <v>553</v>
      </c>
      <c r="I1512" s="18" t="s">
        <v>554</v>
      </c>
      <c r="J1512" s="18"/>
      <c r="K1512" s="20"/>
      <c r="L1512" s="20"/>
      <c r="M1512" s="20"/>
      <c r="N1512" s="18"/>
    </row>
    <row r="1513">
      <c r="A1513" s="17" t="str">
        <f t="shared" si="1"/>
        <v>IOP-867</v>
      </c>
      <c r="B1513" s="18" t="s">
        <v>143</v>
      </c>
      <c r="C1513" s="18" t="s">
        <v>144</v>
      </c>
      <c r="D1513" s="18">
        <v>0.116666667</v>
      </c>
      <c r="E1513" s="19">
        <v>43336.0</v>
      </c>
      <c r="F1513" s="18" t="s">
        <v>81</v>
      </c>
      <c r="G1513" s="18"/>
      <c r="H1513" s="18" t="s">
        <v>119</v>
      </c>
      <c r="I1513" s="18" t="s">
        <v>120</v>
      </c>
      <c r="J1513" s="18"/>
      <c r="K1513" s="20"/>
      <c r="L1513" s="20"/>
      <c r="M1513" s="20"/>
      <c r="N1513" s="18"/>
    </row>
    <row r="1514">
      <c r="A1514" s="17" t="str">
        <f t="shared" si="1"/>
        <v>IOP-866</v>
      </c>
      <c r="B1514" s="18" t="s">
        <v>117</v>
      </c>
      <c r="C1514" s="18" t="s">
        <v>118</v>
      </c>
      <c r="D1514" s="18">
        <v>0.233333333</v>
      </c>
      <c r="E1514" s="19">
        <v>43336.0</v>
      </c>
      <c r="F1514" s="18" t="s">
        <v>81</v>
      </c>
      <c r="G1514" s="18"/>
      <c r="H1514" s="18" t="s">
        <v>119</v>
      </c>
      <c r="I1514" s="18" t="s">
        <v>120</v>
      </c>
      <c r="J1514" s="18"/>
      <c r="K1514" s="20"/>
      <c r="L1514" s="20"/>
      <c r="M1514" s="20"/>
      <c r="N1514" s="18"/>
    </row>
    <row r="1515">
      <c r="A1515" s="17" t="str">
        <f t="shared" si="1"/>
        <v>PD-1682</v>
      </c>
      <c r="B1515" s="18" t="s">
        <v>363</v>
      </c>
      <c r="C1515" s="18" t="s">
        <v>364</v>
      </c>
      <c r="D1515" s="18">
        <v>2.333333333</v>
      </c>
      <c r="E1515" s="19">
        <v>43336.0</v>
      </c>
      <c r="F1515" s="18" t="s">
        <v>81</v>
      </c>
      <c r="G1515" s="18"/>
      <c r="H1515" s="18"/>
      <c r="I1515" s="18" t="s">
        <v>132</v>
      </c>
      <c r="J1515" s="18"/>
      <c r="K1515" s="20"/>
      <c r="L1515" s="20"/>
      <c r="M1515" s="20"/>
      <c r="N1515" s="18"/>
    </row>
    <row r="1516">
      <c r="A1516" s="17" t="str">
        <f t="shared" si="1"/>
        <v>PD-1436</v>
      </c>
      <c r="B1516" s="18" t="s">
        <v>493</v>
      </c>
      <c r="C1516" s="18" t="s">
        <v>494</v>
      </c>
      <c r="D1516" s="18">
        <v>1.133333333</v>
      </c>
      <c r="E1516" s="19">
        <v>43336.0</v>
      </c>
      <c r="F1516" s="18" t="s">
        <v>81</v>
      </c>
      <c r="G1516" s="18"/>
      <c r="H1516" s="18" t="s">
        <v>302</v>
      </c>
      <c r="I1516" s="18" t="s">
        <v>77</v>
      </c>
      <c r="J1516" s="18"/>
      <c r="K1516" s="20"/>
      <c r="L1516" s="20"/>
      <c r="M1516" s="20"/>
      <c r="N1516" s="18"/>
    </row>
    <row r="1517">
      <c r="A1517" s="17" t="str">
        <f t="shared" si="1"/>
        <v>IOP-963</v>
      </c>
      <c r="B1517" s="18" t="s">
        <v>635</v>
      </c>
      <c r="C1517" s="18" t="s">
        <v>636</v>
      </c>
      <c r="D1517" s="18">
        <v>2.583333333</v>
      </c>
      <c r="E1517" s="19">
        <v>43336.0</v>
      </c>
      <c r="F1517" s="18" t="s">
        <v>81</v>
      </c>
      <c r="G1517" s="18"/>
      <c r="H1517" s="18"/>
      <c r="I1517" s="18" t="s">
        <v>116</v>
      </c>
      <c r="J1517" s="18"/>
      <c r="K1517" s="20"/>
      <c r="L1517" s="20"/>
      <c r="M1517" s="20"/>
      <c r="N1517" s="18"/>
    </row>
    <row r="1518">
      <c r="A1518" s="17" t="str">
        <f t="shared" si="1"/>
        <v>PD-1651</v>
      </c>
      <c r="B1518" s="18" t="s">
        <v>294</v>
      </c>
      <c r="C1518" s="18" t="s">
        <v>295</v>
      </c>
      <c r="D1518" s="18">
        <v>0.116666667</v>
      </c>
      <c r="E1518" s="19">
        <v>43336.0</v>
      </c>
      <c r="F1518" s="18" t="s">
        <v>81</v>
      </c>
      <c r="G1518" s="18"/>
      <c r="H1518" s="18" t="s">
        <v>187</v>
      </c>
      <c r="I1518" s="18" t="s">
        <v>81</v>
      </c>
      <c r="J1518" s="18"/>
      <c r="K1518" s="20"/>
      <c r="L1518" s="20"/>
      <c r="M1518" s="20"/>
      <c r="N1518" s="18"/>
    </row>
    <row r="1519">
      <c r="A1519" s="17" t="str">
        <f t="shared" si="1"/>
        <v>IV2-17</v>
      </c>
      <c r="B1519" s="18" t="s">
        <v>373</v>
      </c>
      <c r="C1519" s="18" t="s">
        <v>374</v>
      </c>
      <c r="D1519" s="18">
        <v>1.583333333</v>
      </c>
      <c r="E1519" s="19">
        <v>43336.0</v>
      </c>
      <c r="F1519" s="18" t="s">
        <v>81</v>
      </c>
      <c r="G1519" s="18"/>
      <c r="H1519" s="18" t="s">
        <v>302</v>
      </c>
      <c r="I1519" s="18" t="s">
        <v>81</v>
      </c>
      <c r="J1519" s="18"/>
      <c r="K1519" s="20"/>
      <c r="L1519" s="20"/>
      <c r="M1519" s="20"/>
      <c r="N1519" s="18"/>
    </row>
    <row r="1520">
      <c r="A1520" s="17" t="str">
        <f t="shared" si="1"/>
        <v>IOP-867</v>
      </c>
      <c r="B1520" s="18" t="s">
        <v>143</v>
      </c>
      <c r="C1520" s="18" t="s">
        <v>144</v>
      </c>
      <c r="D1520" s="18">
        <v>0.116666667</v>
      </c>
      <c r="E1520" s="19">
        <v>43339.0</v>
      </c>
      <c r="F1520" s="18" t="s">
        <v>81</v>
      </c>
      <c r="G1520" s="18"/>
      <c r="H1520" s="18" t="s">
        <v>119</v>
      </c>
      <c r="I1520" s="18" t="s">
        <v>120</v>
      </c>
      <c r="J1520" s="18"/>
      <c r="K1520" s="20"/>
      <c r="L1520" s="20"/>
      <c r="M1520" s="20"/>
      <c r="N1520" s="18"/>
    </row>
    <row r="1521">
      <c r="A1521" s="17" t="str">
        <f t="shared" si="1"/>
        <v>IOP-866</v>
      </c>
      <c r="B1521" s="18" t="s">
        <v>117</v>
      </c>
      <c r="C1521" s="18" t="s">
        <v>118</v>
      </c>
      <c r="D1521" s="18">
        <v>0.066666667</v>
      </c>
      <c r="E1521" s="19">
        <v>43339.0</v>
      </c>
      <c r="F1521" s="18" t="s">
        <v>81</v>
      </c>
      <c r="G1521" s="18"/>
      <c r="H1521" s="18" t="s">
        <v>119</v>
      </c>
      <c r="I1521" s="18" t="s">
        <v>120</v>
      </c>
      <c r="J1521" s="18"/>
      <c r="K1521" s="20"/>
      <c r="L1521" s="20"/>
      <c r="M1521" s="20"/>
      <c r="N1521" s="18"/>
    </row>
    <row r="1522">
      <c r="A1522" s="17" t="str">
        <f t="shared" si="1"/>
        <v>IV2-55</v>
      </c>
      <c r="B1522" s="18" t="s">
        <v>629</v>
      </c>
      <c r="C1522" s="18" t="s">
        <v>630</v>
      </c>
      <c r="D1522" s="18">
        <v>0.4</v>
      </c>
      <c r="E1522" s="19">
        <v>43339.0</v>
      </c>
      <c r="F1522" s="18" t="s">
        <v>81</v>
      </c>
      <c r="G1522" s="18"/>
      <c r="H1522" s="18" t="s">
        <v>553</v>
      </c>
      <c r="I1522" s="18" t="s">
        <v>77</v>
      </c>
      <c r="J1522" s="18"/>
      <c r="K1522" s="20"/>
      <c r="L1522" s="20"/>
      <c r="M1522" s="20"/>
      <c r="N1522" s="18"/>
    </row>
    <row r="1523">
      <c r="A1523" s="17" t="str">
        <f t="shared" si="1"/>
        <v>IV2-30</v>
      </c>
      <c r="B1523" s="18" t="s">
        <v>594</v>
      </c>
      <c r="C1523" s="18" t="s">
        <v>553</v>
      </c>
      <c r="D1523" s="18">
        <v>1.666666667</v>
      </c>
      <c r="E1523" s="19">
        <v>43339.0</v>
      </c>
      <c r="F1523" s="18" t="s">
        <v>81</v>
      </c>
      <c r="G1523" s="18" t="s">
        <v>553</v>
      </c>
      <c r="H1523" s="18"/>
      <c r="I1523" s="18" t="s">
        <v>77</v>
      </c>
      <c r="J1523" s="18"/>
      <c r="K1523" s="20"/>
      <c r="L1523" s="20"/>
      <c r="M1523" s="20"/>
      <c r="N1523" s="18"/>
    </row>
    <row r="1524">
      <c r="A1524" s="17" t="str">
        <f t="shared" si="1"/>
        <v>IV2-17</v>
      </c>
      <c r="B1524" s="18" t="s">
        <v>373</v>
      </c>
      <c r="C1524" s="18" t="s">
        <v>374</v>
      </c>
      <c r="D1524" s="18">
        <v>0.333333333</v>
      </c>
      <c r="E1524" s="19">
        <v>43339.0</v>
      </c>
      <c r="F1524" s="18" t="s">
        <v>81</v>
      </c>
      <c r="G1524" s="18"/>
      <c r="H1524" s="18" t="s">
        <v>302</v>
      </c>
      <c r="I1524" s="18" t="s">
        <v>81</v>
      </c>
      <c r="J1524" s="18"/>
      <c r="K1524" s="20"/>
      <c r="L1524" s="20"/>
      <c r="M1524" s="20"/>
      <c r="N1524" s="18"/>
    </row>
    <row r="1525">
      <c r="A1525" s="17" t="str">
        <f t="shared" si="1"/>
        <v>IOP-23</v>
      </c>
      <c r="B1525" s="18" t="s">
        <v>407</v>
      </c>
      <c r="C1525" s="18" t="s">
        <v>408</v>
      </c>
      <c r="D1525" s="18">
        <v>0.266666667</v>
      </c>
      <c r="E1525" s="19">
        <v>43339.0</v>
      </c>
      <c r="F1525" s="18" t="s">
        <v>81</v>
      </c>
      <c r="G1525" s="18"/>
      <c r="H1525" s="18"/>
      <c r="I1525" s="18" t="s">
        <v>190</v>
      </c>
      <c r="J1525" s="18"/>
      <c r="K1525" s="20"/>
      <c r="L1525" s="20"/>
      <c r="M1525" s="20"/>
      <c r="N1525" s="18"/>
    </row>
    <row r="1526">
      <c r="A1526" s="17" t="str">
        <f t="shared" si="1"/>
        <v>PD-1723</v>
      </c>
      <c r="B1526" s="18" t="s">
        <v>637</v>
      </c>
      <c r="C1526" s="18" t="s">
        <v>638</v>
      </c>
      <c r="D1526" s="18">
        <v>0.65</v>
      </c>
      <c r="E1526" s="19">
        <v>43339.0</v>
      </c>
      <c r="F1526" s="18" t="s">
        <v>81</v>
      </c>
      <c r="G1526" s="18"/>
      <c r="H1526" s="18"/>
      <c r="I1526" s="18" t="s">
        <v>81</v>
      </c>
      <c r="J1526" s="18"/>
      <c r="K1526" s="20"/>
      <c r="L1526" s="20"/>
      <c r="M1526" s="20"/>
      <c r="N1526" s="18"/>
    </row>
    <row r="1527">
      <c r="A1527" s="17" t="str">
        <f t="shared" si="1"/>
        <v>PD-1651</v>
      </c>
      <c r="B1527" s="18" t="s">
        <v>294</v>
      </c>
      <c r="C1527" s="18" t="s">
        <v>295</v>
      </c>
      <c r="D1527" s="18">
        <v>0.9</v>
      </c>
      <c r="E1527" s="19">
        <v>43339.0</v>
      </c>
      <c r="F1527" s="18" t="s">
        <v>81</v>
      </c>
      <c r="G1527" s="18"/>
      <c r="H1527" s="18" t="s">
        <v>187</v>
      </c>
      <c r="I1527" s="18" t="s">
        <v>81</v>
      </c>
      <c r="J1527" s="18"/>
      <c r="K1527" s="20"/>
      <c r="L1527" s="20"/>
      <c r="M1527" s="20"/>
      <c r="N1527" s="18"/>
    </row>
    <row r="1528">
      <c r="A1528" s="17" t="str">
        <f t="shared" si="1"/>
        <v>IV2-36</v>
      </c>
      <c r="B1528" s="18" t="s">
        <v>639</v>
      </c>
      <c r="C1528" s="18" t="s">
        <v>640</v>
      </c>
      <c r="D1528" s="18">
        <v>3.6</v>
      </c>
      <c r="E1528" s="19">
        <v>43339.0</v>
      </c>
      <c r="F1528" s="18" t="s">
        <v>81</v>
      </c>
      <c r="G1528" s="18"/>
      <c r="H1528" s="18" t="s">
        <v>553</v>
      </c>
      <c r="I1528" s="18" t="s">
        <v>554</v>
      </c>
      <c r="J1528" s="18"/>
      <c r="K1528" s="20"/>
      <c r="L1528" s="20"/>
      <c r="M1528" s="20"/>
      <c r="N1528" s="18"/>
    </row>
    <row r="1529">
      <c r="A1529" s="17" t="str">
        <f t="shared" si="1"/>
        <v>PD-1725</v>
      </c>
      <c r="B1529" s="18" t="s">
        <v>583</v>
      </c>
      <c r="C1529" s="18" t="s">
        <v>584</v>
      </c>
      <c r="D1529" s="18">
        <v>0.15</v>
      </c>
      <c r="E1529" s="19">
        <v>43349.0</v>
      </c>
      <c r="F1529" s="18" t="s">
        <v>81</v>
      </c>
      <c r="G1529" s="18"/>
      <c r="H1529" s="18"/>
      <c r="I1529" s="18" t="s">
        <v>78</v>
      </c>
      <c r="J1529" s="18"/>
      <c r="K1529" s="20"/>
      <c r="L1529" s="20"/>
      <c r="M1529" s="20"/>
      <c r="N1529" s="18"/>
    </row>
    <row r="1530">
      <c r="A1530" s="17" t="str">
        <f t="shared" si="1"/>
        <v>IOP-867</v>
      </c>
      <c r="B1530" s="18" t="s">
        <v>143</v>
      </c>
      <c r="C1530" s="18" t="s">
        <v>144</v>
      </c>
      <c r="D1530" s="18">
        <v>0.166666667</v>
      </c>
      <c r="E1530" s="19">
        <v>43340.0</v>
      </c>
      <c r="F1530" s="18" t="s">
        <v>81</v>
      </c>
      <c r="G1530" s="18"/>
      <c r="H1530" s="18" t="s">
        <v>119</v>
      </c>
      <c r="I1530" s="18" t="s">
        <v>120</v>
      </c>
      <c r="J1530" s="18"/>
      <c r="K1530" s="20"/>
      <c r="L1530" s="20"/>
      <c r="M1530" s="20"/>
      <c r="N1530" s="18"/>
    </row>
    <row r="1531">
      <c r="A1531" s="17" t="str">
        <f t="shared" si="1"/>
        <v>IOP-866</v>
      </c>
      <c r="B1531" s="18" t="s">
        <v>117</v>
      </c>
      <c r="C1531" s="18" t="s">
        <v>118</v>
      </c>
      <c r="D1531" s="18">
        <v>0.15</v>
      </c>
      <c r="E1531" s="19">
        <v>43340.0</v>
      </c>
      <c r="F1531" s="18" t="s">
        <v>81</v>
      </c>
      <c r="G1531" s="18"/>
      <c r="H1531" s="18" t="s">
        <v>119</v>
      </c>
      <c r="I1531" s="18" t="s">
        <v>120</v>
      </c>
      <c r="J1531" s="18"/>
      <c r="K1531" s="20"/>
      <c r="L1531" s="20"/>
      <c r="M1531" s="20"/>
      <c r="N1531" s="18"/>
    </row>
    <row r="1532">
      <c r="A1532" s="17" t="str">
        <f t="shared" si="1"/>
        <v>IV2-47</v>
      </c>
      <c r="B1532" s="18" t="s">
        <v>546</v>
      </c>
      <c r="C1532" s="18" t="s">
        <v>547</v>
      </c>
      <c r="D1532" s="18">
        <v>2.816666667</v>
      </c>
      <c r="E1532" s="19">
        <v>43340.0</v>
      </c>
      <c r="F1532" s="18" t="s">
        <v>81</v>
      </c>
      <c r="G1532" s="18"/>
      <c r="H1532" s="18" t="s">
        <v>302</v>
      </c>
      <c r="I1532" s="18" t="s">
        <v>132</v>
      </c>
      <c r="J1532" s="18"/>
      <c r="K1532" s="20"/>
      <c r="L1532" s="20"/>
      <c r="M1532" s="20"/>
      <c r="N1532" s="18"/>
    </row>
    <row r="1533">
      <c r="A1533" s="17" t="str">
        <f t="shared" si="1"/>
        <v>IV2-17</v>
      </c>
      <c r="B1533" s="18" t="s">
        <v>373</v>
      </c>
      <c r="C1533" s="18" t="s">
        <v>374</v>
      </c>
      <c r="D1533" s="18">
        <v>3.666666667</v>
      </c>
      <c r="E1533" s="19">
        <v>43340.0</v>
      </c>
      <c r="F1533" s="18" t="s">
        <v>81</v>
      </c>
      <c r="G1533" s="18"/>
      <c r="H1533" s="18" t="s">
        <v>302</v>
      </c>
      <c r="I1533" s="18" t="s">
        <v>81</v>
      </c>
      <c r="J1533" s="18"/>
      <c r="K1533" s="20"/>
      <c r="L1533" s="20"/>
      <c r="M1533" s="20"/>
      <c r="N1533" s="18"/>
    </row>
    <row r="1534">
      <c r="A1534" s="17" t="str">
        <f t="shared" si="1"/>
        <v>IOP-963</v>
      </c>
      <c r="B1534" s="18" t="s">
        <v>635</v>
      </c>
      <c r="C1534" s="18" t="s">
        <v>636</v>
      </c>
      <c r="D1534" s="18">
        <v>0.1</v>
      </c>
      <c r="E1534" s="19">
        <v>43340.0</v>
      </c>
      <c r="F1534" s="18" t="s">
        <v>81</v>
      </c>
      <c r="G1534" s="18"/>
      <c r="H1534" s="18"/>
      <c r="I1534" s="18" t="s">
        <v>116</v>
      </c>
      <c r="J1534" s="18"/>
      <c r="K1534" s="20"/>
      <c r="L1534" s="20"/>
      <c r="M1534" s="20"/>
      <c r="N1534" s="18"/>
    </row>
    <row r="1535">
      <c r="A1535" s="17" t="str">
        <f t="shared" si="1"/>
        <v>PD-1682</v>
      </c>
      <c r="B1535" s="18" t="s">
        <v>363</v>
      </c>
      <c r="C1535" s="18" t="s">
        <v>364</v>
      </c>
      <c r="D1535" s="18">
        <v>0.716666667</v>
      </c>
      <c r="E1535" s="19">
        <v>43340.0</v>
      </c>
      <c r="F1535" s="18" t="s">
        <v>81</v>
      </c>
      <c r="G1535" s="18"/>
      <c r="H1535" s="18"/>
      <c r="I1535" s="18" t="s">
        <v>132</v>
      </c>
      <c r="J1535" s="18"/>
      <c r="K1535" s="20"/>
      <c r="L1535" s="20"/>
      <c r="M1535" s="20"/>
      <c r="N1535" s="18"/>
    </row>
    <row r="1536">
      <c r="A1536" s="17" t="str">
        <f t="shared" si="1"/>
        <v>IOP-867</v>
      </c>
      <c r="B1536" s="18" t="s">
        <v>143</v>
      </c>
      <c r="C1536" s="18" t="s">
        <v>144</v>
      </c>
      <c r="D1536" s="18">
        <v>0.033333333</v>
      </c>
      <c r="E1536" s="19">
        <v>43341.0</v>
      </c>
      <c r="F1536" s="18" t="s">
        <v>81</v>
      </c>
      <c r="G1536" s="18"/>
      <c r="H1536" s="18" t="s">
        <v>119</v>
      </c>
      <c r="I1536" s="18" t="s">
        <v>120</v>
      </c>
      <c r="J1536" s="18"/>
      <c r="K1536" s="20"/>
      <c r="L1536" s="20"/>
      <c r="M1536" s="20"/>
      <c r="N1536" s="18"/>
    </row>
    <row r="1537">
      <c r="A1537" s="17" t="str">
        <f t="shared" si="1"/>
        <v>IOP-875</v>
      </c>
      <c r="B1537" s="18" t="s">
        <v>123</v>
      </c>
      <c r="C1537" s="18" t="s">
        <v>124</v>
      </c>
      <c r="D1537" s="18">
        <v>0.9</v>
      </c>
      <c r="E1537" s="19">
        <v>43341.0</v>
      </c>
      <c r="F1537" s="18" t="s">
        <v>81</v>
      </c>
      <c r="G1537" s="18"/>
      <c r="H1537" s="18" t="s">
        <v>125</v>
      </c>
      <c r="I1537" s="18" t="s">
        <v>120</v>
      </c>
      <c r="J1537" s="18"/>
      <c r="K1537" s="20"/>
      <c r="L1537" s="20"/>
      <c r="M1537" s="20"/>
      <c r="N1537" s="18"/>
    </row>
    <row r="1538">
      <c r="A1538" s="17" t="str">
        <f t="shared" si="1"/>
        <v>IOP-866</v>
      </c>
      <c r="B1538" s="18" t="s">
        <v>117</v>
      </c>
      <c r="C1538" s="18" t="s">
        <v>118</v>
      </c>
      <c r="D1538" s="18">
        <v>0.183333333</v>
      </c>
      <c r="E1538" s="19">
        <v>43341.0</v>
      </c>
      <c r="F1538" s="18" t="s">
        <v>81</v>
      </c>
      <c r="G1538" s="18"/>
      <c r="H1538" s="18" t="s">
        <v>119</v>
      </c>
      <c r="I1538" s="18" t="s">
        <v>120</v>
      </c>
      <c r="J1538" s="18"/>
      <c r="K1538" s="20"/>
      <c r="L1538" s="20"/>
      <c r="M1538" s="20"/>
      <c r="N1538" s="18"/>
    </row>
    <row r="1539">
      <c r="A1539" s="17" t="str">
        <f t="shared" si="1"/>
        <v>IOP-963</v>
      </c>
      <c r="B1539" s="18" t="s">
        <v>635</v>
      </c>
      <c r="C1539" s="18" t="s">
        <v>636</v>
      </c>
      <c r="D1539" s="18">
        <v>0.383333333</v>
      </c>
      <c r="E1539" s="19">
        <v>43341.0</v>
      </c>
      <c r="F1539" s="18" t="s">
        <v>81</v>
      </c>
      <c r="G1539" s="18"/>
      <c r="H1539" s="18"/>
      <c r="I1539" s="18" t="s">
        <v>116</v>
      </c>
      <c r="J1539" s="18"/>
      <c r="K1539" s="20"/>
      <c r="L1539" s="20"/>
      <c r="M1539" s="20"/>
      <c r="N1539" s="18"/>
    </row>
    <row r="1540">
      <c r="A1540" s="17" t="str">
        <f t="shared" si="1"/>
        <v>PD-1679</v>
      </c>
      <c r="B1540" s="18" t="s">
        <v>357</v>
      </c>
      <c r="C1540" s="18" t="s">
        <v>358</v>
      </c>
      <c r="D1540" s="18">
        <v>0.35</v>
      </c>
      <c r="E1540" s="19">
        <v>43341.0</v>
      </c>
      <c r="F1540" s="18" t="s">
        <v>81</v>
      </c>
      <c r="G1540" s="18"/>
      <c r="H1540" s="18" t="s">
        <v>187</v>
      </c>
      <c r="I1540" s="18" t="s">
        <v>77</v>
      </c>
      <c r="J1540" s="18"/>
      <c r="K1540" s="20"/>
      <c r="L1540" s="20"/>
      <c r="M1540" s="20"/>
      <c r="N1540" s="18"/>
    </row>
    <row r="1541">
      <c r="A1541" s="17" t="str">
        <f t="shared" si="1"/>
        <v>IV2-32</v>
      </c>
      <c r="B1541" s="18" t="s">
        <v>551</v>
      </c>
      <c r="C1541" s="18" t="s">
        <v>552</v>
      </c>
      <c r="D1541" s="18">
        <v>0.25</v>
      </c>
      <c r="E1541" s="19">
        <v>43349.0</v>
      </c>
      <c r="F1541" s="18" t="s">
        <v>81</v>
      </c>
      <c r="G1541" s="18"/>
      <c r="H1541" s="18" t="s">
        <v>553</v>
      </c>
      <c r="I1541" s="18" t="s">
        <v>554</v>
      </c>
      <c r="J1541" s="18"/>
      <c r="K1541" s="20"/>
      <c r="L1541" s="20"/>
      <c r="M1541" s="20"/>
      <c r="N1541" s="18"/>
    </row>
    <row r="1542">
      <c r="A1542" s="17" t="str">
        <f t="shared" si="1"/>
        <v>IOP-867</v>
      </c>
      <c r="B1542" s="18" t="s">
        <v>143</v>
      </c>
      <c r="C1542" s="18" t="s">
        <v>144</v>
      </c>
      <c r="D1542" s="18">
        <v>0.45</v>
      </c>
      <c r="E1542" s="19">
        <v>43342.0</v>
      </c>
      <c r="F1542" s="18" t="s">
        <v>81</v>
      </c>
      <c r="G1542" s="18"/>
      <c r="H1542" s="18" t="s">
        <v>119</v>
      </c>
      <c r="I1542" s="18" t="s">
        <v>120</v>
      </c>
      <c r="J1542" s="18"/>
      <c r="K1542" s="20"/>
      <c r="L1542" s="20"/>
      <c r="M1542" s="20"/>
      <c r="N1542" s="18"/>
    </row>
    <row r="1543">
      <c r="A1543" s="17" t="str">
        <f t="shared" si="1"/>
        <v>IOP-866</v>
      </c>
      <c r="B1543" s="18" t="s">
        <v>117</v>
      </c>
      <c r="C1543" s="18" t="s">
        <v>118</v>
      </c>
      <c r="D1543" s="18">
        <v>0.033333333</v>
      </c>
      <c r="E1543" s="19">
        <v>43342.0</v>
      </c>
      <c r="F1543" s="18" t="s">
        <v>81</v>
      </c>
      <c r="G1543" s="18"/>
      <c r="H1543" s="18" t="s">
        <v>119</v>
      </c>
      <c r="I1543" s="18" t="s">
        <v>120</v>
      </c>
      <c r="J1543" s="18"/>
      <c r="K1543" s="20"/>
      <c r="L1543" s="20"/>
      <c r="M1543" s="20"/>
      <c r="N1543" s="18"/>
    </row>
    <row r="1544">
      <c r="A1544" s="17" t="str">
        <f t="shared" si="1"/>
        <v>IV2-47</v>
      </c>
      <c r="B1544" s="18" t="s">
        <v>546</v>
      </c>
      <c r="C1544" s="18" t="s">
        <v>547</v>
      </c>
      <c r="D1544" s="18">
        <v>0.233333333</v>
      </c>
      <c r="E1544" s="19">
        <v>43342.0</v>
      </c>
      <c r="F1544" s="18" t="s">
        <v>81</v>
      </c>
      <c r="G1544" s="18"/>
      <c r="H1544" s="18" t="s">
        <v>302</v>
      </c>
      <c r="I1544" s="18" t="s">
        <v>132</v>
      </c>
      <c r="J1544" s="18"/>
      <c r="K1544" s="20"/>
      <c r="L1544" s="20"/>
      <c r="M1544" s="20"/>
      <c r="N1544" s="18"/>
    </row>
    <row r="1545">
      <c r="A1545" s="17" t="str">
        <f t="shared" si="1"/>
        <v>IV2-17</v>
      </c>
      <c r="B1545" s="18" t="s">
        <v>373</v>
      </c>
      <c r="C1545" s="18" t="s">
        <v>374</v>
      </c>
      <c r="D1545" s="18">
        <v>4.233333333</v>
      </c>
      <c r="E1545" s="19">
        <v>43342.0</v>
      </c>
      <c r="F1545" s="18" t="s">
        <v>81</v>
      </c>
      <c r="G1545" s="18"/>
      <c r="H1545" s="18" t="s">
        <v>302</v>
      </c>
      <c r="I1545" s="18" t="s">
        <v>81</v>
      </c>
      <c r="J1545" s="18"/>
      <c r="K1545" s="20"/>
      <c r="L1545" s="20"/>
      <c r="M1545" s="20"/>
      <c r="N1545" s="18"/>
    </row>
    <row r="1546">
      <c r="A1546" s="17" t="str">
        <f t="shared" si="1"/>
        <v>IOP-867</v>
      </c>
      <c r="B1546" s="18" t="s">
        <v>143</v>
      </c>
      <c r="C1546" s="18" t="s">
        <v>144</v>
      </c>
      <c r="D1546" s="18">
        <v>0.383333333</v>
      </c>
      <c r="E1546" s="19">
        <v>43354.0</v>
      </c>
      <c r="F1546" s="18" t="s">
        <v>81</v>
      </c>
      <c r="G1546" s="18"/>
      <c r="H1546" s="18" t="s">
        <v>119</v>
      </c>
      <c r="I1546" s="18" t="s">
        <v>120</v>
      </c>
      <c r="J1546" s="18"/>
      <c r="K1546" s="20"/>
      <c r="L1546" s="20"/>
      <c r="M1546" s="20"/>
      <c r="N1546" s="18"/>
    </row>
    <row r="1547">
      <c r="A1547" s="17" t="str">
        <f t="shared" si="1"/>
        <v>IOP-867</v>
      </c>
      <c r="B1547" s="18" t="s">
        <v>143</v>
      </c>
      <c r="C1547" s="18" t="s">
        <v>144</v>
      </c>
      <c r="D1547" s="18">
        <v>0.166666667</v>
      </c>
      <c r="E1547" s="19">
        <v>43383.0</v>
      </c>
      <c r="F1547" s="18" t="s">
        <v>81</v>
      </c>
      <c r="G1547" s="18"/>
      <c r="H1547" s="18" t="s">
        <v>119</v>
      </c>
      <c r="I1547" s="18" t="s">
        <v>120</v>
      </c>
      <c r="J1547" s="18"/>
      <c r="K1547" s="20"/>
      <c r="L1547" s="20"/>
      <c r="M1547" s="20"/>
      <c r="N1547" s="18"/>
    </row>
    <row r="1548">
      <c r="A1548" s="17" t="str">
        <f t="shared" si="1"/>
        <v>IOP-866</v>
      </c>
      <c r="B1548" s="18" t="s">
        <v>117</v>
      </c>
      <c r="C1548" s="18" t="s">
        <v>118</v>
      </c>
      <c r="D1548" s="18">
        <v>0.116666667</v>
      </c>
      <c r="E1548" s="19">
        <v>43383.0</v>
      </c>
      <c r="F1548" s="18" t="s">
        <v>81</v>
      </c>
      <c r="G1548" s="18"/>
      <c r="H1548" s="18" t="s">
        <v>119</v>
      </c>
      <c r="I1548" s="18" t="s">
        <v>120</v>
      </c>
      <c r="J1548" s="18"/>
      <c r="K1548" s="20"/>
      <c r="L1548" s="20"/>
      <c r="M1548" s="20"/>
      <c r="N1548" s="18"/>
    </row>
    <row r="1549">
      <c r="A1549" s="17" t="str">
        <f t="shared" si="1"/>
        <v>IV2-17</v>
      </c>
      <c r="B1549" s="18" t="s">
        <v>373</v>
      </c>
      <c r="C1549" s="18" t="s">
        <v>374</v>
      </c>
      <c r="D1549" s="18">
        <v>5.316666667</v>
      </c>
      <c r="E1549" s="19">
        <v>43383.0</v>
      </c>
      <c r="F1549" s="18" t="s">
        <v>81</v>
      </c>
      <c r="G1549" s="18"/>
      <c r="H1549" s="18" t="s">
        <v>302</v>
      </c>
      <c r="I1549" s="18" t="s">
        <v>81</v>
      </c>
      <c r="J1549" s="18"/>
      <c r="K1549" s="20"/>
      <c r="L1549" s="20"/>
      <c r="M1549" s="20"/>
      <c r="N1549" s="18"/>
    </row>
    <row r="1550">
      <c r="A1550" s="17" t="str">
        <f t="shared" si="1"/>
        <v>IV2-73</v>
      </c>
      <c r="B1550" s="18" t="s">
        <v>577</v>
      </c>
      <c r="C1550" s="18" t="s">
        <v>578</v>
      </c>
      <c r="D1550" s="18">
        <v>0.833333333</v>
      </c>
      <c r="E1550" s="19">
        <v>43383.0</v>
      </c>
      <c r="F1550" s="18" t="s">
        <v>81</v>
      </c>
      <c r="G1550" s="18"/>
      <c r="H1550" s="18" t="s">
        <v>302</v>
      </c>
      <c r="I1550" s="18" t="s">
        <v>77</v>
      </c>
      <c r="J1550" s="18"/>
      <c r="K1550" s="20"/>
      <c r="L1550" s="20"/>
      <c r="M1550" s="20"/>
      <c r="N1550" s="18"/>
    </row>
    <row r="1551">
      <c r="A1551" s="17" t="str">
        <f t="shared" si="1"/>
        <v>IOP-879</v>
      </c>
      <c r="B1551" s="18" t="s">
        <v>155</v>
      </c>
      <c r="C1551" s="18" t="s">
        <v>156</v>
      </c>
      <c r="D1551" s="18">
        <v>1.05</v>
      </c>
      <c r="E1551" s="19">
        <v>43383.0</v>
      </c>
      <c r="F1551" s="18" t="s">
        <v>81</v>
      </c>
      <c r="G1551" s="18"/>
      <c r="H1551" s="18" t="s">
        <v>157</v>
      </c>
      <c r="I1551" s="18" t="s">
        <v>120</v>
      </c>
      <c r="J1551" s="18"/>
      <c r="K1551" s="20"/>
      <c r="L1551" s="20"/>
      <c r="M1551" s="20"/>
      <c r="N1551" s="18"/>
    </row>
    <row r="1552">
      <c r="A1552" s="17" t="str">
        <f t="shared" si="1"/>
        <v>IV2-81</v>
      </c>
      <c r="B1552" s="18" t="s">
        <v>641</v>
      </c>
      <c r="C1552" s="18" t="s">
        <v>642</v>
      </c>
      <c r="D1552" s="18">
        <v>0.166666667</v>
      </c>
      <c r="E1552" s="19">
        <v>43383.0</v>
      </c>
      <c r="F1552" s="18" t="s">
        <v>81</v>
      </c>
      <c r="G1552" s="18"/>
      <c r="H1552" s="18"/>
      <c r="I1552" s="18" t="s">
        <v>78</v>
      </c>
      <c r="J1552" s="18"/>
      <c r="K1552" s="20"/>
      <c r="L1552" s="20"/>
      <c r="M1552" s="20"/>
      <c r="N1552" s="18"/>
    </row>
    <row r="1553">
      <c r="A1553" s="17" t="str">
        <f t="shared" si="1"/>
        <v>IV2-82</v>
      </c>
      <c r="B1553" s="18" t="s">
        <v>643</v>
      </c>
      <c r="C1553" s="18" t="s">
        <v>644</v>
      </c>
      <c r="D1553" s="18">
        <v>0.116666667</v>
      </c>
      <c r="E1553" s="19">
        <v>43383.0</v>
      </c>
      <c r="F1553" s="18" t="s">
        <v>81</v>
      </c>
      <c r="G1553" s="18"/>
      <c r="H1553" s="18"/>
      <c r="I1553" s="18" t="s">
        <v>132</v>
      </c>
      <c r="J1553" s="18"/>
      <c r="K1553" s="20"/>
      <c r="L1553" s="20"/>
      <c r="M1553" s="20"/>
      <c r="N1553" s="18"/>
    </row>
    <row r="1554">
      <c r="A1554" s="17" t="str">
        <f t="shared" si="1"/>
        <v>PD-1440</v>
      </c>
      <c r="B1554" s="18" t="s">
        <v>158</v>
      </c>
      <c r="C1554" s="18" t="s">
        <v>159</v>
      </c>
      <c r="D1554" s="18">
        <v>0.116666667</v>
      </c>
      <c r="E1554" s="19">
        <v>43383.0</v>
      </c>
      <c r="F1554" s="18" t="s">
        <v>81</v>
      </c>
      <c r="G1554" s="18"/>
      <c r="H1554" s="18"/>
      <c r="I1554" s="18" t="s">
        <v>81</v>
      </c>
      <c r="J1554" s="18"/>
      <c r="K1554" s="20"/>
      <c r="L1554" s="20"/>
      <c r="M1554" s="20"/>
      <c r="N1554" s="18"/>
    </row>
    <row r="1555">
      <c r="A1555" s="17" t="str">
        <f t="shared" si="1"/>
        <v>PD-1732</v>
      </c>
      <c r="B1555" s="18" t="s">
        <v>645</v>
      </c>
      <c r="C1555" s="18" t="s">
        <v>646</v>
      </c>
      <c r="D1555" s="18">
        <v>1.0</v>
      </c>
      <c r="E1555" s="19">
        <v>43384.0</v>
      </c>
      <c r="F1555" s="18" t="s">
        <v>77</v>
      </c>
      <c r="G1555" s="18"/>
      <c r="H1555" s="18"/>
      <c r="I1555" s="18" t="s">
        <v>81</v>
      </c>
      <c r="J1555" s="18"/>
      <c r="K1555" s="20"/>
      <c r="L1555" s="20"/>
      <c r="M1555" s="20"/>
      <c r="N1555" s="18"/>
    </row>
    <row r="1556">
      <c r="A1556" s="17" t="str">
        <f t="shared" si="1"/>
        <v>IOP-867</v>
      </c>
      <c r="B1556" s="18" t="s">
        <v>143</v>
      </c>
      <c r="C1556" s="18" t="s">
        <v>144</v>
      </c>
      <c r="D1556" s="18">
        <v>0.116666667</v>
      </c>
      <c r="E1556" s="19">
        <v>43384.0</v>
      </c>
      <c r="F1556" s="18" t="s">
        <v>81</v>
      </c>
      <c r="G1556" s="18"/>
      <c r="H1556" s="18" t="s">
        <v>119</v>
      </c>
      <c r="I1556" s="18" t="s">
        <v>120</v>
      </c>
      <c r="J1556" s="18"/>
      <c r="K1556" s="20"/>
      <c r="L1556" s="20"/>
      <c r="M1556" s="20"/>
      <c r="N1556" s="18"/>
    </row>
    <row r="1557">
      <c r="A1557" s="17" t="str">
        <f t="shared" si="1"/>
        <v>IOP-866</v>
      </c>
      <c r="B1557" s="18" t="s">
        <v>117</v>
      </c>
      <c r="C1557" s="18" t="s">
        <v>118</v>
      </c>
      <c r="D1557" s="18">
        <v>0.083333333</v>
      </c>
      <c r="E1557" s="19">
        <v>43384.0</v>
      </c>
      <c r="F1557" s="18" t="s">
        <v>81</v>
      </c>
      <c r="G1557" s="18"/>
      <c r="H1557" s="18" t="s">
        <v>119</v>
      </c>
      <c r="I1557" s="18" t="s">
        <v>120</v>
      </c>
      <c r="J1557" s="18"/>
      <c r="K1557" s="20"/>
      <c r="L1557" s="20"/>
      <c r="M1557" s="20"/>
      <c r="N1557" s="18"/>
    </row>
    <row r="1558">
      <c r="A1558" s="17" t="str">
        <f t="shared" si="1"/>
        <v>IV2-73</v>
      </c>
      <c r="B1558" s="18" t="s">
        <v>577</v>
      </c>
      <c r="C1558" s="18" t="s">
        <v>578</v>
      </c>
      <c r="D1558" s="18">
        <v>6.1</v>
      </c>
      <c r="E1558" s="19">
        <v>43384.0</v>
      </c>
      <c r="F1558" s="18" t="s">
        <v>81</v>
      </c>
      <c r="G1558" s="18"/>
      <c r="H1558" s="18" t="s">
        <v>302</v>
      </c>
      <c r="I1558" s="18" t="s">
        <v>77</v>
      </c>
      <c r="J1558" s="18"/>
      <c r="K1558" s="20"/>
      <c r="L1558" s="20"/>
      <c r="M1558" s="20"/>
      <c r="N1558" s="18"/>
    </row>
    <row r="1559">
      <c r="A1559" s="17" t="str">
        <f t="shared" si="1"/>
        <v>PD-1732</v>
      </c>
      <c r="B1559" s="18" t="s">
        <v>645</v>
      </c>
      <c r="C1559" s="18" t="s">
        <v>646</v>
      </c>
      <c r="D1559" s="18">
        <v>1.033333333</v>
      </c>
      <c r="E1559" s="19">
        <v>43384.0</v>
      </c>
      <c r="F1559" s="18" t="s">
        <v>81</v>
      </c>
      <c r="G1559" s="18"/>
      <c r="H1559" s="18"/>
      <c r="I1559" s="18" t="s">
        <v>81</v>
      </c>
      <c r="J1559" s="18"/>
      <c r="K1559" s="20"/>
      <c r="L1559" s="20"/>
      <c r="M1559" s="20"/>
      <c r="N1559" s="18"/>
    </row>
    <row r="1560">
      <c r="A1560" s="17" t="str">
        <f t="shared" si="1"/>
        <v>IOP-875</v>
      </c>
      <c r="B1560" s="18" t="s">
        <v>123</v>
      </c>
      <c r="C1560" s="18" t="s">
        <v>124</v>
      </c>
      <c r="D1560" s="18">
        <v>0.75</v>
      </c>
      <c r="E1560" s="19">
        <v>43384.0</v>
      </c>
      <c r="F1560" s="18" t="s">
        <v>81</v>
      </c>
      <c r="G1560" s="18"/>
      <c r="H1560" s="18" t="s">
        <v>125</v>
      </c>
      <c r="I1560" s="18" t="s">
        <v>120</v>
      </c>
      <c r="J1560" s="18"/>
      <c r="K1560" s="20"/>
      <c r="L1560" s="20"/>
      <c r="M1560" s="20"/>
      <c r="N1560" s="18"/>
    </row>
    <row r="1561">
      <c r="A1561" s="17" t="str">
        <f t="shared" si="1"/>
        <v>PD-1733</v>
      </c>
      <c r="B1561" s="18" t="s">
        <v>647</v>
      </c>
      <c r="C1561" s="18" t="s">
        <v>648</v>
      </c>
      <c r="D1561" s="18">
        <v>0.166666667</v>
      </c>
      <c r="E1561" s="19">
        <v>43384.0</v>
      </c>
      <c r="F1561" s="18" t="s">
        <v>81</v>
      </c>
      <c r="G1561" s="18"/>
      <c r="H1561" s="18" t="s">
        <v>88</v>
      </c>
      <c r="I1561" s="18" t="s">
        <v>93</v>
      </c>
      <c r="J1561" s="18"/>
      <c r="K1561" s="20"/>
      <c r="L1561" s="20"/>
      <c r="M1561" s="20"/>
      <c r="N1561" s="18"/>
    </row>
    <row r="1562">
      <c r="A1562" s="17" t="str">
        <f t="shared" si="1"/>
        <v>IOP-867</v>
      </c>
      <c r="B1562" s="18" t="s">
        <v>143</v>
      </c>
      <c r="C1562" s="18" t="s">
        <v>144</v>
      </c>
      <c r="D1562" s="18">
        <v>0.033333333</v>
      </c>
      <c r="E1562" s="19">
        <v>43385.0</v>
      </c>
      <c r="F1562" s="18" t="s">
        <v>81</v>
      </c>
      <c r="G1562" s="18"/>
      <c r="H1562" s="18" t="s">
        <v>119</v>
      </c>
      <c r="I1562" s="18" t="s">
        <v>120</v>
      </c>
      <c r="J1562" s="18"/>
      <c r="K1562" s="20"/>
      <c r="L1562" s="20"/>
      <c r="M1562" s="20"/>
      <c r="N1562" s="18"/>
    </row>
    <row r="1563">
      <c r="A1563" s="17" t="str">
        <f t="shared" si="1"/>
        <v>IOP-866</v>
      </c>
      <c r="B1563" s="18" t="s">
        <v>117</v>
      </c>
      <c r="C1563" s="18" t="s">
        <v>118</v>
      </c>
      <c r="D1563" s="18">
        <v>0.066666667</v>
      </c>
      <c r="E1563" s="19">
        <v>43385.0</v>
      </c>
      <c r="F1563" s="18" t="s">
        <v>81</v>
      </c>
      <c r="G1563" s="18"/>
      <c r="H1563" s="18" t="s">
        <v>119</v>
      </c>
      <c r="I1563" s="18" t="s">
        <v>120</v>
      </c>
      <c r="J1563" s="18"/>
      <c r="K1563" s="20"/>
      <c r="L1563" s="20"/>
      <c r="M1563" s="20"/>
      <c r="N1563" s="18"/>
    </row>
    <row r="1564">
      <c r="A1564" s="17" t="str">
        <f t="shared" si="1"/>
        <v>IV2-17</v>
      </c>
      <c r="B1564" s="18" t="s">
        <v>373</v>
      </c>
      <c r="C1564" s="18" t="s">
        <v>374</v>
      </c>
      <c r="D1564" s="18">
        <v>7.116666667</v>
      </c>
      <c r="E1564" s="19">
        <v>43385.0</v>
      </c>
      <c r="F1564" s="18" t="s">
        <v>81</v>
      </c>
      <c r="G1564" s="18"/>
      <c r="H1564" s="18" t="s">
        <v>302</v>
      </c>
      <c r="I1564" s="18" t="s">
        <v>81</v>
      </c>
      <c r="J1564" s="18"/>
      <c r="K1564" s="20"/>
      <c r="L1564" s="20"/>
      <c r="M1564" s="20"/>
      <c r="N1564" s="18"/>
    </row>
    <row r="1565">
      <c r="A1565" s="17" t="str">
        <f t="shared" si="1"/>
        <v>IV2-64</v>
      </c>
      <c r="B1565" s="18" t="s">
        <v>569</v>
      </c>
      <c r="C1565" s="18" t="s">
        <v>570</v>
      </c>
      <c r="D1565" s="18">
        <v>0.2</v>
      </c>
      <c r="E1565" s="19">
        <v>43385.0</v>
      </c>
      <c r="F1565" s="18" t="s">
        <v>81</v>
      </c>
      <c r="G1565" s="18"/>
      <c r="H1565" s="18" t="s">
        <v>302</v>
      </c>
      <c r="I1565" s="18" t="s">
        <v>77</v>
      </c>
      <c r="J1565" s="18"/>
      <c r="K1565" s="20"/>
      <c r="L1565" s="20"/>
      <c r="M1565" s="20"/>
      <c r="N1565" s="18"/>
    </row>
    <row r="1566">
      <c r="A1566" s="17" t="str">
        <f t="shared" si="1"/>
        <v>IOP-867</v>
      </c>
      <c r="B1566" s="18" t="s">
        <v>143</v>
      </c>
      <c r="C1566" s="18" t="s">
        <v>144</v>
      </c>
      <c r="D1566" s="18">
        <v>0.083333333</v>
      </c>
      <c r="E1566" s="19">
        <v>43388.0</v>
      </c>
      <c r="F1566" s="18" t="s">
        <v>81</v>
      </c>
      <c r="G1566" s="18"/>
      <c r="H1566" s="18" t="s">
        <v>119</v>
      </c>
      <c r="I1566" s="18" t="s">
        <v>120</v>
      </c>
      <c r="J1566" s="18"/>
      <c r="K1566" s="20"/>
      <c r="L1566" s="20"/>
      <c r="M1566" s="20"/>
      <c r="N1566" s="18"/>
    </row>
    <row r="1567">
      <c r="A1567" s="17" t="str">
        <f t="shared" si="1"/>
        <v>IOP-866</v>
      </c>
      <c r="B1567" s="18" t="s">
        <v>117</v>
      </c>
      <c r="C1567" s="18" t="s">
        <v>118</v>
      </c>
      <c r="D1567" s="18">
        <v>0.066666667</v>
      </c>
      <c r="E1567" s="19">
        <v>43388.0</v>
      </c>
      <c r="F1567" s="18" t="s">
        <v>81</v>
      </c>
      <c r="G1567" s="18"/>
      <c r="H1567" s="18" t="s">
        <v>119</v>
      </c>
      <c r="I1567" s="18" t="s">
        <v>120</v>
      </c>
      <c r="J1567" s="18"/>
      <c r="K1567" s="20"/>
      <c r="L1567" s="20"/>
      <c r="M1567" s="20"/>
      <c r="N1567" s="18"/>
    </row>
    <row r="1568">
      <c r="A1568" s="17" t="str">
        <f t="shared" si="1"/>
        <v>PD-1440</v>
      </c>
      <c r="B1568" s="18" t="s">
        <v>158</v>
      </c>
      <c r="C1568" s="18" t="s">
        <v>159</v>
      </c>
      <c r="D1568" s="18">
        <v>1.316666667</v>
      </c>
      <c r="E1568" s="19">
        <v>43388.0</v>
      </c>
      <c r="F1568" s="18" t="s">
        <v>81</v>
      </c>
      <c r="G1568" s="18"/>
      <c r="H1568" s="18"/>
      <c r="I1568" s="18" t="s">
        <v>81</v>
      </c>
      <c r="J1568" s="18"/>
      <c r="K1568" s="20"/>
      <c r="L1568" s="20"/>
      <c r="M1568" s="20"/>
      <c r="N1568" s="18"/>
    </row>
    <row r="1569">
      <c r="A1569" s="17" t="str">
        <f t="shared" si="1"/>
        <v>IV2-83</v>
      </c>
      <c r="B1569" s="18" t="s">
        <v>649</v>
      </c>
      <c r="C1569" s="18" t="s">
        <v>650</v>
      </c>
      <c r="D1569" s="18">
        <v>0.25</v>
      </c>
      <c r="E1569" s="19">
        <v>43388.0</v>
      </c>
      <c r="F1569" s="18" t="s">
        <v>81</v>
      </c>
      <c r="G1569" s="18"/>
      <c r="H1569" s="18"/>
      <c r="I1569" s="18" t="s">
        <v>81</v>
      </c>
      <c r="J1569" s="18"/>
      <c r="K1569" s="20"/>
      <c r="L1569" s="20"/>
      <c r="M1569" s="20"/>
      <c r="N1569" s="18"/>
    </row>
    <row r="1570">
      <c r="A1570" s="17" t="str">
        <f t="shared" si="1"/>
        <v>IV2-84</v>
      </c>
      <c r="B1570" s="18" t="s">
        <v>651</v>
      </c>
      <c r="C1570" s="18" t="s">
        <v>652</v>
      </c>
      <c r="D1570" s="18">
        <v>0.166666667</v>
      </c>
      <c r="E1570" s="19">
        <v>43388.0</v>
      </c>
      <c r="F1570" s="18" t="s">
        <v>81</v>
      </c>
      <c r="G1570" s="18"/>
      <c r="H1570" s="18"/>
      <c r="I1570" s="18" t="s">
        <v>77</v>
      </c>
      <c r="J1570" s="18"/>
      <c r="K1570" s="20"/>
      <c r="L1570" s="20"/>
      <c r="M1570" s="20"/>
      <c r="N1570" s="18"/>
    </row>
    <row r="1571">
      <c r="A1571" s="17" t="str">
        <f t="shared" si="1"/>
        <v>IV2-85</v>
      </c>
      <c r="B1571" s="18" t="s">
        <v>653</v>
      </c>
      <c r="C1571" s="18" t="s">
        <v>654</v>
      </c>
      <c r="D1571" s="18">
        <v>0.383333333</v>
      </c>
      <c r="E1571" s="19">
        <v>43388.0</v>
      </c>
      <c r="F1571" s="18" t="s">
        <v>81</v>
      </c>
      <c r="G1571" s="18"/>
      <c r="H1571" s="18"/>
      <c r="I1571" s="18" t="s">
        <v>81</v>
      </c>
      <c r="J1571" s="18"/>
      <c r="K1571" s="20"/>
      <c r="L1571" s="20"/>
      <c r="M1571" s="20"/>
      <c r="N1571" s="18"/>
    </row>
    <row r="1572">
      <c r="A1572" s="17" t="str">
        <f t="shared" si="1"/>
        <v>IV2-86</v>
      </c>
      <c r="B1572" s="18" t="s">
        <v>655</v>
      </c>
      <c r="C1572" s="18" t="s">
        <v>656</v>
      </c>
      <c r="D1572" s="18">
        <v>0.1</v>
      </c>
      <c r="E1572" s="19">
        <v>43388.0</v>
      </c>
      <c r="F1572" s="18" t="s">
        <v>81</v>
      </c>
      <c r="G1572" s="18"/>
      <c r="H1572" s="18"/>
      <c r="I1572" s="18" t="s">
        <v>77</v>
      </c>
      <c r="J1572" s="18"/>
      <c r="K1572" s="20"/>
      <c r="L1572" s="20"/>
      <c r="M1572" s="20"/>
      <c r="N1572" s="18"/>
    </row>
    <row r="1573">
      <c r="A1573" s="17" t="str">
        <f t="shared" si="1"/>
        <v>IV2-31</v>
      </c>
      <c r="B1573" s="18" t="s">
        <v>571</v>
      </c>
      <c r="C1573" s="18" t="s">
        <v>572</v>
      </c>
      <c r="D1573" s="18">
        <v>0.4</v>
      </c>
      <c r="E1573" s="19">
        <v>43388.0</v>
      </c>
      <c r="F1573" s="18" t="s">
        <v>81</v>
      </c>
      <c r="G1573" s="18"/>
      <c r="H1573" s="18" t="s">
        <v>302</v>
      </c>
      <c r="I1573" s="18" t="s">
        <v>81</v>
      </c>
      <c r="J1573" s="18"/>
      <c r="K1573" s="20"/>
      <c r="L1573" s="20"/>
      <c r="M1573" s="20"/>
      <c r="N1573" s="18"/>
    </row>
    <row r="1574">
      <c r="A1574" s="17" t="str">
        <f t="shared" si="1"/>
        <v>IV2-17</v>
      </c>
      <c r="B1574" s="18" t="s">
        <v>373</v>
      </c>
      <c r="C1574" s="18" t="s">
        <v>374</v>
      </c>
      <c r="D1574" s="18">
        <v>5.25</v>
      </c>
      <c r="E1574" s="19">
        <v>43388.0</v>
      </c>
      <c r="F1574" s="18" t="s">
        <v>81</v>
      </c>
      <c r="G1574" s="18"/>
      <c r="H1574" s="18" t="s">
        <v>302</v>
      </c>
      <c r="I1574" s="18" t="s">
        <v>81</v>
      </c>
      <c r="J1574" s="18"/>
      <c r="K1574" s="20"/>
      <c r="L1574" s="20"/>
      <c r="M1574" s="20"/>
      <c r="N1574" s="18"/>
    </row>
    <row r="1575">
      <c r="A1575" s="17" t="str">
        <f t="shared" si="1"/>
        <v>IOP-867</v>
      </c>
      <c r="B1575" s="18" t="s">
        <v>143</v>
      </c>
      <c r="C1575" s="18" t="s">
        <v>144</v>
      </c>
      <c r="D1575" s="18">
        <v>0.166666667</v>
      </c>
      <c r="E1575" s="19">
        <v>43389.0</v>
      </c>
      <c r="F1575" s="18" t="s">
        <v>81</v>
      </c>
      <c r="G1575" s="18"/>
      <c r="H1575" s="18" t="s">
        <v>119</v>
      </c>
      <c r="I1575" s="18" t="s">
        <v>120</v>
      </c>
      <c r="J1575" s="18"/>
      <c r="K1575" s="20"/>
      <c r="L1575" s="20"/>
      <c r="M1575" s="20"/>
      <c r="N1575" s="18"/>
    </row>
    <row r="1576">
      <c r="A1576" s="17" t="str">
        <f t="shared" si="1"/>
        <v>IOP-866</v>
      </c>
      <c r="B1576" s="18" t="s">
        <v>117</v>
      </c>
      <c r="C1576" s="18" t="s">
        <v>118</v>
      </c>
      <c r="D1576" s="18">
        <v>0.083333333</v>
      </c>
      <c r="E1576" s="19">
        <v>43389.0</v>
      </c>
      <c r="F1576" s="18" t="s">
        <v>81</v>
      </c>
      <c r="G1576" s="18"/>
      <c r="H1576" s="18" t="s">
        <v>119</v>
      </c>
      <c r="I1576" s="18" t="s">
        <v>120</v>
      </c>
      <c r="J1576" s="18"/>
      <c r="K1576" s="20"/>
      <c r="L1576" s="18"/>
      <c r="M1576" s="20"/>
      <c r="N1576" s="18"/>
    </row>
    <row r="1577">
      <c r="A1577" s="17" t="str">
        <f t="shared" si="1"/>
        <v>IV2-19</v>
      </c>
      <c r="B1577" s="18" t="s">
        <v>383</v>
      </c>
      <c r="C1577" s="18" t="s">
        <v>384</v>
      </c>
      <c r="D1577" s="18">
        <v>0.516666667</v>
      </c>
      <c r="E1577" s="19">
        <v>43389.0</v>
      </c>
      <c r="F1577" s="18" t="s">
        <v>81</v>
      </c>
      <c r="G1577" s="18"/>
      <c r="H1577" s="18" t="s">
        <v>302</v>
      </c>
      <c r="I1577" s="18" t="s">
        <v>81</v>
      </c>
      <c r="J1577" s="18"/>
      <c r="K1577" s="20"/>
      <c r="L1577" s="18"/>
      <c r="M1577" s="20"/>
      <c r="N1577" s="18"/>
    </row>
    <row r="1578">
      <c r="A1578" s="17" t="str">
        <f t="shared" si="1"/>
        <v>IV2-17</v>
      </c>
      <c r="B1578" s="18" t="s">
        <v>373</v>
      </c>
      <c r="C1578" s="18" t="s">
        <v>374</v>
      </c>
      <c r="D1578" s="18">
        <v>2.433333333</v>
      </c>
      <c r="E1578" s="19">
        <v>43389.0</v>
      </c>
      <c r="F1578" s="18" t="s">
        <v>81</v>
      </c>
      <c r="G1578" s="18"/>
      <c r="H1578" s="18" t="s">
        <v>302</v>
      </c>
      <c r="I1578" s="18" t="s">
        <v>81</v>
      </c>
      <c r="J1578" s="18"/>
      <c r="K1578" s="20"/>
      <c r="L1578" s="18"/>
      <c r="M1578" s="20"/>
      <c r="N1578" s="18"/>
    </row>
    <row r="1579">
      <c r="A1579" s="17" t="str">
        <f t="shared" si="1"/>
        <v>IV2-73</v>
      </c>
      <c r="B1579" s="18" t="s">
        <v>577</v>
      </c>
      <c r="C1579" s="18" t="s">
        <v>578</v>
      </c>
      <c r="D1579" s="18">
        <v>1.433333333</v>
      </c>
      <c r="E1579" s="19">
        <v>43389.0</v>
      </c>
      <c r="F1579" s="18" t="s">
        <v>81</v>
      </c>
      <c r="G1579" s="18"/>
      <c r="H1579" s="18" t="s">
        <v>302</v>
      </c>
      <c r="I1579" s="18" t="s">
        <v>77</v>
      </c>
      <c r="J1579" s="18"/>
      <c r="K1579" s="20"/>
      <c r="L1579" s="18"/>
      <c r="M1579" s="20"/>
      <c r="N1579" s="18"/>
    </row>
    <row r="1580">
      <c r="A1580" s="17" t="str">
        <f t="shared" si="1"/>
        <v>IV2-74</v>
      </c>
      <c r="B1580" s="18" t="s">
        <v>575</v>
      </c>
      <c r="C1580" s="18" t="s">
        <v>576</v>
      </c>
      <c r="D1580" s="18">
        <v>0.25</v>
      </c>
      <c r="E1580" s="19">
        <v>43389.0</v>
      </c>
      <c r="F1580" s="18" t="s">
        <v>81</v>
      </c>
      <c r="G1580" s="18"/>
      <c r="H1580" s="18"/>
      <c r="I1580" s="18" t="s">
        <v>142</v>
      </c>
      <c r="J1580" s="18"/>
      <c r="K1580" s="20"/>
      <c r="L1580" s="18"/>
      <c r="M1580" s="20"/>
      <c r="N1580" s="18"/>
    </row>
    <row r="1581">
      <c r="A1581" s="17" t="str">
        <f t="shared" si="1"/>
        <v>IV2-83</v>
      </c>
      <c r="B1581" s="18" t="s">
        <v>649</v>
      </c>
      <c r="C1581" s="18" t="s">
        <v>650</v>
      </c>
      <c r="D1581" s="18">
        <v>3.15</v>
      </c>
      <c r="E1581" s="19">
        <v>43389.0</v>
      </c>
      <c r="F1581" s="18" t="s">
        <v>81</v>
      </c>
      <c r="G1581" s="18"/>
      <c r="H1581" s="18"/>
      <c r="I1581" s="18" t="s">
        <v>81</v>
      </c>
      <c r="J1581" s="18"/>
      <c r="K1581" s="20"/>
      <c r="L1581" s="18"/>
      <c r="M1581" s="20"/>
      <c r="N1581" s="18"/>
    </row>
    <row r="1582">
      <c r="A1582" s="17" t="str">
        <f t="shared" si="1"/>
        <v>IOP-867</v>
      </c>
      <c r="B1582" s="18" t="s">
        <v>143</v>
      </c>
      <c r="C1582" s="18" t="s">
        <v>144</v>
      </c>
      <c r="D1582" s="18">
        <v>0.616666667</v>
      </c>
      <c r="E1582" s="19">
        <v>43390.0</v>
      </c>
      <c r="F1582" s="18" t="s">
        <v>81</v>
      </c>
      <c r="G1582" s="18"/>
      <c r="H1582" s="18" t="s">
        <v>119</v>
      </c>
      <c r="I1582" s="18" t="s">
        <v>120</v>
      </c>
      <c r="J1582" s="18"/>
      <c r="K1582" s="20"/>
      <c r="L1582" s="18"/>
      <c r="M1582" s="20"/>
      <c r="N1582" s="18"/>
    </row>
    <row r="1583">
      <c r="A1583" s="17" t="str">
        <f t="shared" si="1"/>
        <v>IOP-866</v>
      </c>
      <c r="B1583" s="18" t="s">
        <v>117</v>
      </c>
      <c r="C1583" s="18" t="s">
        <v>118</v>
      </c>
      <c r="D1583" s="18">
        <v>0.116666667</v>
      </c>
      <c r="E1583" s="19">
        <v>43390.0</v>
      </c>
      <c r="F1583" s="18" t="s">
        <v>81</v>
      </c>
      <c r="G1583" s="18"/>
      <c r="H1583" s="18" t="s">
        <v>119</v>
      </c>
      <c r="I1583" s="18" t="s">
        <v>120</v>
      </c>
      <c r="J1583" s="18"/>
      <c r="K1583" s="20"/>
      <c r="L1583" s="18"/>
      <c r="M1583" s="20"/>
      <c r="N1583" s="18"/>
    </row>
    <row r="1584">
      <c r="A1584" s="17" t="str">
        <f t="shared" si="1"/>
        <v>IV2-17</v>
      </c>
      <c r="B1584" s="18" t="s">
        <v>373</v>
      </c>
      <c r="C1584" s="18" t="s">
        <v>374</v>
      </c>
      <c r="D1584" s="18">
        <v>1.866666667</v>
      </c>
      <c r="E1584" s="19">
        <v>43390.0</v>
      </c>
      <c r="F1584" s="18" t="s">
        <v>81</v>
      </c>
      <c r="G1584" s="18"/>
      <c r="H1584" s="18" t="s">
        <v>302</v>
      </c>
      <c r="I1584" s="18" t="s">
        <v>81</v>
      </c>
      <c r="J1584" s="18"/>
      <c r="K1584" s="20"/>
      <c r="L1584" s="18"/>
      <c r="M1584" s="20"/>
      <c r="N1584" s="18"/>
    </row>
    <row r="1585">
      <c r="A1585" s="17" t="str">
        <f t="shared" si="1"/>
        <v>IV2-73</v>
      </c>
      <c r="B1585" s="18" t="s">
        <v>577</v>
      </c>
      <c r="C1585" s="18" t="s">
        <v>578</v>
      </c>
      <c r="D1585" s="18">
        <v>1.1</v>
      </c>
      <c r="E1585" s="19">
        <v>43390.0</v>
      </c>
      <c r="F1585" s="18" t="s">
        <v>81</v>
      </c>
      <c r="G1585" s="18"/>
      <c r="H1585" s="18" t="s">
        <v>302</v>
      </c>
      <c r="I1585" s="18" t="s">
        <v>77</v>
      </c>
      <c r="J1585" s="18"/>
      <c r="K1585" s="20"/>
      <c r="L1585" s="18"/>
      <c r="M1585" s="20"/>
      <c r="N1585" s="18"/>
    </row>
    <row r="1586">
      <c r="A1586" s="17" t="str">
        <f t="shared" si="1"/>
        <v>IV2-83</v>
      </c>
      <c r="B1586" s="18" t="s">
        <v>649</v>
      </c>
      <c r="C1586" s="18" t="s">
        <v>650</v>
      </c>
      <c r="D1586" s="18">
        <v>2.483333333</v>
      </c>
      <c r="E1586" s="19">
        <v>43390.0</v>
      </c>
      <c r="F1586" s="18" t="s">
        <v>81</v>
      </c>
      <c r="G1586" s="18"/>
      <c r="H1586" s="18"/>
      <c r="I1586" s="18" t="s">
        <v>81</v>
      </c>
      <c r="J1586" s="18"/>
      <c r="K1586" s="20"/>
      <c r="L1586" s="18"/>
      <c r="M1586" s="20"/>
      <c r="N1586" s="18"/>
    </row>
    <row r="1587">
      <c r="A1587" s="17" t="str">
        <f t="shared" si="1"/>
        <v>IOP-879</v>
      </c>
      <c r="B1587" s="18" t="s">
        <v>155</v>
      </c>
      <c r="C1587" s="18" t="s">
        <v>156</v>
      </c>
      <c r="D1587" s="18">
        <v>1.05</v>
      </c>
      <c r="E1587" s="19">
        <v>43390.0</v>
      </c>
      <c r="F1587" s="18" t="s">
        <v>81</v>
      </c>
      <c r="G1587" s="18"/>
      <c r="H1587" s="18" t="s">
        <v>157</v>
      </c>
      <c r="I1587" s="18" t="s">
        <v>120</v>
      </c>
      <c r="J1587" s="18"/>
      <c r="K1587" s="20"/>
      <c r="L1587" s="18"/>
      <c r="M1587" s="20"/>
      <c r="N1587" s="18"/>
    </row>
    <row r="1588">
      <c r="A1588" s="17" t="str">
        <f t="shared" si="1"/>
        <v>IV2-19</v>
      </c>
      <c r="B1588" s="18" t="s">
        <v>383</v>
      </c>
      <c r="C1588" s="18" t="s">
        <v>384</v>
      </c>
      <c r="D1588" s="18">
        <v>0.166666667</v>
      </c>
      <c r="E1588" s="19">
        <v>43390.0</v>
      </c>
      <c r="F1588" s="18" t="s">
        <v>81</v>
      </c>
      <c r="G1588" s="18"/>
      <c r="H1588" s="18" t="s">
        <v>302</v>
      </c>
      <c r="I1588" s="18" t="s">
        <v>81</v>
      </c>
      <c r="J1588" s="18"/>
      <c r="K1588" s="20"/>
      <c r="L1588" s="18"/>
      <c r="M1588" s="20"/>
      <c r="N1588" s="18"/>
    </row>
    <row r="1589">
      <c r="A1589" s="17" t="str">
        <f t="shared" si="1"/>
        <v>IOP-867</v>
      </c>
      <c r="B1589" s="18" t="s">
        <v>143</v>
      </c>
      <c r="C1589" s="18" t="s">
        <v>144</v>
      </c>
      <c r="D1589" s="18">
        <v>0.183333333</v>
      </c>
      <c r="E1589" s="19">
        <v>43391.0</v>
      </c>
      <c r="F1589" s="18" t="s">
        <v>81</v>
      </c>
      <c r="G1589" s="18"/>
      <c r="H1589" s="18" t="s">
        <v>119</v>
      </c>
      <c r="I1589" s="18" t="s">
        <v>120</v>
      </c>
      <c r="J1589" s="18"/>
      <c r="K1589" s="20"/>
      <c r="L1589" s="18"/>
      <c r="M1589" s="20"/>
      <c r="N1589" s="18"/>
    </row>
    <row r="1590">
      <c r="A1590" s="17" t="str">
        <f t="shared" si="1"/>
        <v>IOP-866</v>
      </c>
      <c r="B1590" s="18" t="s">
        <v>117</v>
      </c>
      <c r="C1590" s="18" t="s">
        <v>118</v>
      </c>
      <c r="D1590" s="18">
        <v>0.166666667</v>
      </c>
      <c r="E1590" s="19">
        <v>43391.0</v>
      </c>
      <c r="F1590" s="18" t="s">
        <v>81</v>
      </c>
      <c r="G1590" s="18"/>
      <c r="H1590" s="18" t="s">
        <v>119</v>
      </c>
      <c r="I1590" s="18" t="s">
        <v>120</v>
      </c>
      <c r="J1590" s="18"/>
      <c r="K1590" s="20"/>
      <c r="L1590" s="18"/>
      <c r="M1590" s="20"/>
      <c r="N1590" s="18"/>
    </row>
    <row r="1591">
      <c r="A1591" s="17" t="str">
        <f t="shared" si="1"/>
        <v>IV2-19</v>
      </c>
      <c r="B1591" s="18" t="s">
        <v>383</v>
      </c>
      <c r="C1591" s="18" t="s">
        <v>384</v>
      </c>
      <c r="D1591" s="18">
        <v>0.833333333</v>
      </c>
      <c r="E1591" s="19">
        <v>43391.0</v>
      </c>
      <c r="F1591" s="18" t="s">
        <v>81</v>
      </c>
      <c r="G1591" s="18"/>
      <c r="H1591" s="18" t="s">
        <v>302</v>
      </c>
      <c r="I1591" s="18" t="s">
        <v>81</v>
      </c>
      <c r="J1591" s="18"/>
      <c r="K1591" s="20"/>
      <c r="L1591" s="18"/>
      <c r="M1591" s="20"/>
      <c r="N1591" s="18"/>
    </row>
    <row r="1592">
      <c r="A1592" s="17" t="str">
        <f t="shared" si="1"/>
        <v>IV2-83</v>
      </c>
      <c r="B1592" s="18" t="s">
        <v>649</v>
      </c>
      <c r="C1592" s="18" t="s">
        <v>650</v>
      </c>
      <c r="D1592" s="18">
        <v>3.05</v>
      </c>
      <c r="E1592" s="19">
        <v>43391.0</v>
      </c>
      <c r="F1592" s="18" t="s">
        <v>81</v>
      </c>
      <c r="G1592" s="18"/>
      <c r="H1592" s="18"/>
      <c r="I1592" s="18" t="s">
        <v>81</v>
      </c>
      <c r="J1592" s="18"/>
      <c r="K1592" s="20"/>
      <c r="L1592" s="18"/>
      <c r="M1592" s="20"/>
      <c r="N1592" s="18"/>
    </row>
    <row r="1593">
      <c r="A1593" s="17" t="str">
        <f t="shared" si="1"/>
        <v>IV2-74</v>
      </c>
      <c r="B1593" s="18" t="s">
        <v>575</v>
      </c>
      <c r="C1593" s="18" t="s">
        <v>576</v>
      </c>
      <c r="D1593" s="18">
        <v>0.866666667</v>
      </c>
      <c r="E1593" s="19">
        <v>43391.0</v>
      </c>
      <c r="F1593" s="18" t="s">
        <v>81</v>
      </c>
      <c r="G1593" s="18"/>
      <c r="H1593" s="18"/>
      <c r="I1593" s="18" t="s">
        <v>142</v>
      </c>
      <c r="J1593" s="18"/>
      <c r="K1593" s="20"/>
      <c r="L1593" s="18"/>
      <c r="M1593" s="20"/>
      <c r="N1593" s="18"/>
    </row>
    <row r="1594">
      <c r="A1594" s="17" t="str">
        <f t="shared" si="1"/>
        <v>IV2-73</v>
      </c>
      <c r="B1594" s="18" t="s">
        <v>577</v>
      </c>
      <c r="C1594" s="18" t="s">
        <v>578</v>
      </c>
      <c r="D1594" s="18">
        <v>0.75</v>
      </c>
      <c r="E1594" s="19">
        <v>43391.0</v>
      </c>
      <c r="F1594" s="18" t="s">
        <v>81</v>
      </c>
      <c r="G1594" s="18"/>
      <c r="H1594" s="18" t="s">
        <v>302</v>
      </c>
      <c r="I1594" s="18" t="s">
        <v>77</v>
      </c>
      <c r="J1594" s="18"/>
      <c r="K1594" s="20"/>
      <c r="L1594" s="18"/>
      <c r="M1594" s="20"/>
      <c r="N1594" s="18"/>
    </row>
    <row r="1595">
      <c r="A1595" s="17" t="str">
        <f t="shared" si="1"/>
        <v>IOP-867</v>
      </c>
      <c r="B1595" s="18" t="s">
        <v>143</v>
      </c>
      <c r="C1595" s="18" t="s">
        <v>144</v>
      </c>
      <c r="D1595" s="18">
        <v>0.216666667</v>
      </c>
      <c r="E1595" s="19">
        <v>43392.0</v>
      </c>
      <c r="F1595" s="18" t="s">
        <v>81</v>
      </c>
      <c r="G1595" s="18"/>
      <c r="H1595" s="18" t="s">
        <v>119</v>
      </c>
      <c r="I1595" s="18" t="s">
        <v>120</v>
      </c>
      <c r="J1595" s="18"/>
      <c r="K1595" s="20"/>
      <c r="L1595" s="20"/>
      <c r="M1595" s="18"/>
      <c r="N1595" s="18"/>
    </row>
    <row r="1596">
      <c r="A1596" s="17" t="str">
        <f t="shared" si="1"/>
        <v>IOP-866</v>
      </c>
      <c r="B1596" s="18" t="s">
        <v>117</v>
      </c>
      <c r="C1596" s="18" t="s">
        <v>118</v>
      </c>
      <c r="D1596" s="18">
        <v>0.1</v>
      </c>
      <c r="E1596" s="19">
        <v>43392.0</v>
      </c>
      <c r="F1596" s="18" t="s">
        <v>81</v>
      </c>
      <c r="G1596" s="18"/>
      <c r="H1596" s="18" t="s">
        <v>119</v>
      </c>
      <c r="I1596" s="18" t="s">
        <v>120</v>
      </c>
      <c r="J1596" s="18"/>
      <c r="K1596" s="20"/>
      <c r="L1596" s="20"/>
      <c r="M1596" s="18"/>
      <c r="N1596" s="18"/>
    </row>
    <row r="1597">
      <c r="A1597" s="17" t="str">
        <f t="shared" si="1"/>
        <v>IV2-74</v>
      </c>
      <c r="B1597" s="18" t="s">
        <v>575</v>
      </c>
      <c r="C1597" s="18" t="s">
        <v>576</v>
      </c>
      <c r="D1597" s="18">
        <v>1.166666667</v>
      </c>
      <c r="E1597" s="19">
        <v>43392.0</v>
      </c>
      <c r="F1597" s="18" t="s">
        <v>81</v>
      </c>
      <c r="G1597" s="18"/>
      <c r="H1597" s="18"/>
      <c r="I1597" s="18" t="s">
        <v>142</v>
      </c>
      <c r="J1597" s="18"/>
      <c r="K1597" s="20"/>
      <c r="L1597" s="20"/>
      <c r="M1597" s="18"/>
      <c r="N1597" s="18"/>
    </row>
    <row r="1598">
      <c r="A1598" s="17" t="str">
        <f t="shared" si="1"/>
        <v>IV2-17</v>
      </c>
      <c r="B1598" s="18" t="s">
        <v>373</v>
      </c>
      <c r="C1598" s="18" t="s">
        <v>374</v>
      </c>
      <c r="D1598" s="18">
        <v>2.45</v>
      </c>
      <c r="E1598" s="19">
        <v>43392.0</v>
      </c>
      <c r="F1598" s="18" t="s">
        <v>81</v>
      </c>
      <c r="G1598" s="18"/>
      <c r="H1598" s="18" t="s">
        <v>302</v>
      </c>
      <c r="I1598" s="18" t="s">
        <v>81</v>
      </c>
      <c r="J1598" s="18"/>
      <c r="K1598" s="20"/>
      <c r="L1598" s="20"/>
      <c r="M1598" s="18"/>
      <c r="N1598" s="18"/>
    </row>
    <row r="1599">
      <c r="A1599" s="17" t="str">
        <f t="shared" si="1"/>
        <v>IV2-73</v>
      </c>
      <c r="B1599" s="18" t="s">
        <v>577</v>
      </c>
      <c r="C1599" s="18" t="s">
        <v>578</v>
      </c>
      <c r="D1599" s="18">
        <v>2.466666667</v>
      </c>
      <c r="E1599" s="19">
        <v>43392.0</v>
      </c>
      <c r="F1599" s="18" t="s">
        <v>81</v>
      </c>
      <c r="G1599" s="18"/>
      <c r="H1599" s="18" t="s">
        <v>302</v>
      </c>
      <c r="I1599" s="18" t="s">
        <v>77</v>
      </c>
      <c r="J1599" s="18"/>
      <c r="K1599" s="20"/>
      <c r="L1599" s="20"/>
      <c r="M1599" s="18"/>
      <c r="N1599" s="18"/>
    </row>
    <row r="1600">
      <c r="A1600" s="17" t="str">
        <f t="shared" si="1"/>
        <v>PD-1735</v>
      </c>
      <c r="B1600" s="18" t="s">
        <v>657</v>
      </c>
      <c r="C1600" s="18" t="s">
        <v>658</v>
      </c>
      <c r="D1600" s="18">
        <v>1.816666667</v>
      </c>
      <c r="E1600" s="19">
        <v>43392.0</v>
      </c>
      <c r="F1600" s="18" t="s">
        <v>81</v>
      </c>
      <c r="G1600" s="18"/>
      <c r="H1600" s="18"/>
      <c r="I1600" s="18" t="s">
        <v>81</v>
      </c>
      <c r="J1600" s="18"/>
      <c r="K1600" s="20"/>
      <c r="L1600" s="20"/>
      <c r="M1600" s="18"/>
      <c r="N1600" s="18"/>
    </row>
    <row r="1601">
      <c r="A1601" s="17" t="str">
        <f t="shared" si="1"/>
        <v>IOP-867</v>
      </c>
      <c r="B1601" s="18" t="s">
        <v>143</v>
      </c>
      <c r="C1601" s="18" t="s">
        <v>144</v>
      </c>
      <c r="D1601" s="18">
        <v>0.233333333</v>
      </c>
      <c r="E1601" s="19">
        <v>43395.0</v>
      </c>
      <c r="F1601" s="18" t="s">
        <v>81</v>
      </c>
      <c r="G1601" s="18"/>
      <c r="H1601" s="18" t="s">
        <v>119</v>
      </c>
      <c r="I1601" s="18" t="s">
        <v>120</v>
      </c>
      <c r="J1601" s="18"/>
      <c r="K1601" s="20"/>
      <c r="L1601" s="20"/>
      <c r="M1601" s="18"/>
      <c r="N1601" s="18"/>
    </row>
    <row r="1602">
      <c r="A1602" s="17" t="str">
        <f t="shared" si="1"/>
        <v>IOP-866</v>
      </c>
      <c r="B1602" s="18" t="s">
        <v>117</v>
      </c>
      <c r="C1602" s="18" t="s">
        <v>118</v>
      </c>
      <c r="D1602" s="18">
        <v>0.183333333</v>
      </c>
      <c r="E1602" s="19">
        <v>43395.0</v>
      </c>
      <c r="F1602" s="18" t="s">
        <v>81</v>
      </c>
      <c r="G1602" s="18"/>
      <c r="H1602" s="18" t="s">
        <v>119</v>
      </c>
      <c r="I1602" s="18" t="s">
        <v>120</v>
      </c>
      <c r="J1602" s="18"/>
      <c r="K1602" s="20"/>
      <c r="L1602" s="18"/>
      <c r="M1602" s="20"/>
      <c r="N1602" s="18"/>
    </row>
    <row r="1603">
      <c r="A1603" s="17" t="str">
        <f t="shared" si="1"/>
        <v>IV2-91</v>
      </c>
      <c r="B1603" s="18" t="s">
        <v>659</v>
      </c>
      <c r="C1603" s="18" t="s">
        <v>660</v>
      </c>
      <c r="D1603" s="18">
        <v>0.266666667</v>
      </c>
      <c r="E1603" s="19">
        <v>43395.0</v>
      </c>
      <c r="F1603" s="18" t="s">
        <v>81</v>
      </c>
      <c r="G1603" s="18"/>
      <c r="H1603" s="18" t="s">
        <v>553</v>
      </c>
      <c r="I1603" s="18" t="s">
        <v>77</v>
      </c>
      <c r="J1603" s="18"/>
      <c r="K1603" s="20"/>
      <c r="L1603" s="18"/>
      <c r="M1603" s="20"/>
      <c r="N1603" s="18"/>
    </row>
    <row r="1604">
      <c r="A1604" s="17" t="str">
        <f t="shared" si="1"/>
        <v>PD-1709</v>
      </c>
      <c r="B1604" s="18" t="s">
        <v>539</v>
      </c>
      <c r="C1604" s="18" t="s">
        <v>540</v>
      </c>
      <c r="D1604" s="18">
        <v>0.3</v>
      </c>
      <c r="E1604" s="19">
        <v>43395.0</v>
      </c>
      <c r="F1604" s="18" t="s">
        <v>81</v>
      </c>
      <c r="G1604" s="18"/>
      <c r="H1604" s="18" t="s">
        <v>187</v>
      </c>
      <c r="I1604" s="17" t="s">
        <v>541</v>
      </c>
      <c r="J1604" s="18"/>
      <c r="K1604" s="20"/>
      <c r="L1604" s="18"/>
      <c r="M1604" s="20"/>
      <c r="N1604" s="18"/>
    </row>
    <row r="1605">
      <c r="A1605" s="17" t="str">
        <f t="shared" si="1"/>
        <v>IV2-17</v>
      </c>
      <c r="B1605" s="18" t="s">
        <v>373</v>
      </c>
      <c r="C1605" s="18" t="s">
        <v>374</v>
      </c>
      <c r="D1605" s="18">
        <v>2.25</v>
      </c>
      <c r="E1605" s="19">
        <v>43395.0</v>
      </c>
      <c r="F1605" s="18" t="s">
        <v>81</v>
      </c>
      <c r="G1605" s="18"/>
      <c r="H1605" s="18" t="s">
        <v>302</v>
      </c>
      <c r="I1605" s="18" t="s">
        <v>81</v>
      </c>
      <c r="J1605" s="18"/>
      <c r="K1605" s="20"/>
      <c r="L1605" s="18"/>
      <c r="M1605" s="20"/>
      <c r="N1605" s="18"/>
    </row>
    <row r="1606">
      <c r="A1606" s="17" t="str">
        <f t="shared" si="1"/>
        <v>IV2-31</v>
      </c>
      <c r="B1606" s="18" t="s">
        <v>571</v>
      </c>
      <c r="C1606" s="18" t="s">
        <v>572</v>
      </c>
      <c r="D1606" s="18">
        <v>0.5</v>
      </c>
      <c r="E1606" s="19">
        <v>43395.0</v>
      </c>
      <c r="F1606" s="18" t="s">
        <v>81</v>
      </c>
      <c r="G1606" s="18"/>
      <c r="H1606" s="18" t="s">
        <v>302</v>
      </c>
      <c r="I1606" s="18" t="s">
        <v>81</v>
      </c>
      <c r="J1606" s="18"/>
      <c r="K1606" s="20"/>
      <c r="L1606" s="20"/>
      <c r="M1606" s="20"/>
      <c r="N1606" s="18"/>
    </row>
    <row r="1607">
      <c r="A1607" s="17" t="str">
        <f t="shared" si="1"/>
        <v>PD-1735</v>
      </c>
      <c r="B1607" s="18" t="s">
        <v>657</v>
      </c>
      <c r="C1607" s="18" t="s">
        <v>658</v>
      </c>
      <c r="D1607" s="18">
        <v>0.816666667</v>
      </c>
      <c r="E1607" s="19">
        <v>43395.0</v>
      </c>
      <c r="F1607" s="18" t="s">
        <v>81</v>
      </c>
      <c r="G1607" s="18"/>
      <c r="H1607" s="18"/>
      <c r="I1607" s="18" t="s">
        <v>81</v>
      </c>
      <c r="J1607" s="18"/>
      <c r="K1607" s="20"/>
      <c r="L1607" s="20"/>
      <c r="M1607" s="20"/>
      <c r="N1607" s="18"/>
    </row>
    <row r="1608">
      <c r="A1608" s="17" t="str">
        <f t="shared" si="1"/>
        <v>IV2-73</v>
      </c>
      <c r="B1608" s="18" t="s">
        <v>577</v>
      </c>
      <c r="C1608" s="18" t="s">
        <v>578</v>
      </c>
      <c r="D1608" s="18">
        <v>3.116666667</v>
      </c>
      <c r="E1608" s="19">
        <v>43395.0</v>
      </c>
      <c r="F1608" s="18" t="s">
        <v>81</v>
      </c>
      <c r="G1608" s="18"/>
      <c r="H1608" s="18" t="s">
        <v>302</v>
      </c>
      <c r="I1608" s="18" t="s">
        <v>77</v>
      </c>
      <c r="J1608" s="18"/>
      <c r="K1608" s="20"/>
      <c r="L1608" s="18"/>
      <c r="M1608" s="20"/>
      <c r="N1608" s="18"/>
    </row>
    <row r="1609">
      <c r="A1609" s="17" t="str">
        <f t="shared" si="1"/>
        <v>IOP-867</v>
      </c>
      <c r="B1609" s="18" t="s">
        <v>143</v>
      </c>
      <c r="C1609" s="18" t="s">
        <v>144</v>
      </c>
      <c r="D1609" s="18">
        <v>0.216666667</v>
      </c>
      <c r="E1609" s="19">
        <v>43396.0</v>
      </c>
      <c r="F1609" s="18" t="s">
        <v>81</v>
      </c>
      <c r="G1609" s="18"/>
      <c r="H1609" s="18" t="s">
        <v>119</v>
      </c>
      <c r="I1609" s="18" t="s">
        <v>120</v>
      </c>
      <c r="J1609" s="18"/>
      <c r="K1609" s="20"/>
      <c r="L1609" s="18"/>
      <c r="M1609" s="20"/>
      <c r="N1609" s="18"/>
    </row>
    <row r="1610">
      <c r="A1610" s="17" t="str">
        <f t="shared" si="1"/>
        <v>IOP-866</v>
      </c>
      <c r="B1610" s="18" t="s">
        <v>117</v>
      </c>
      <c r="C1610" s="18" t="s">
        <v>118</v>
      </c>
      <c r="D1610" s="18">
        <v>0.15</v>
      </c>
      <c r="E1610" s="19">
        <v>43396.0</v>
      </c>
      <c r="F1610" s="18" t="s">
        <v>81</v>
      </c>
      <c r="G1610" s="18"/>
      <c r="H1610" s="18" t="s">
        <v>119</v>
      </c>
      <c r="I1610" s="18" t="s">
        <v>120</v>
      </c>
      <c r="J1610" s="18"/>
      <c r="K1610" s="20"/>
      <c r="L1610" s="18"/>
      <c r="M1610" s="20"/>
      <c r="N1610" s="18"/>
    </row>
    <row r="1611">
      <c r="A1611" s="17" t="str">
        <f t="shared" si="1"/>
        <v>IV2-73</v>
      </c>
      <c r="B1611" s="18" t="s">
        <v>577</v>
      </c>
      <c r="C1611" s="18" t="s">
        <v>578</v>
      </c>
      <c r="D1611" s="18">
        <v>5.583333333</v>
      </c>
      <c r="E1611" s="19">
        <v>43396.0</v>
      </c>
      <c r="F1611" s="18" t="s">
        <v>81</v>
      </c>
      <c r="G1611" s="18"/>
      <c r="H1611" s="18" t="s">
        <v>302</v>
      </c>
      <c r="I1611" s="18" t="s">
        <v>77</v>
      </c>
      <c r="J1611" s="18"/>
      <c r="K1611" s="20"/>
      <c r="L1611" s="18"/>
      <c r="M1611" s="20"/>
      <c r="N1611" s="18"/>
    </row>
    <row r="1612">
      <c r="A1612" s="17" t="str">
        <f t="shared" si="1"/>
        <v>PD-1735</v>
      </c>
      <c r="B1612" s="18" t="s">
        <v>657</v>
      </c>
      <c r="C1612" s="18" t="s">
        <v>658</v>
      </c>
      <c r="D1612" s="18">
        <v>1.633333333</v>
      </c>
      <c r="E1612" s="19">
        <v>43396.0</v>
      </c>
      <c r="F1612" s="18" t="s">
        <v>81</v>
      </c>
      <c r="G1612" s="18"/>
      <c r="H1612" s="18"/>
      <c r="I1612" s="18" t="s">
        <v>81</v>
      </c>
      <c r="J1612" s="18"/>
      <c r="K1612" s="20"/>
      <c r="L1612" s="18"/>
      <c r="M1612" s="20"/>
      <c r="N1612" s="18"/>
    </row>
    <row r="1613">
      <c r="A1613" s="17" t="str">
        <f t="shared" si="1"/>
        <v>IOP-867</v>
      </c>
      <c r="B1613" s="18" t="s">
        <v>143</v>
      </c>
      <c r="C1613" s="18" t="s">
        <v>144</v>
      </c>
      <c r="D1613" s="18">
        <v>0.416666667</v>
      </c>
      <c r="E1613" s="19">
        <v>43397.0</v>
      </c>
      <c r="F1613" s="18" t="s">
        <v>81</v>
      </c>
      <c r="G1613" s="18"/>
      <c r="H1613" s="18" t="s">
        <v>119</v>
      </c>
      <c r="I1613" s="18" t="s">
        <v>120</v>
      </c>
      <c r="J1613" s="18"/>
      <c r="K1613" s="20"/>
      <c r="L1613" s="20"/>
      <c r="M1613" s="20"/>
      <c r="N1613" s="18"/>
    </row>
    <row r="1614">
      <c r="A1614" s="17" t="str">
        <f t="shared" si="1"/>
        <v>IOP-866</v>
      </c>
      <c r="B1614" s="18" t="s">
        <v>117</v>
      </c>
      <c r="C1614" s="18" t="s">
        <v>118</v>
      </c>
      <c r="D1614" s="18">
        <v>0.166666667</v>
      </c>
      <c r="E1614" s="19">
        <v>43397.0</v>
      </c>
      <c r="F1614" s="18" t="s">
        <v>81</v>
      </c>
      <c r="G1614" s="18"/>
      <c r="H1614" s="18" t="s">
        <v>119</v>
      </c>
      <c r="I1614" s="18" t="s">
        <v>120</v>
      </c>
      <c r="J1614" s="18"/>
      <c r="K1614" s="20"/>
      <c r="L1614" s="20"/>
      <c r="M1614" s="20"/>
      <c r="N1614" s="18"/>
    </row>
    <row r="1615">
      <c r="A1615" s="17" t="str">
        <f t="shared" si="1"/>
        <v>PD-1735</v>
      </c>
      <c r="B1615" s="18" t="s">
        <v>657</v>
      </c>
      <c r="C1615" s="18" t="s">
        <v>658</v>
      </c>
      <c r="D1615" s="18">
        <v>1.133333333</v>
      </c>
      <c r="E1615" s="19">
        <v>43397.0</v>
      </c>
      <c r="F1615" s="18" t="s">
        <v>81</v>
      </c>
      <c r="G1615" s="18"/>
      <c r="H1615" s="18"/>
      <c r="I1615" s="18" t="s">
        <v>81</v>
      </c>
      <c r="J1615" s="18"/>
      <c r="K1615" s="20"/>
      <c r="L1615" s="20"/>
      <c r="M1615" s="20"/>
      <c r="N1615" s="18"/>
    </row>
    <row r="1616">
      <c r="A1616" s="17" t="str">
        <f t="shared" si="1"/>
        <v>IV2-64</v>
      </c>
      <c r="B1616" s="18" t="s">
        <v>569</v>
      </c>
      <c r="C1616" s="18" t="s">
        <v>570</v>
      </c>
      <c r="D1616" s="18">
        <v>3.283333333</v>
      </c>
      <c r="E1616" s="19">
        <v>43397.0</v>
      </c>
      <c r="F1616" s="18" t="s">
        <v>81</v>
      </c>
      <c r="G1616" s="18"/>
      <c r="H1616" s="18" t="s">
        <v>302</v>
      </c>
      <c r="I1616" s="18" t="s">
        <v>77</v>
      </c>
      <c r="J1616" s="18"/>
      <c r="K1616" s="20"/>
      <c r="L1616" s="20"/>
      <c r="M1616" s="20"/>
      <c r="N1616" s="18"/>
    </row>
    <row r="1617">
      <c r="A1617" s="17" t="str">
        <f t="shared" si="1"/>
        <v>IV2-73</v>
      </c>
      <c r="B1617" s="18" t="s">
        <v>577</v>
      </c>
      <c r="C1617" s="18" t="s">
        <v>578</v>
      </c>
      <c r="D1617" s="18">
        <v>2.2</v>
      </c>
      <c r="E1617" s="19">
        <v>43397.0</v>
      </c>
      <c r="F1617" s="18" t="s">
        <v>81</v>
      </c>
      <c r="G1617" s="18"/>
      <c r="H1617" s="18" t="s">
        <v>302</v>
      </c>
      <c r="I1617" s="18" t="s">
        <v>77</v>
      </c>
      <c r="J1617" s="18"/>
      <c r="K1617" s="20"/>
      <c r="L1617" s="20"/>
      <c r="M1617" s="20"/>
      <c r="N1617" s="18"/>
    </row>
    <row r="1618">
      <c r="A1618" s="17" t="str">
        <f t="shared" si="1"/>
        <v>IOP-879</v>
      </c>
      <c r="B1618" s="18" t="s">
        <v>155</v>
      </c>
      <c r="C1618" s="18" t="s">
        <v>156</v>
      </c>
      <c r="D1618" s="18">
        <v>1.016666667</v>
      </c>
      <c r="E1618" s="19">
        <v>43397.0</v>
      </c>
      <c r="F1618" s="18" t="s">
        <v>81</v>
      </c>
      <c r="G1618" s="18"/>
      <c r="H1618" s="18" t="s">
        <v>157</v>
      </c>
      <c r="I1618" s="18" t="s">
        <v>120</v>
      </c>
      <c r="J1618" s="18"/>
      <c r="K1618" s="20"/>
      <c r="L1618" s="18"/>
      <c r="M1618" s="20"/>
      <c r="N1618" s="18"/>
    </row>
    <row r="1619">
      <c r="A1619" s="17" t="str">
        <f t="shared" si="1"/>
        <v>IOP-867</v>
      </c>
      <c r="B1619" s="18" t="s">
        <v>143</v>
      </c>
      <c r="C1619" s="18" t="s">
        <v>144</v>
      </c>
      <c r="D1619" s="18">
        <v>0.15</v>
      </c>
      <c r="E1619" s="19">
        <v>43398.0</v>
      </c>
      <c r="F1619" s="18" t="s">
        <v>81</v>
      </c>
      <c r="G1619" s="18"/>
      <c r="H1619" s="18" t="s">
        <v>119</v>
      </c>
      <c r="I1619" s="18" t="s">
        <v>120</v>
      </c>
      <c r="J1619" s="18"/>
      <c r="K1619" s="20"/>
      <c r="L1619" s="18"/>
      <c r="M1619" s="20"/>
      <c r="N1619" s="18"/>
    </row>
    <row r="1620">
      <c r="A1620" s="17" t="str">
        <f t="shared" si="1"/>
        <v>IOP-866</v>
      </c>
      <c r="B1620" s="18" t="s">
        <v>117</v>
      </c>
      <c r="C1620" s="18" t="s">
        <v>118</v>
      </c>
      <c r="D1620" s="18">
        <v>0.066666667</v>
      </c>
      <c r="E1620" s="19">
        <v>43398.0</v>
      </c>
      <c r="F1620" s="18" t="s">
        <v>81</v>
      </c>
      <c r="G1620" s="18"/>
      <c r="H1620" s="18" t="s">
        <v>119</v>
      </c>
      <c r="I1620" s="18" t="s">
        <v>120</v>
      </c>
      <c r="J1620" s="18"/>
      <c r="K1620" s="20"/>
      <c r="L1620" s="18"/>
      <c r="M1620" s="20"/>
      <c r="N1620" s="18"/>
    </row>
    <row r="1621">
      <c r="A1621" s="17" t="str">
        <f t="shared" si="1"/>
        <v>IV2-17</v>
      </c>
      <c r="B1621" s="18" t="s">
        <v>373</v>
      </c>
      <c r="C1621" s="18" t="s">
        <v>374</v>
      </c>
      <c r="D1621" s="18">
        <v>3.05</v>
      </c>
      <c r="E1621" s="19">
        <v>43398.0</v>
      </c>
      <c r="F1621" s="18" t="s">
        <v>81</v>
      </c>
      <c r="G1621" s="18"/>
      <c r="H1621" s="18" t="s">
        <v>302</v>
      </c>
      <c r="I1621" s="18" t="s">
        <v>81</v>
      </c>
      <c r="J1621" s="18"/>
      <c r="K1621" s="20"/>
      <c r="L1621" s="18"/>
      <c r="M1621" s="20"/>
      <c r="N1621" s="18"/>
    </row>
    <row r="1622">
      <c r="A1622" s="17" t="str">
        <f t="shared" si="1"/>
        <v>IV2-12</v>
      </c>
      <c r="B1622" s="18" t="s">
        <v>405</v>
      </c>
      <c r="C1622" s="18" t="s">
        <v>406</v>
      </c>
      <c r="D1622" s="18">
        <v>0.733333333</v>
      </c>
      <c r="E1622" s="19">
        <v>43398.0</v>
      </c>
      <c r="F1622" s="18" t="s">
        <v>81</v>
      </c>
      <c r="G1622" s="18"/>
      <c r="H1622" s="18" t="s">
        <v>302</v>
      </c>
      <c r="I1622" s="18" t="s">
        <v>81</v>
      </c>
      <c r="J1622" s="18"/>
      <c r="K1622" s="20"/>
      <c r="L1622" s="18"/>
      <c r="M1622" s="20"/>
      <c r="N1622" s="18"/>
    </row>
    <row r="1623">
      <c r="A1623" s="17" t="str">
        <f t="shared" si="1"/>
        <v>PD-1735</v>
      </c>
      <c r="B1623" s="18" t="s">
        <v>657</v>
      </c>
      <c r="C1623" s="18" t="s">
        <v>658</v>
      </c>
      <c r="D1623" s="18">
        <v>0.783333333</v>
      </c>
      <c r="E1623" s="19">
        <v>43398.0</v>
      </c>
      <c r="F1623" s="18" t="s">
        <v>81</v>
      </c>
      <c r="G1623" s="18"/>
      <c r="H1623" s="18"/>
      <c r="I1623" s="18" t="s">
        <v>81</v>
      </c>
      <c r="J1623" s="18"/>
      <c r="K1623" s="20"/>
      <c r="L1623" s="18"/>
      <c r="M1623" s="20"/>
      <c r="N1623" s="18"/>
    </row>
    <row r="1624">
      <c r="A1624" s="17" t="str">
        <f t="shared" si="1"/>
        <v>IV2-74</v>
      </c>
      <c r="B1624" s="18" t="s">
        <v>575</v>
      </c>
      <c r="C1624" s="18" t="s">
        <v>576</v>
      </c>
      <c r="D1624" s="18">
        <v>0.066666667</v>
      </c>
      <c r="E1624" s="19">
        <v>43398.0</v>
      </c>
      <c r="F1624" s="18" t="s">
        <v>81</v>
      </c>
      <c r="G1624" s="18"/>
      <c r="H1624" s="18"/>
      <c r="I1624" s="18" t="s">
        <v>142</v>
      </c>
      <c r="J1624" s="18"/>
      <c r="K1624" s="20"/>
      <c r="L1624" s="18"/>
      <c r="M1624" s="20"/>
      <c r="N1624" s="18"/>
    </row>
    <row r="1625">
      <c r="A1625" s="17" t="str">
        <f t="shared" si="1"/>
        <v>IOP-879</v>
      </c>
      <c r="B1625" s="18" t="s">
        <v>155</v>
      </c>
      <c r="C1625" s="18" t="s">
        <v>156</v>
      </c>
      <c r="D1625" s="18">
        <v>0.55</v>
      </c>
      <c r="E1625" s="19">
        <v>43398.0</v>
      </c>
      <c r="F1625" s="18" t="s">
        <v>81</v>
      </c>
      <c r="G1625" s="18"/>
      <c r="H1625" s="18" t="s">
        <v>157</v>
      </c>
      <c r="I1625" s="18" t="s">
        <v>120</v>
      </c>
      <c r="J1625" s="18"/>
      <c r="K1625" s="20"/>
      <c r="L1625" s="18"/>
      <c r="M1625" s="20"/>
      <c r="N1625" s="18"/>
    </row>
    <row r="1626">
      <c r="A1626" s="17" t="str">
        <f t="shared" si="1"/>
        <v>IV2-73</v>
      </c>
      <c r="B1626" s="18" t="s">
        <v>577</v>
      </c>
      <c r="C1626" s="18" t="s">
        <v>578</v>
      </c>
      <c r="D1626" s="18">
        <v>0.733333333</v>
      </c>
      <c r="E1626" s="19">
        <v>43398.0</v>
      </c>
      <c r="F1626" s="18" t="s">
        <v>81</v>
      </c>
      <c r="G1626" s="18"/>
      <c r="H1626" s="18" t="s">
        <v>302</v>
      </c>
      <c r="I1626" s="18" t="s">
        <v>77</v>
      </c>
      <c r="J1626" s="18"/>
      <c r="K1626" s="20"/>
      <c r="L1626" s="18"/>
      <c r="M1626" s="20"/>
      <c r="N1626" s="18"/>
    </row>
    <row r="1627">
      <c r="A1627" s="17" t="str">
        <f t="shared" si="1"/>
        <v>IOP-875</v>
      </c>
      <c r="B1627" s="18" t="s">
        <v>123</v>
      </c>
      <c r="C1627" s="18" t="s">
        <v>124</v>
      </c>
      <c r="D1627" s="18">
        <v>0.95</v>
      </c>
      <c r="E1627" s="19">
        <v>43398.0</v>
      </c>
      <c r="F1627" s="18" t="s">
        <v>81</v>
      </c>
      <c r="G1627" s="18"/>
      <c r="H1627" s="18" t="s">
        <v>125</v>
      </c>
      <c r="I1627" s="18" t="s">
        <v>120</v>
      </c>
      <c r="J1627" s="18"/>
      <c r="K1627" s="20"/>
      <c r="L1627" s="18"/>
      <c r="M1627" s="20"/>
      <c r="N1627" s="18"/>
    </row>
    <row r="1628">
      <c r="A1628" s="17" t="str">
        <f t="shared" si="1"/>
        <v>IV2-96</v>
      </c>
      <c r="B1628" s="18" t="s">
        <v>661</v>
      </c>
      <c r="C1628" s="18" t="s">
        <v>662</v>
      </c>
      <c r="D1628" s="18">
        <v>0.416666667</v>
      </c>
      <c r="E1628" s="19">
        <v>43398.0</v>
      </c>
      <c r="F1628" s="18" t="s">
        <v>81</v>
      </c>
      <c r="G1628" s="18"/>
      <c r="H1628" s="18" t="s">
        <v>302</v>
      </c>
      <c r="I1628" s="18" t="s">
        <v>81</v>
      </c>
      <c r="J1628" s="18"/>
      <c r="K1628" s="20"/>
      <c r="L1628" s="18"/>
      <c r="M1628" s="20"/>
      <c r="N1628" s="18"/>
    </row>
    <row r="1629">
      <c r="A1629" s="17" t="str">
        <f t="shared" si="1"/>
        <v>IOP-987</v>
      </c>
      <c r="B1629" s="18" t="s">
        <v>663</v>
      </c>
      <c r="C1629" s="18" t="s">
        <v>664</v>
      </c>
      <c r="D1629" s="18">
        <v>0.1</v>
      </c>
      <c r="E1629" s="19">
        <v>43398.0</v>
      </c>
      <c r="F1629" s="18" t="s">
        <v>81</v>
      </c>
      <c r="G1629" s="18"/>
      <c r="H1629" s="18"/>
      <c r="I1629" s="18" t="s">
        <v>132</v>
      </c>
      <c r="J1629" s="18"/>
      <c r="K1629" s="20"/>
      <c r="L1629" s="18"/>
      <c r="M1629" s="20"/>
      <c r="N1629" s="18"/>
    </row>
    <row r="1630">
      <c r="A1630" s="17" t="str">
        <f t="shared" si="1"/>
        <v>PD-1731</v>
      </c>
      <c r="B1630" s="18" t="s">
        <v>587</v>
      </c>
      <c r="C1630" s="18" t="s">
        <v>588</v>
      </c>
      <c r="D1630" s="18">
        <v>0.183333333</v>
      </c>
      <c r="E1630" s="19">
        <v>43398.0</v>
      </c>
      <c r="F1630" s="18" t="s">
        <v>81</v>
      </c>
      <c r="G1630" s="18"/>
      <c r="H1630" s="18" t="s">
        <v>96</v>
      </c>
      <c r="I1630" s="18" t="s">
        <v>81</v>
      </c>
      <c r="J1630" s="18"/>
      <c r="K1630" s="20"/>
      <c r="L1630" s="18"/>
      <c r="M1630" s="20"/>
      <c r="N1630" s="18"/>
    </row>
    <row r="1631">
      <c r="A1631" s="17" t="str">
        <f t="shared" si="1"/>
        <v>IOP-867</v>
      </c>
      <c r="B1631" s="18" t="s">
        <v>143</v>
      </c>
      <c r="C1631" s="18" t="s">
        <v>144</v>
      </c>
      <c r="D1631" s="18">
        <v>0.133333333</v>
      </c>
      <c r="E1631" s="19">
        <v>43399.0</v>
      </c>
      <c r="F1631" s="18" t="s">
        <v>81</v>
      </c>
      <c r="G1631" s="18"/>
      <c r="H1631" s="18" t="s">
        <v>119</v>
      </c>
      <c r="I1631" s="18" t="s">
        <v>120</v>
      </c>
      <c r="J1631" s="18"/>
      <c r="K1631" s="20"/>
      <c r="L1631" s="18"/>
      <c r="M1631" s="20"/>
      <c r="N1631" s="18"/>
    </row>
    <row r="1632">
      <c r="A1632" s="17" t="str">
        <f t="shared" si="1"/>
        <v>IOP-866</v>
      </c>
      <c r="B1632" s="18" t="s">
        <v>117</v>
      </c>
      <c r="C1632" s="18" t="s">
        <v>118</v>
      </c>
      <c r="D1632" s="18">
        <v>0.1</v>
      </c>
      <c r="E1632" s="19">
        <v>43399.0</v>
      </c>
      <c r="F1632" s="18" t="s">
        <v>81</v>
      </c>
      <c r="G1632" s="18"/>
      <c r="H1632" s="18" t="s">
        <v>119</v>
      </c>
      <c r="I1632" s="18" t="s">
        <v>120</v>
      </c>
      <c r="J1632" s="18"/>
      <c r="K1632" s="20"/>
      <c r="L1632" s="18"/>
      <c r="M1632" s="20"/>
      <c r="N1632" s="18"/>
    </row>
    <row r="1633">
      <c r="A1633" s="17" t="str">
        <f t="shared" si="1"/>
        <v>IV2-73</v>
      </c>
      <c r="B1633" s="18" t="s">
        <v>577</v>
      </c>
      <c r="C1633" s="18" t="s">
        <v>578</v>
      </c>
      <c r="D1633" s="18">
        <v>2.016666667</v>
      </c>
      <c r="E1633" s="19">
        <v>43399.0</v>
      </c>
      <c r="F1633" s="18" t="s">
        <v>81</v>
      </c>
      <c r="G1633" s="18"/>
      <c r="H1633" s="18" t="s">
        <v>302</v>
      </c>
      <c r="I1633" s="18" t="s">
        <v>77</v>
      </c>
      <c r="J1633" s="18"/>
      <c r="K1633" s="18"/>
      <c r="L1633" s="20"/>
      <c r="M1633" s="20"/>
      <c r="N1633" s="18"/>
    </row>
    <row r="1634">
      <c r="A1634" s="17" t="str">
        <f t="shared" si="1"/>
        <v>IV2-83</v>
      </c>
      <c r="B1634" s="18" t="s">
        <v>649</v>
      </c>
      <c r="C1634" s="18" t="s">
        <v>650</v>
      </c>
      <c r="D1634" s="18">
        <v>2.65</v>
      </c>
      <c r="E1634" s="19">
        <v>43399.0</v>
      </c>
      <c r="F1634" s="18" t="s">
        <v>81</v>
      </c>
      <c r="G1634" s="18"/>
      <c r="H1634" s="18"/>
      <c r="I1634" s="18" t="s">
        <v>81</v>
      </c>
      <c r="J1634" s="18"/>
      <c r="K1634" s="20"/>
      <c r="L1634" s="18"/>
      <c r="M1634" s="20"/>
      <c r="N1634" s="18"/>
    </row>
    <row r="1635">
      <c r="A1635" s="17" t="str">
        <f t="shared" si="1"/>
        <v>IOP-875</v>
      </c>
      <c r="B1635" s="18" t="s">
        <v>123</v>
      </c>
      <c r="C1635" s="18" t="s">
        <v>124</v>
      </c>
      <c r="D1635" s="18">
        <v>0.45</v>
      </c>
      <c r="E1635" s="19">
        <v>43399.0</v>
      </c>
      <c r="F1635" s="18" t="s">
        <v>81</v>
      </c>
      <c r="G1635" s="18"/>
      <c r="H1635" s="18" t="s">
        <v>125</v>
      </c>
      <c r="I1635" s="18" t="s">
        <v>120</v>
      </c>
      <c r="J1635" s="18"/>
      <c r="K1635" s="20"/>
      <c r="L1635" s="20"/>
      <c r="M1635" s="18"/>
      <c r="N1635" s="18"/>
    </row>
    <row r="1636">
      <c r="A1636" s="17" t="str">
        <f t="shared" si="1"/>
        <v>IV2-76</v>
      </c>
      <c r="B1636" s="18" t="s">
        <v>665</v>
      </c>
      <c r="C1636" s="18" t="s">
        <v>666</v>
      </c>
      <c r="D1636" s="18">
        <v>1.083333333</v>
      </c>
      <c r="E1636" s="19">
        <v>43399.0</v>
      </c>
      <c r="F1636" s="18" t="s">
        <v>81</v>
      </c>
      <c r="G1636" s="18"/>
      <c r="H1636" s="18"/>
      <c r="I1636" s="18" t="s">
        <v>77</v>
      </c>
      <c r="J1636" s="18"/>
      <c r="K1636" s="20"/>
      <c r="L1636" s="20"/>
      <c r="M1636" s="18"/>
      <c r="N1636" s="18"/>
    </row>
    <row r="1637">
      <c r="A1637" s="17" t="str">
        <f t="shared" si="1"/>
        <v>IV2-9</v>
      </c>
      <c r="B1637" s="18" t="s">
        <v>391</v>
      </c>
      <c r="C1637" s="18" t="s">
        <v>392</v>
      </c>
      <c r="D1637" s="18">
        <v>1.216666667</v>
      </c>
      <c r="E1637" s="19">
        <v>43399.0</v>
      </c>
      <c r="F1637" s="18" t="s">
        <v>81</v>
      </c>
      <c r="G1637" s="18"/>
      <c r="H1637" s="18" t="s">
        <v>302</v>
      </c>
      <c r="I1637" s="18" t="s">
        <v>81</v>
      </c>
      <c r="J1637" s="18"/>
      <c r="K1637" s="20"/>
      <c r="L1637" s="20"/>
      <c r="M1637" s="18"/>
      <c r="N1637" s="18"/>
    </row>
    <row r="1638">
      <c r="A1638" s="17" t="str">
        <f t="shared" si="1"/>
        <v>IOP-867</v>
      </c>
      <c r="B1638" s="18" t="s">
        <v>143</v>
      </c>
      <c r="C1638" s="18" t="s">
        <v>144</v>
      </c>
      <c r="D1638" s="18">
        <v>0.216666667</v>
      </c>
      <c r="E1638" s="19">
        <v>43402.0</v>
      </c>
      <c r="F1638" s="18" t="s">
        <v>81</v>
      </c>
      <c r="G1638" s="18"/>
      <c r="H1638" s="18" t="s">
        <v>119</v>
      </c>
      <c r="I1638" s="18" t="s">
        <v>120</v>
      </c>
      <c r="J1638" s="18"/>
      <c r="K1638" s="20"/>
      <c r="L1638" s="20"/>
      <c r="M1638" s="18"/>
      <c r="N1638" s="18"/>
    </row>
    <row r="1639">
      <c r="A1639" s="17" t="str">
        <f t="shared" si="1"/>
        <v>IOP-866</v>
      </c>
      <c r="B1639" s="18" t="s">
        <v>117</v>
      </c>
      <c r="C1639" s="18" t="s">
        <v>118</v>
      </c>
      <c r="D1639" s="18">
        <v>0.166666667</v>
      </c>
      <c r="E1639" s="19">
        <v>43402.0</v>
      </c>
      <c r="F1639" s="18" t="s">
        <v>81</v>
      </c>
      <c r="G1639" s="18"/>
      <c r="H1639" s="18" t="s">
        <v>119</v>
      </c>
      <c r="I1639" s="18" t="s">
        <v>120</v>
      </c>
      <c r="J1639" s="18"/>
      <c r="K1639" s="20"/>
      <c r="L1639" s="18"/>
      <c r="M1639" s="20"/>
      <c r="N1639" s="18"/>
    </row>
    <row r="1640">
      <c r="A1640" s="17" t="str">
        <f t="shared" si="1"/>
        <v>PD-1736</v>
      </c>
      <c r="B1640" s="18" t="s">
        <v>667</v>
      </c>
      <c r="C1640" s="18" t="s">
        <v>668</v>
      </c>
      <c r="D1640" s="18">
        <v>0.1</v>
      </c>
      <c r="E1640" s="19">
        <v>43402.0</v>
      </c>
      <c r="F1640" s="18" t="s">
        <v>81</v>
      </c>
      <c r="G1640" s="18"/>
      <c r="H1640" s="18" t="s">
        <v>88</v>
      </c>
      <c r="I1640" s="18" t="s">
        <v>93</v>
      </c>
      <c r="J1640" s="18"/>
      <c r="K1640" s="20"/>
      <c r="L1640" s="20"/>
      <c r="M1640" s="18"/>
      <c r="N1640" s="18"/>
    </row>
    <row r="1641">
      <c r="A1641" s="17" t="str">
        <f t="shared" si="1"/>
        <v>PD-1731</v>
      </c>
      <c r="B1641" s="18" t="s">
        <v>587</v>
      </c>
      <c r="C1641" s="18" t="s">
        <v>588</v>
      </c>
      <c r="D1641" s="18">
        <v>4.75</v>
      </c>
      <c r="E1641" s="19">
        <v>43402.0</v>
      </c>
      <c r="F1641" s="18" t="s">
        <v>81</v>
      </c>
      <c r="G1641" s="18"/>
      <c r="H1641" s="18" t="s">
        <v>96</v>
      </c>
      <c r="I1641" s="18" t="s">
        <v>81</v>
      </c>
      <c r="J1641" s="18"/>
      <c r="K1641" s="20"/>
      <c r="L1641" s="20"/>
      <c r="M1641" s="18"/>
      <c r="N1641" s="18"/>
    </row>
    <row r="1642">
      <c r="A1642" s="17" t="str">
        <f t="shared" si="1"/>
        <v>IV2-84</v>
      </c>
      <c r="B1642" s="18" t="s">
        <v>651</v>
      </c>
      <c r="C1642" s="18" t="s">
        <v>652</v>
      </c>
      <c r="D1642" s="18">
        <v>0.283333333</v>
      </c>
      <c r="E1642" s="19">
        <v>43402.0</v>
      </c>
      <c r="F1642" s="18" t="s">
        <v>81</v>
      </c>
      <c r="G1642" s="18"/>
      <c r="H1642" s="18"/>
      <c r="I1642" s="18" t="s">
        <v>77</v>
      </c>
      <c r="J1642" s="18"/>
      <c r="K1642" s="20"/>
      <c r="L1642" s="20"/>
      <c r="M1642" s="18"/>
      <c r="N1642" s="18"/>
    </row>
    <row r="1643">
      <c r="A1643" s="17" t="str">
        <f t="shared" si="1"/>
        <v>PD-1440</v>
      </c>
      <c r="B1643" s="18" t="s">
        <v>158</v>
      </c>
      <c r="C1643" s="18" t="s">
        <v>159</v>
      </c>
      <c r="D1643" s="18">
        <v>0.3</v>
      </c>
      <c r="E1643" s="19">
        <v>43402.0</v>
      </c>
      <c r="F1643" s="18" t="s">
        <v>81</v>
      </c>
      <c r="G1643" s="18"/>
      <c r="H1643" s="18"/>
      <c r="I1643" s="18" t="s">
        <v>81</v>
      </c>
      <c r="J1643" s="18"/>
      <c r="K1643" s="20"/>
      <c r="L1643" s="20"/>
      <c r="M1643" s="18"/>
      <c r="N1643" s="18"/>
    </row>
    <row r="1644">
      <c r="A1644" s="17" t="str">
        <f t="shared" si="1"/>
        <v>IV2-96</v>
      </c>
      <c r="B1644" s="18" t="s">
        <v>661</v>
      </c>
      <c r="C1644" s="18" t="s">
        <v>662</v>
      </c>
      <c r="D1644" s="18">
        <v>1.433333333</v>
      </c>
      <c r="E1644" s="19">
        <v>43402.0</v>
      </c>
      <c r="F1644" s="18" t="s">
        <v>81</v>
      </c>
      <c r="G1644" s="18"/>
      <c r="H1644" s="18" t="s">
        <v>302</v>
      </c>
      <c r="I1644" s="18" t="s">
        <v>81</v>
      </c>
      <c r="J1644" s="18"/>
      <c r="K1644" s="20"/>
      <c r="L1644" s="20"/>
      <c r="M1644" s="18"/>
      <c r="N1644" s="18"/>
    </row>
    <row r="1645">
      <c r="A1645" s="17" t="str">
        <f t="shared" si="1"/>
        <v>IOP-880</v>
      </c>
      <c r="B1645" s="18" t="s">
        <v>527</v>
      </c>
      <c r="C1645" s="18" t="s">
        <v>528</v>
      </c>
      <c r="D1645" s="18">
        <v>3.55</v>
      </c>
      <c r="E1645" s="19">
        <v>43403.0</v>
      </c>
      <c r="F1645" s="18" t="s">
        <v>81</v>
      </c>
      <c r="G1645" s="18"/>
      <c r="H1645" s="18" t="s">
        <v>157</v>
      </c>
      <c r="I1645" s="18" t="s">
        <v>120</v>
      </c>
      <c r="J1645" s="18"/>
      <c r="K1645" s="20"/>
      <c r="L1645" s="20"/>
      <c r="M1645" s="18"/>
      <c r="N1645" s="18"/>
    </row>
    <row r="1646">
      <c r="A1646" s="17" t="str">
        <f t="shared" si="1"/>
        <v>IOP-867</v>
      </c>
      <c r="B1646" s="18" t="s">
        <v>143</v>
      </c>
      <c r="C1646" s="18" t="s">
        <v>144</v>
      </c>
      <c r="D1646" s="18">
        <v>0.05</v>
      </c>
      <c r="E1646" s="19">
        <v>43403.0</v>
      </c>
      <c r="F1646" s="18" t="s">
        <v>81</v>
      </c>
      <c r="G1646" s="18"/>
      <c r="H1646" s="18" t="s">
        <v>119</v>
      </c>
      <c r="I1646" s="18" t="s">
        <v>120</v>
      </c>
      <c r="J1646" s="18"/>
      <c r="K1646" s="20"/>
      <c r="L1646" s="20"/>
      <c r="M1646" s="18"/>
      <c r="N1646" s="18"/>
    </row>
    <row r="1647">
      <c r="A1647" s="17" t="str">
        <f t="shared" si="1"/>
        <v>IOP-866</v>
      </c>
      <c r="B1647" s="18" t="s">
        <v>117</v>
      </c>
      <c r="C1647" s="18" t="s">
        <v>118</v>
      </c>
      <c r="D1647" s="18">
        <v>0.133333333</v>
      </c>
      <c r="E1647" s="19">
        <v>43403.0</v>
      </c>
      <c r="F1647" s="18" t="s">
        <v>81</v>
      </c>
      <c r="G1647" s="18"/>
      <c r="H1647" s="18" t="s">
        <v>119</v>
      </c>
      <c r="I1647" s="18" t="s">
        <v>120</v>
      </c>
      <c r="J1647" s="18"/>
      <c r="K1647" s="20"/>
      <c r="L1647" s="20"/>
      <c r="M1647" s="18"/>
      <c r="N1647" s="18"/>
    </row>
    <row r="1648">
      <c r="A1648" s="17" t="str">
        <f t="shared" si="1"/>
        <v>IV2-83</v>
      </c>
      <c r="B1648" s="18" t="s">
        <v>649</v>
      </c>
      <c r="C1648" s="18" t="s">
        <v>650</v>
      </c>
      <c r="D1648" s="18">
        <v>0.466666667</v>
      </c>
      <c r="E1648" s="19">
        <v>43403.0</v>
      </c>
      <c r="F1648" s="18" t="s">
        <v>81</v>
      </c>
      <c r="G1648" s="18"/>
      <c r="H1648" s="18"/>
      <c r="I1648" s="18" t="s">
        <v>81</v>
      </c>
      <c r="J1648" s="18"/>
      <c r="K1648" s="20"/>
      <c r="L1648" s="20"/>
      <c r="M1648" s="18"/>
      <c r="N1648" s="18"/>
    </row>
    <row r="1649">
      <c r="A1649" s="17" t="str">
        <f t="shared" si="1"/>
        <v>IV2-76</v>
      </c>
      <c r="B1649" s="18" t="s">
        <v>665</v>
      </c>
      <c r="C1649" s="18" t="s">
        <v>666</v>
      </c>
      <c r="D1649" s="18">
        <v>0.366666667</v>
      </c>
      <c r="E1649" s="19">
        <v>43403.0</v>
      </c>
      <c r="F1649" s="18" t="s">
        <v>81</v>
      </c>
      <c r="G1649" s="18"/>
      <c r="H1649" s="18"/>
      <c r="I1649" s="18" t="s">
        <v>77</v>
      </c>
      <c r="J1649" s="18"/>
      <c r="K1649" s="20"/>
      <c r="L1649" s="20"/>
      <c r="M1649" s="18"/>
      <c r="N1649" s="18"/>
    </row>
    <row r="1650">
      <c r="A1650" s="17" t="str">
        <f t="shared" si="1"/>
        <v>IV2-9</v>
      </c>
      <c r="B1650" s="18" t="s">
        <v>391</v>
      </c>
      <c r="C1650" s="18" t="s">
        <v>392</v>
      </c>
      <c r="D1650" s="18">
        <v>2.233333333</v>
      </c>
      <c r="E1650" s="19">
        <v>43403.0</v>
      </c>
      <c r="F1650" s="18" t="s">
        <v>81</v>
      </c>
      <c r="G1650" s="18"/>
      <c r="H1650" s="18" t="s">
        <v>302</v>
      </c>
      <c r="I1650" s="18" t="s">
        <v>81</v>
      </c>
      <c r="J1650" s="18"/>
      <c r="K1650" s="20"/>
      <c r="L1650" s="20"/>
      <c r="M1650" s="18"/>
      <c r="N1650" s="18"/>
    </row>
    <row r="1651">
      <c r="A1651" s="17" t="str">
        <f t="shared" si="1"/>
        <v>IOP-867</v>
      </c>
      <c r="B1651" s="18" t="s">
        <v>143</v>
      </c>
      <c r="C1651" s="18" t="s">
        <v>144</v>
      </c>
      <c r="D1651" s="18">
        <v>0.2</v>
      </c>
      <c r="E1651" s="19">
        <v>43404.0</v>
      </c>
      <c r="F1651" s="18" t="s">
        <v>81</v>
      </c>
      <c r="G1651" s="18"/>
      <c r="H1651" s="18" t="s">
        <v>119</v>
      </c>
      <c r="I1651" s="18" t="s">
        <v>120</v>
      </c>
      <c r="J1651" s="18"/>
      <c r="K1651" s="20"/>
      <c r="L1651" s="20"/>
      <c r="M1651" s="18"/>
      <c r="N1651" s="18"/>
    </row>
    <row r="1652">
      <c r="A1652" s="17" t="str">
        <f t="shared" si="1"/>
        <v>IOP-866</v>
      </c>
      <c r="B1652" s="18" t="s">
        <v>117</v>
      </c>
      <c r="C1652" s="18" t="s">
        <v>118</v>
      </c>
      <c r="D1652" s="18">
        <v>0.1</v>
      </c>
      <c r="E1652" s="19">
        <v>43404.0</v>
      </c>
      <c r="F1652" s="18" t="s">
        <v>81</v>
      </c>
      <c r="G1652" s="18"/>
      <c r="H1652" s="18" t="s">
        <v>119</v>
      </c>
      <c r="I1652" s="18" t="s">
        <v>120</v>
      </c>
      <c r="J1652" s="18"/>
      <c r="K1652" s="20"/>
      <c r="L1652" s="20"/>
      <c r="M1652" s="18"/>
      <c r="N1652" s="18"/>
    </row>
    <row r="1653">
      <c r="A1653" s="17" t="str">
        <f t="shared" si="1"/>
        <v>PD-1709</v>
      </c>
      <c r="B1653" s="18" t="s">
        <v>539</v>
      </c>
      <c r="C1653" s="18" t="s">
        <v>540</v>
      </c>
      <c r="D1653" s="18">
        <v>0.616666667</v>
      </c>
      <c r="E1653" s="19">
        <v>43404.0</v>
      </c>
      <c r="F1653" s="18" t="s">
        <v>81</v>
      </c>
      <c r="G1653" s="18"/>
      <c r="H1653" s="18" t="s">
        <v>187</v>
      </c>
      <c r="I1653" s="17" t="s">
        <v>541</v>
      </c>
      <c r="J1653" s="18"/>
      <c r="K1653" s="20"/>
      <c r="L1653" s="20"/>
      <c r="M1653" s="18"/>
      <c r="N1653" s="18"/>
    </row>
    <row r="1654">
      <c r="A1654" s="17" t="str">
        <f t="shared" si="1"/>
        <v>IV2-30</v>
      </c>
      <c r="B1654" s="18" t="s">
        <v>594</v>
      </c>
      <c r="C1654" s="18" t="s">
        <v>553</v>
      </c>
      <c r="D1654" s="18">
        <v>0.4</v>
      </c>
      <c r="E1654" s="19">
        <v>43404.0</v>
      </c>
      <c r="F1654" s="18" t="s">
        <v>81</v>
      </c>
      <c r="G1654" s="18" t="s">
        <v>553</v>
      </c>
      <c r="H1654" s="18"/>
      <c r="I1654" s="18" t="s">
        <v>77</v>
      </c>
      <c r="J1654" s="18"/>
      <c r="K1654" s="20"/>
      <c r="L1654" s="20"/>
      <c r="M1654" s="18"/>
      <c r="N1654" s="18"/>
    </row>
    <row r="1655">
      <c r="A1655" s="17" t="str">
        <f t="shared" si="1"/>
        <v>IV2-9</v>
      </c>
      <c r="B1655" s="18" t="s">
        <v>391</v>
      </c>
      <c r="C1655" s="18" t="s">
        <v>392</v>
      </c>
      <c r="D1655" s="18">
        <v>4.266666667</v>
      </c>
      <c r="E1655" s="19">
        <v>43404.0</v>
      </c>
      <c r="F1655" s="18" t="s">
        <v>81</v>
      </c>
      <c r="G1655" s="18"/>
      <c r="H1655" s="18" t="s">
        <v>302</v>
      </c>
      <c r="I1655" s="18" t="s">
        <v>81</v>
      </c>
      <c r="J1655" s="18"/>
      <c r="K1655" s="20"/>
      <c r="L1655" s="20"/>
      <c r="M1655" s="18"/>
      <c r="N1655" s="18"/>
    </row>
    <row r="1656">
      <c r="A1656" s="17" t="str">
        <f t="shared" si="1"/>
        <v>IOP-879</v>
      </c>
      <c r="B1656" s="18" t="s">
        <v>155</v>
      </c>
      <c r="C1656" s="18" t="s">
        <v>156</v>
      </c>
      <c r="D1656" s="18">
        <v>1.066666667</v>
      </c>
      <c r="E1656" s="19">
        <v>43404.0</v>
      </c>
      <c r="F1656" s="18" t="s">
        <v>81</v>
      </c>
      <c r="G1656" s="18"/>
      <c r="H1656" s="18" t="s">
        <v>157</v>
      </c>
      <c r="I1656" s="18" t="s">
        <v>120</v>
      </c>
      <c r="J1656" s="18"/>
      <c r="K1656" s="20"/>
      <c r="L1656" s="20"/>
      <c r="M1656" s="18"/>
      <c r="N1656" s="18"/>
    </row>
    <row r="1657">
      <c r="A1657" s="17" t="str">
        <f t="shared" si="1"/>
        <v>IOP-875</v>
      </c>
      <c r="B1657" s="18" t="s">
        <v>123</v>
      </c>
      <c r="C1657" s="18" t="s">
        <v>124</v>
      </c>
      <c r="D1657" s="18">
        <v>0.166666667</v>
      </c>
      <c r="E1657" s="19">
        <v>43404.0</v>
      </c>
      <c r="F1657" s="18" t="s">
        <v>81</v>
      </c>
      <c r="G1657" s="18"/>
      <c r="H1657" s="18" t="s">
        <v>125</v>
      </c>
      <c r="I1657" s="18" t="s">
        <v>120</v>
      </c>
      <c r="J1657" s="18"/>
      <c r="K1657" s="20"/>
      <c r="L1657" s="20"/>
      <c r="M1657" s="18"/>
      <c r="N1657" s="18"/>
    </row>
    <row r="1658">
      <c r="A1658" s="17" t="str">
        <f t="shared" si="1"/>
        <v>IOP-867</v>
      </c>
      <c r="B1658" s="18" t="s">
        <v>143</v>
      </c>
      <c r="C1658" s="18" t="s">
        <v>144</v>
      </c>
      <c r="D1658" s="18">
        <v>0.233333333</v>
      </c>
      <c r="E1658" s="19">
        <v>43405.0</v>
      </c>
      <c r="F1658" s="18" t="s">
        <v>81</v>
      </c>
      <c r="G1658" s="18"/>
      <c r="H1658" s="18" t="s">
        <v>119</v>
      </c>
      <c r="I1658" s="18" t="s">
        <v>120</v>
      </c>
      <c r="J1658" s="18"/>
      <c r="K1658" s="20"/>
      <c r="L1658" s="20"/>
      <c r="M1658" s="18"/>
      <c r="N1658" s="18"/>
    </row>
    <row r="1659">
      <c r="A1659" s="17" t="str">
        <f t="shared" si="1"/>
        <v>IOP-866</v>
      </c>
      <c r="B1659" s="18" t="s">
        <v>117</v>
      </c>
      <c r="C1659" s="18" t="s">
        <v>118</v>
      </c>
      <c r="D1659" s="18">
        <v>0.183333333</v>
      </c>
      <c r="E1659" s="19">
        <v>43405.0</v>
      </c>
      <c r="F1659" s="18" t="s">
        <v>81</v>
      </c>
      <c r="G1659" s="18"/>
      <c r="H1659" s="18" t="s">
        <v>119</v>
      </c>
      <c r="I1659" s="18" t="s">
        <v>120</v>
      </c>
      <c r="J1659" s="18"/>
      <c r="K1659" s="20"/>
      <c r="L1659" s="20"/>
      <c r="M1659" s="18"/>
      <c r="N1659" s="18"/>
    </row>
    <row r="1660">
      <c r="A1660" s="18"/>
      <c r="B1660" s="18" t="s">
        <v>665</v>
      </c>
      <c r="C1660" s="18" t="s">
        <v>666</v>
      </c>
      <c r="D1660" s="18">
        <v>1.333333333</v>
      </c>
      <c r="E1660" s="21">
        <v>43405.0</v>
      </c>
      <c r="F1660" s="18" t="s">
        <v>81</v>
      </c>
      <c r="G1660" s="18"/>
      <c r="H1660" s="18"/>
      <c r="I1660" s="18" t="s">
        <v>77</v>
      </c>
      <c r="J1660" s="18"/>
      <c r="K1660" s="20"/>
      <c r="L1660" s="20"/>
      <c r="M1660" s="18"/>
      <c r="N1660" s="18"/>
    </row>
    <row r="1661">
      <c r="A1661" s="18"/>
      <c r="B1661" s="18" t="s">
        <v>669</v>
      </c>
      <c r="C1661" s="18" t="s">
        <v>670</v>
      </c>
      <c r="D1661" s="18">
        <v>1.15</v>
      </c>
      <c r="E1661" s="21">
        <v>43405.0</v>
      </c>
      <c r="F1661" s="18" t="s">
        <v>81</v>
      </c>
      <c r="G1661" s="18"/>
      <c r="H1661" s="18" t="s">
        <v>553</v>
      </c>
      <c r="I1661" s="18" t="s">
        <v>77</v>
      </c>
      <c r="J1661" s="18"/>
      <c r="K1661" s="20"/>
      <c r="L1661" s="20"/>
      <c r="M1661" s="18"/>
      <c r="N1661" s="18"/>
    </row>
    <row r="1662">
      <c r="A1662" s="18"/>
      <c r="B1662" s="18" t="s">
        <v>667</v>
      </c>
      <c r="C1662" s="18" t="s">
        <v>668</v>
      </c>
      <c r="D1662" s="18">
        <v>0.15</v>
      </c>
      <c r="E1662" s="21">
        <v>43405.0</v>
      </c>
      <c r="F1662" s="18" t="s">
        <v>81</v>
      </c>
      <c r="G1662" s="18"/>
      <c r="H1662" s="18" t="s">
        <v>88</v>
      </c>
      <c r="I1662" s="18" t="s">
        <v>93</v>
      </c>
      <c r="J1662" s="18"/>
      <c r="K1662" s="20"/>
      <c r="L1662" s="20"/>
      <c r="M1662" s="18"/>
      <c r="N1662" s="18"/>
    </row>
    <row r="1663">
      <c r="A1663" s="18"/>
      <c r="B1663" s="18" t="s">
        <v>649</v>
      </c>
      <c r="C1663" s="18" t="s">
        <v>650</v>
      </c>
      <c r="D1663" s="18">
        <v>0.05</v>
      </c>
      <c r="E1663" s="21">
        <v>43405.0</v>
      </c>
      <c r="F1663" s="18" t="s">
        <v>81</v>
      </c>
      <c r="G1663" s="18"/>
      <c r="H1663" s="18"/>
      <c r="I1663" s="18" t="s">
        <v>81</v>
      </c>
      <c r="J1663" s="18"/>
      <c r="K1663" s="20"/>
      <c r="L1663" s="20"/>
      <c r="M1663" s="18"/>
      <c r="N1663" s="18"/>
    </row>
    <row r="1664">
      <c r="A1664" s="18"/>
      <c r="B1664" s="18" t="s">
        <v>663</v>
      </c>
      <c r="C1664" s="18" t="s">
        <v>664</v>
      </c>
      <c r="D1664" s="18">
        <v>2.666666667</v>
      </c>
      <c r="E1664" s="21">
        <v>43405.0</v>
      </c>
      <c r="F1664" s="18" t="s">
        <v>81</v>
      </c>
      <c r="G1664" s="18"/>
      <c r="H1664" s="18"/>
      <c r="I1664" s="18" t="s">
        <v>132</v>
      </c>
      <c r="J1664" s="18"/>
      <c r="K1664" s="20"/>
      <c r="L1664" s="20"/>
      <c r="M1664" s="18"/>
      <c r="N1664" s="18"/>
    </row>
    <row r="1665">
      <c r="A1665" s="18"/>
      <c r="B1665" s="18" t="s">
        <v>391</v>
      </c>
      <c r="C1665" s="18" t="s">
        <v>392</v>
      </c>
      <c r="D1665" s="18">
        <v>0.6</v>
      </c>
      <c r="E1665" s="21">
        <v>43405.0</v>
      </c>
      <c r="F1665" s="18" t="s">
        <v>81</v>
      </c>
      <c r="G1665" s="18"/>
      <c r="H1665" s="18" t="s">
        <v>302</v>
      </c>
      <c r="I1665" s="18" t="s">
        <v>81</v>
      </c>
      <c r="J1665" s="18"/>
      <c r="K1665" s="20"/>
      <c r="L1665" s="20"/>
      <c r="M1665" s="18"/>
      <c r="N1665" s="18"/>
    </row>
    <row r="1666">
      <c r="A1666" s="18"/>
      <c r="B1666" s="18" t="s">
        <v>671</v>
      </c>
      <c r="C1666" s="18" t="s">
        <v>672</v>
      </c>
      <c r="D1666" s="18">
        <v>0.383333333</v>
      </c>
      <c r="E1666" s="21">
        <v>43405.0</v>
      </c>
      <c r="F1666" s="18" t="s">
        <v>81</v>
      </c>
      <c r="G1666" s="18"/>
      <c r="H1666" s="18" t="s">
        <v>167</v>
      </c>
      <c r="I1666" s="18" t="s">
        <v>142</v>
      </c>
      <c r="J1666" s="18"/>
      <c r="K1666" s="20"/>
      <c r="L1666" s="20"/>
      <c r="M1666" s="18"/>
      <c r="N1666" s="18"/>
    </row>
    <row r="1667">
      <c r="A1667" s="18"/>
      <c r="B1667" s="18" t="s">
        <v>661</v>
      </c>
      <c r="C1667" s="18" t="s">
        <v>662</v>
      </c>
      <c r="D1667" s="18">
        <v>1.0</v>
      </c>
      <c r="E1667" s="21">
        <v>43405.0</v>
      </c>
      <c r="F1667" s="18" t="s">
        <v>81</v>
      </c>
      <c r="G1667" s="18"/>
      <c r="H1667" s="18" t="s">
        <v>302</v>
      </c>
      <c r="I1667" s="18" t="s">
        <v>81</v>
      </c>
      <c r="J1667" s="18"/>
      <c r="K1667" s="20"/>
      <c r="L1667" s="20"/>
      <c r="M1667" s="18"/>
      <c r="N1667" s="18"/>
    </row>
    <row r="1668">
      <c r="A1668" s="18"/>
      <c r="B1668" s="18" t="s">
        <v>143</v>
      </c>
      <c r="C1668" s="18" t="s">
        <v>144</v>
      </c>
      <c r="D1668" s="18">
        <v>0.166666667</v>
      </c>
      <c r="E1668" s="21">
        <v>43406.0</v>
      </c>
      <c r="F1668" s="18" t="s">
        <v>81</v>
      </c>
      <c r="G1668" s="18"/>
      <c r="H1668" s="18" t="s">
        <v>119</v>
      </c>
      <c r="I1668" s="18" t="s">
        <v>120</v>
      </c>
      <c r="J1668" s="18"/>
      <c r="K1668" s="20"/>
      <c r="L1668" s="20"/>
      <c r="M1668" s="18"/>
      <c r="N1668" s="18"/>
    </row>
    <row r="1669">
      <c r="A1669" s="18"/>
      <c r="B1669" s="18" t="s">
        <v>117</v>
      </c>
      <c r="C1669" s="18" t="s">
        <v>118</v>
      </c>
      <c r="D1669" s="18">
        <v>0.1</v>
      </c>
      <c r="E1669" s="21">
        <v>43406.0</v>
      </c>
      <c r="F1669" s="18" t="s">
        <v>81</v>
      </c>
      <c r="G1669" s="18"/>
      <c r="H1669" s="18" t="s">
        <v>119</v>
      </c>
      <c r="I1669" s="18" t="s">
        <v>120</v>
      </c>
      <c r="J1669" s="18"/>
      <c r="K1669" s="20"/>
      <c r="L1669" s="20"/>
      <c r="M1669" s="18"/>
      <c r="N1669" s="18"/>
    </row>
    <row r="1670">
      <c r="A1670" s="18"/>
      <c r="B1670" s="18" t="s">
        <v>661</v>
      </c>
      <c r="C1670" s="18" t="s">
        <v>662</v>
      </c>
      <c r="D1670" s="18">
        <v>0.216666667</v>
      </c>
      <c r="E1670" s="21">
        <v>43406.0</v>
      </c>
      <c r="F1670" s="18" t="s">
        <v>81</v>
      </c>
      <c r="G1670" s="18"/>
      <c r="H1670" s="18" t="s">
        <v>302</v>
      </c>
      <c r="I1670" s="18" t="s">
        <v>81</v>
      </c>
      <c r="J1670" s="18"/>
      <c r="K1670" s="20"/>
      <c r="L1670" s="20"/>
      <c r="M1670" s="18"/>
      <c r="N1670" s="18"/>
    </row>
    <row r="1671">
      <c r="A1671" s="18"/>
      <c r="B1671" s="18" t="s">
        <v>619</v>
      </c>
      <c r="C1671" s="18" t="s">
        <v>620</v>
      </c>
      <c r="D1671" s="18">
        <v>0.2</v>
      </c>
      <c r="E1671" s="21">
        <v>43406.0</v>
      </c>
      <c r="F1671" s="18" t="s">
        <v>81</v>
      </c>
      <c r="G1671" s="18"/>
      <c r="H1671" s="18" t="s">
        <v>302</v>
      </c>
      <c r="I1671" s="18" t="s">
        <v>89</v>
      </c>
      <c r="J1671" s="18"/>
      <c r="K1671" s="20"/>
      <c r="L1671" s="20"/>
      <c r="M1671" s="18"/>
      <c r="N1671" s="18"/>
    </row>
    <row r="1672">
      <c r="A1672" s="18"/>
      <c r="B1672" s="18" t="s">
        <v>587</v>
      </c>
      <c r="C1672" s="18" t="s">
        <v>588</v>
      </c>
      <c r="D1672" s="18">
        <v>2.016666667</v>
      </c>
      <c r="E1672" s="21">
        <v>43406.0</v>
      </c>
      <c r="F1672" s="18" t="s">
        <v>81</v>
      </c>
      <c r="G1672" s="18"/>
      <c r="H1672" s="18" t="s">
        <v>96</v>
      </c>
      <c r="I1672" s="18" t="s">
        <v>81</v>
      </c>
      <c r="J1672" s="18"/>
      <c r="K1672" s="20"/>
      <c r="L1672" s="20"/>
      <c r="M1672" s="18"/>
      <c r="N1672" s="18"/>
    </row>
    <row r="1673">
      <c r="A1673" s="18"/>
      <c r="B1673" s="18" t="s">
        <v>391</v>
      </c>
      <c r="C1673" s="18" t="s">
        <v>392</v>
      </c>
      <c r="D1673" s="18">
        <v>5.466666667</v>
      </c>
      <c r="E1673" s="21">
        <v>43406.0</v>
      </c>
      <c r="F1673" s="18" t="s">
        <v>81</v>
      </c>
      <c r="G1673" s="18"/>
      <c r="H1673" s="18" t="s">
        <v>302</v>
      </c>
      <c r="I1673" s="18" t="s">
        <v>81</v>
      </c>
      <c r="J1673" s="18"/>
      <c r="K1673" s="20"/>
      <c r="L1673" s="20"/>
      <c r="M1673" s="18"/>
      <c r="N1673" s="18"/>
    </row>
    <row r="1674">
      <c r="A1674" s="18"/>
      <c r="B1674" s="18" t="s">
        <v>143</v>
      </c>
      <c r="C1674" s="18" t="s">
        <v>144</v>
      </c>
      <c r="D1674" s="18">
        <v>0.2</v>
      </c>
      <c r="E1674" s="21">
        <v>43410.0</v>
      </c>
      <c r="F1674" s="18" t="s">
        <v>81</v>
      </c>
      <c r="G1674" s="18"/>
      <c r="H1674" s="18" t="s">
        <v>119</v>
      </c>
      <c r="I1674" s="18" t="s">
        <v>120</v>
      </c>
      <c r="J1674" s="18"/>
      <c r="K1674" s="20"/>
      <c r="L1674" s="20"/>
      <c r="M1674" s="18"/>
      <c r="N1674" s="18"/>
    </row>
    <row r="1675">
      <c r="A1675" s="18"/>
      <c r="B1675" s="18" t="s">
        <v>117</v>
      </c>
      <c r="C1675" s="18" t="s">
        <v>118</v>
      </c>
      <c r="D1675" s="18">
        <v>0.25</v>
      </c>
      <c r="E1675" s="21">
        <v>43410.0</v>
      </c>
      <c r="F1675" s="18" t="s">
        <v>81</v>
      </c>
      <c r="G1675" s="18"/>
      <c r="H1675" s="18" t="s">
        <v>119</v>
      </c>
      <c r="I1675" s="18" t="s">
        <v>120</v>
      </c>
      <c r="J1675" s="18"/>
      <c r="K1675" s="20"/>
      <c r="L1675" s="20"/>
      <c r="M1675" s="18"/>
      <c r="N1675" s="18"/>
    </row>
    <row r="1676">
      <c r="A1676" s="18"/>
      <c r="B1676" s="18" t="s">
        <v>663</v>
      </c>
      <c r="C1676" s="18" t="s">
        <v>664</v>
      </c>
      <c r="D1676" s="18">
        <v>0.5</v>
      </c>
      <c r="E1676" s="21">
        <v>43410.0</v>
      </c>
      <c r="F1676" s="18" t="s">
        <v>81</v>
      </c>
      <c r="G1676" s="18"/>
      <c r="H1676" s="18"/>
      <c r="I1676" s="18" t="s">
        <v>132</v>
      </c>
      <c r="J1676" s="18"/>
      <c r="K1676" s="20"/>
      <c r="L1676" s="20"/>
      <c r="M1676" s="18"/>
      <c r="N1676" s="18"/>
    </row>
    <row r="1677">
      <c r="A1677" s="18"/>
      <c r="B1677" s="18" t="s">
        <v>587</v>
      </c>
      <c r="C1677" s="18" t="s">
        <v>588</v>
      </c>
      <c r="D1677" s="18">
        <v>4.466666667</v>
      </c>
      <c r="E1677" s="21">
        <v>43410.0</v>
      </c>
      <c r="F1677" s="18" t="s">
        <v>81</v>
      </c>
      <c r="G1677" s="18"/>
      <c r="H1677" s="18" t="s">
        <v>96</v>
      </c>
      <c r="I1677" s="18" t="s">
        <v>81</v>
      </c>
      <c r="J1677" s="18"/>
      <c r="K1677" s="20"/>
      <c r="L1677" s="20"/>
      <c r="M1677" s="18"/>
      <c r="N1677" s="18"/>
    </row>
    <row r="1678">
      <c r="A1678" s="18"/>
      <c r="B1678" s="18" t="s">
        <v>185</v>
      </c>
      <c r="C1678" s="18" t="s">
        <v>186</v>
      </c>
      <c r="D1678" s="18">
        <v>0.55</v>
      </c>
      <c r="E1678" s="21">
        <v>43410.0</v>
      </c>
      <c r="F1678" s="18" t="s">
        <v>81</v>
      </c>
      <c r="G1678" s="18" t="s">
        <v>187</v>
      </c>
      <c r="H1678" s="18"/>
      <c r="I1678" s="18" t="s">
        <v>77</v>
      </c>
      <c r="J1678" s="18"/>
      <c r="K1678" s="20"/>
      <c r="L1678" s="20"/>
      <c r="M1678" s="18"/>
      <c r="N1678" s="18"/>
    </row>
    <row r="1679">
      <c r="A1679" s="18"/>
      <c r="B1679" s="18" t="s">
        <v>391</v>
      </c>
      <c r="C1679" s="18" t="s">
        <v>392</v>
      </c>
      <c r="D1679" s="18">
        <v>1.933333333</v>
      </c>
      <c r="E1679" s="21">
        <v>43410.0</v>
      </c>
      <c r="F1679" s="18" t="s">
        <v>81</v>
      </c>
      <c r="G1679" s="18"/>
      <c r="H1679" s="18" t="s">
        <v>302</v>
      </c>
      <c r="I1679" s="18" t="s">
        <v>81</v>
      </c>
      <c r="J1679" s="18"/>
      <c r="K1679" s="20"/>
      <c r="L1679" s="20"/>
      <c r="M1679" s="18"/>
      <c r="N1679" s="18"/>
    </row>
    <row r="1680">
      <c r="A1680" s="18"/>
      <c r="B1680" s="18" t="s">
        <v>143</v>
      </c>
      <c r="C1680" s="18" t="s">
        <v>144</v>
      </c>
      <c r="D1680" s="18">
        <v>0.116666667</v>
      </c>
      <c r="E1680" s="21">
        <v>43411.0</v>
      </c>
      <c r="F1680" s="18" t="s">
        <v>81</v>
      </c>
      <c r="G1680" s="18"/>
      <c r="H1680" s="18" t="s">
        <v>119</v>
      </c>
      <c r="I1680" s="18" t="s">
        <v>120</v>
      </c>
      <c r="J1680" s="18"/>
      <c r="K1680" s="20"/>
      <c r="L1680" s="20"/>
      <c r="M1680" s="18"/>
      <c r="N1680" s="18"/>
    </row>
    <row r="1681">
      <c r="A1681" s="18"/>
      <c r="B1681" s="18" t="s">
        <v>117</v>
      </c>
      <c r="C1681" s="18" t="s">
        <v>118</v>
      </c>
      <c r="D1681" s="18">
        <v>0.133333333</v>
      </c>
      <c r="E1681" s="21">
        <v>43411.0</v>
      </c>
      <c r="F1681" s="18" t="s">
        <v>81</v>
      </c>
      <c r="G1681" s="18"/>
      <c r="H1681" s="18" t="s">
        <v>119</v>
      </c>
      <c r="I1681" s="18" t="s">
        <v>120</v>
      </c>
      <c r="J1681" s="18"/>
      <c r="K1681" s="20"/>
      <c r="L1681" s="20"/>
      <c r="M1681" s="18"/>
      <c r="N1681" s="18"/>
    </row>
    <row r="1682">
      <c r="A1682" s="18"/>
      <c r="B1682" s="18" t="s">
        <v>205</v>
      </c>
      <c r="C1682" s="18" t="s">
        <v>206</v>
      </c>
      <c r="D1682" s="18">
        <v>0.116666667</v>
      </c>
      <c r="E1682" s="21">
        <v>43411.0</v>
      </c>
      <c r="F1682" s="18" t="s">
        <v>81</v>
      </c>
      <c r="G1682" s="18"/>
      <c r="H1682" s="18"/>
      <c r="I1682" s="18" t="s">
        <v>77</v>
      </c>
      <c r="J1682" s="18"/>
      <c r="K1682" s="20"/>
      <c r="L1682" s="20"/>
      <c r="M1682" s="18"/>
      <c r="N1682" s="18"/>
    </row>
    <row r="1683">
      <c r="A1683" s="18"/>
      <c r="B1683" s="18" t="s">
        <v>401</v>
      </c>
      <c r="C1683" s="18" t="s">
        <v>402</v>
      </c>
      <c r="D1683" s="18">
        <v>0.366666667</v>
      </c>
      <c r="E1683" s="21">
        <v>43411.0</v>
      </c>
      <c r="F1683" s="18" t="s">
        <v>81</v>
      </c>
      <c r="G1683" s="18"/>
      <c r="H1683" s="18" t="s">
        <v>96</v>
      </c>
      <c r="I1683" s="18" t="s">
        <v>81</v>
      </c>
      <c r="J1683" s="18"/>
      <c r="K1683" s="20"/>
      <c r="L1683" s="20"/>
      <c r="M1683" s="18"/>
      <c r="N1683" s="18"/>
    </row>
    <row r="1684">
      <c r="A1684" s="18"/>
      <c r="B1684" s="18" t="s">
        <v>587</v>
      </c>
      <c r="C1684" s="18" t="s">
        <v>588</v>
      </c>
      <c r="D1684" s="18">
        <v>1.533333333</v>
      </c>
      <c r="E1684" s="21">
        <v>43411.0</v>
      </c>
      <c r="F1684" s="18" t="s">
        <v>81</v>
      </c>
      <c r="G1684" s="18"/>
      <c r="H1684" s="18" t="s">
        <v>96</v>
      </c>
      <c r="I1684" s="18" t="s">
        <v>81</v>
      </c>
      <c r="J1684" s="18"/>
      <c r="K1684" s="20"/>
      <c r="L1684" s="20"/>
      <c r="M1684" s="18"/>
      <c r="N1684" s="18"/>
    </row>
    <row r="1685">
      <c r="A1685" s="18"/>
      <c r="B1685" s="18" t="s">
        <v>391</v>
      </c>
      <c r="C1685" s="18" t="s">
        <v>392</v>
      </c>
      <c r="D1685" s="18">
        <v>4.783333333</v>
      </c>
      <c r="E1685" s="21">
        <v>43411.0</v>
      </c>
      <c r="F1685" s="18" t="s">
        <v>81</v>
      </c>
      <c r="G1685" s="18"/>
      <c r="H1685" s="18" t="s">
        <v>302</v>
      </c>
      <c r="I1685" s="18" t="s">
        <v>81</v>
      </c>
      <c r="J1685" s="18"/>
      <c r="K1685" s="20"/>
      <c r="L1685" s="20"/>
      <c r="M1685" s="18"/>
      <c r="N1685" s="18"/>
    </row>
    <row r="1686">
      <c r="A1686" s="18"/>
      <c r="B1686" s="18" t="s">
        <v>155</v>
      </c>
      <c r="C1686" s="18" t="s">
        <v>156</v>
      </c>
      <c r="D1686" s="18">
        <v>0.5</v>
      </c>
      <c r="E1686" s="21">
        <v>43411.0</v>
      </c>
      <c r="F1686" s="18" t="s">
        <v>81</v>
      </c>
      <c r="G1686" s="18"/>
      <c r="H1686" s="18" t="s">
        <v>157</v>
      </c>
      <c r="I1686" s="18" t="s">
        <v>120</v>
      </c>
      <c r="J1686" s="18"/>
      <c r="K1686" s="20"/>
      <c r="L1686" s="20"/>
      <c r="M1686" s="18"/>
      <c r="N1686" s="18"/>
    </row>
    <row r="1687">
      <c r="A1687" s="18"/>
      <c r="B1687" s="18" t="s">
        <v>663</v>
      </c>
      <c r="C1687" s="18" t="s">
        <v>664</v>
      </c>
      <c r="D1687" s="18">
        <v>0.116666667</v>
      </c>
      <c r="E1687" s="21">
        <v>43411.0</v>
      </c>
      <c r="F1687" s="18" t="s">
        <v>81</v>
      </c>
      <c r="G1687" s="18"/>
      <c r="H1687" s="18"/>
      <c r="I1687" s="18" t="s">
        <v>132</v>
      </c>
      <c r="J1687" s="18"/>
      <c r="K1687" s="20"/>
      <c r="L1687" s="20"/>
      <c r="M1687" s="18"/>
      <c r="N1687" s="18"/>
    </row>
    <row r="1688">
      <c r="A1688" s="18"/>
      <c r="B1688" s="18" t="s">
        <v>673</v>
      </c>
      <c r="C1688" s="18" t="s">
        <v>674</v>
      </c>
      <c r="D1688" s="18">
        <v>0.333333333</v>
      </c>
      <c r="E1688" s="21">
        <v>43411.0</v>
      </c>
      <c r="F1688" s="18" t="s">
        <v>81</v>
      </c>
      <c r="G1688" s="18"/>
      <c r="H1688" s="18" t="s">
        <v>164</v>
      </c>
      <c r="I1688" s="18" t="s">
        <v>132</v>
      </c>
      <c r="J1688" s="18"/>
      <c r="K1688" s="20"/>
      <c r="L1688" s="20"/>
      <c r="M1688" s="18"/>
      <c r="N1688" s="18"/>
    </row>
    <row r="1689">
      <c r="A1689" s="18"/>
      <c r="B1689" s="18" t="s">
        <v>675</v>
      </c>
      <c r="C1689" s="18" t="s">
        <v>676</v>
      </c>
      <c r="D1689" s="18">
        <v>3.0</v>
      </c>
      <c r="E1689" s="21">
        <v>43412.0</v>
      </c>
      <c r="F1689" s="18" t="s">
        <v>77</v>
      </c>
      <c r="G1689" s="18"/>
      <c r="H1689" s="18" t="s">
        <v>553</v>
      </c>
      <c r="I1689" s="18" t="s">
        <v>554</v>
      </c>
      <c r="J1689" s="18"/>
      <c r="K1689" s="20"/>
      <c r="L1689" s="20"/>
      <c r="M1689" s="18"/>
      <c r="N1689" s="18"/>
    </row>
    <row r="1690">
      <c r="A1690" s="18"/>
      <c r="B1690" s="18" t="s">
        <v>677</v>
      </c>
      <c r="C1690" s="18" t="s">
        <v>678</v>
      </c>
      <c r="D1690" s="18">
        <v>2.0</v>
      </c>
      <c r="E1690" s="21">
        <v>43412.0</v>
      </c>
      <c r="F1690" s="18" t="s">
        <v>77</v>
      </c>
      <c r="G1690" s="18"/>
      <c r="H1690" s="18" t="s">
        <v>553</v>
      </c>
      <c r="I1690" s="18" t="s">
        <v>554</v>
      </c>
      <c r="J1690" s="18"/>
      <c r="K1690" s="20"/>
      <c r="L1690" s="20"/>
      <c r="M1690" s="18"/>
      <c r="N1690" s="18"/>
    </row>
    <row r="1691">
      <c r="A1691" s="18"/>
      <c r="B1691" s="18" t="s">
        <v>143</v>
      </c>
      <c r="C1691" s="18" t="s">
        <v>144</v>
      </c>
      <c r="D1691" s="18">
        <v>0.116666667</v>
      </c>
      <c r="E1691" s="21">
        <v>43412.0</v>
      </c>
      <c r="F1691" s="18" t="s">
        <v>81</v>
      </c>
      <c r="G1691" s="18"/>
      <c r="H1691" s="18" t="s">
        <v>119</v>
      </c>
      <c r="I1691" s="18" t="s">
        <v>120</v>
      </c>
      <c r="J1691" s="18"/>
      <c r="K1691" s="20"/>
      <c r="L1691" s="20"/>
      <c r="M1691" s="18"/>
      <c r="N1691" s="18"/>
    </row>
    <row r="1692">
      <c r="A1692" s="18"/>
      <c r="B1692" s="18" t="s">
        <v>117</v>
      </c>
      <c r="C1692" s="18" t="s">
        <v>118</v>
      </c>
      <c r="D1692" s="18">
        <v>0.05</v>
      </c>
      <c r="E1692" s="21">
        <v>43412.0</v>
      </c>
      <c r="F1692" s="18" t="s">
        <v>81</v>
      </c>
      <c r="G1692" s="18"/>
      <c r="H1692" s="18" t="s">
        <v>119</v>
      </c>
      <c r="I1692" s="18" t="s">
        <v>120</v>
      </c>
      <c r="J1692" s="18"/>
      <c r="K1692" s="20"/>
      <c r="L1692" s="20"/>
      <c r="M1692" s="18"/>
      <c r="N1692" s="18"/>
    </row>
    <row r="1693">
      <c r="A1693" s="18"/>
      <c r="B1693" s="18" t="s">
        <v>185</v>
      </c>
      <c r="C1693" s="18" t="s">
        <v>186</v>
      </c>
      <c r="D1693" s="18">
        <v>1.233333333</v>
      </c>
      <c r="E1693" s="21">
        <v>43412.0</v>
      </c>
      <c r="F1693" s="18" t="s">
        <v>81</v>
      </c>
      <c r="G1693" s="18" t="s">
        <v>187</v>
      </c>
      <c r="H1693" s="18"/>
      <c r="I1693" s="18" t="s">
        <v>77</v>
      </c>
      <c r="J1693" s="18"/>
      <c r="K1693" s="20"/>
      <c r="L1693" s="20"/>
      <c r="M1693" s="18"/>
      <c r="N1693" s="18"/>
    </row>
    <row r="1694">
      <c r="A1694" s="18"/>
      <c r="B1694" s="18" t="s">
        <v>391</v>
      </c>
      <c r="C1694" s="18" t="s">
        <v>392</v>
      </c>
      <c r="D1694" s="18">
        <v>3.7</v>
      </c>
      <c r="E1694" s="21">
        <v>43412.0</v>
      </c>
      <c r="F1694" s="18" t="s">
        <v>81</v>
      </c>
      <c r="G1694" s="18"/>
      <c r="H1694" s="18" t="s">
        <v>302</v>
      </c>
      <c r="I1694" s="18" t="s">
        <v>81</v>
      </c>
      <c r="J1694" s="18"/>
      <c r="K1694" s="20"/>
      <c r="L1694" s="20"/>
      <c r="M1694" s="18"/>
      <c r="N1694" s="18"/>
    </row>
    <row r="1695">
      <c r="A1695" s="18"/>
      <c r="B1695" s="18" t="s">
        <v>677</v>
      </c>
      <c r="C1695" s="18" t="s">
        <v>678</v>
      </c>
      <c r="D1695" s="18">
        <v>0.433333333</v>
      </c>
      <c r="E1695" s="21">
        <v>43412.0</v>
      </c>
      <c r="F1695" s="18" t="s">
        <v>81</v>
      </c>
      <c r="G1695" s="18"/>
      <c r="H1695" s="18" t="s">
        <v>553</v>
      </c>
      <c r="I1695" s="18" t="s">
        <v>554</v>
      </c>
      <c r="J1695" s="18"/>
      <c r="K1695" s="20"/>
      <c r="L1695" s="20"/>
      <c r="M1695" s="18"/>
      <c r="N1695" s="18"/>
    </row>
    <row r="1696">
      <c r="A1696" s="18"/>
      <c r="B1696" s="18" t="s">
        <v>143</v>
      </c>
      <c r="C1696" s="18" t="s">
        <v>144</v>
      </c>
      <c r="D1696" s="18">
        <v>0.166666667</v>
      </c>
      <c r="E1696" s="21">
        <v>43413.0</v>
      </c>
      <c r="F1696" s="18" t="s">
        <v>81</v>
      </c>
      <c r="G1696" s="18"/>
      <c r="H1696" s="18" t="s">
        <v>119</v>
      </c>
      <c r="I1696" s="18" t="s">
        <v>120</v>
      </c>
      <c r="J1696" s="18"/>
      <c r="K1696" s="20"/>
      <c r="L1696" s="20"/>
      <c r="M1696" s="18"/>
      <c r="N1696" s="18"/>
    </row>
    <row r="1697">
      <c r="A1697" s="18"/>
      <c r="B1697" s="18" t="s">
        <v>117</v>
      </c>
      <c r="C1697" s="18" t="s">
        <v>118</v>
      </c>
      <c r="D1697" s="18">
        <v>0.083333333</v>
      </c>
      <c r="E1697" s="21">
        <v>43413.0</v>
      </c>
      <c r="F1697" s="18" t="s">
        <v>81</v>
      </c>
      <c r="G1697" s="18"/>
      <c r="H1697" s="18" t="s">
        <v>119</v>
      </c>
      <c r="I1697" s="18" t="s">
        <v>120</v>
      </c>
      <c r="J1697" s="18"/>
      <c r="K1697" s="20"/>
      <c r="L1697" s="20"/>
      <c r="M1697" s="18"/>
      <c r="N1697" s="18"/>
    </row>
    <row r="1698">
      <c r="A1698" s="18"/>
      <c r="B1698" s="18" t="s">
        <v>677</v>
      </c>
      <c r="C1698" s="18" t="s">
        <v>678</v>
      </c>
      <c r="D1698" s="18">
        <v>0.316666667</v>
      </c>
      <c r="E1698" s="21">
        <v>43413.0</v>
      </c>
      <c r="F1698" s="18" t="s">
        <v>81</v>
      </c>
      <c r="G1698" s="18"/>
      <c r="H1698" s="18" t="s">
        <v>553</v>
      </c>
      <c r="I1698" s="18" t="s">
        <v>554</v>
      </c>
      <c r="J1698" s="18"/>
      <c r="K1698" s="20"/>
      <c r="L1698" s="20"/>
      <c r="M1698" s="18"/>
      <c r="N1698" s="18"/>
    </row>
    <row r="1699">
      <c r="A1699" s="18"/>
      <c r="B1699" s="18" t="s">
        <v>673</v>
      </c>
      <c r="C1699" s="18" t="s">
        <v>674</v>
      </c>
      <c r="D1699" s="18">
        <v>4.783333333</v>
      </c>
      <c r="E1699" s="21">
        <v>43413.0</v>
      </c>
      <c r="F1699" s="18" t="s">
        <v>81</v>
      </c>
      <c r="G1699" s="18"/>
      <c r="H1699" s="18" t="s">
        <v>164</v>
      </c>
      <c r="I1699" s="18" t="s">
        <v>132</v>
      </c>
      <c r="J1699" s="18"/>
      <c r="K1699" s="20"/>
      <c r="L1699" s="20"/>
      <c r="M1699" s="18"/>
      <c r="N1699" s="18"/>
    </row>
    <row r="1700">
      <c r="A1700" s="18"/>
      <c r="B1700" s="18" t="s">
        <v>391</v>
      </c>
      <c r="C1700" s="18" t="s">
        <v>392</v>
      </c>
      <c r="D1700" s="18">
        <v>2.85</v>
      </c>
      <c r="E1700" s="21">
        <v>43413.0</v>
      </c>
      <c r="F1700" s="18" t="s">
        <v>81</v>
      </c>
      <c r="G1700" s="18"/>
      <c r="H1700" s="18" t="s">
        <v>302</v>
      </c>
      <c r="I1700" s="18" t="s">
        <v>81</v>
      </c>
      <c r="J1700" s="18"/>
      <c r="K1700" s="20"/>
      <c r="L1700" s="20"/>
      <c r="M1700" s="18"/>
      <c r="N1700" s="18"/>
    </row>
    <row r="1701">
      <c r="A1701" s="18"/>
      <c r="B1701" s="18" t="s">
        <v>143</v>
      </c>
      <c r="C1701" s="18" t="s">
        <v>144</v>
      </c>
      <c r="D1701" s="18">
        <v>0.183333333</v>
      </c>
      <c r="E1701" s="19">
        <v>43417.0</v>
      </c>
      <c r="F1701" s="18" t="s">
        <v>81</v>
      </c>
      <c r="G1701" s="18"/>
      <c r="H1701" s="18" t="s">
        <v>119</v>
      </c>
      <c r="I1701" s="18" t="s">
        <v>120</v>
      </c>
      <c r="J1701" s="18"/>
      <c r="K1701" s="20"/>
      <c r="L1701" s="20"/>
      <c r="M1701" s="18"/>
      <c r="N1701" s="18"/>
    </row>
    <row r="1702">
      <c r="A1702" s="18"/>
      <c r="B1702" s="18" t="s">
        <v>117</v>
      </c>
      <c r="C1702" s="18" t="s">
        <v>118</v>
      </c>
      <c r="D1702" s="18">
        <v>0.283333333</v>
      </c>
      <c r="E1702" s="19">
        <v>43417.0</v>
      </c>
      <c r="F1702" s="18" t="s">
        <v>81</v>
      </c>
      <c r="G1702" s="18"/>
      <c r="H1702" s="18" t="s">
        <v>119</v>
      </c>
      <c r="I1702" s="18" t="s">
        <v>120</v>
      </c>
      <c r="J1702" s="18"/>
      <c r="K1702" s="20"/>
      <c r="L1702" s="20"/>
      <c r="M1702" s="18"/>
      <c r="N1702" s="18"/>
    </row>
    <row r="1703">
      <c r="A1703" s="18"/>
      <c r="B1703" s="18" t="s">
        <v>185</v>
      </c>
      <c r="C1703" s="18" t="s">
        <v>186</v>
      </c>
      <c r="D1703" s="18">
        <v>2.083333333</v>
      </c>
      <c r="E1703" s="19">
        <v>43417.0</v>
      </c>
      <c r="F1703" s="18" t="s">
        <v>81</v>
      </c>
      <c r="G1703" s="18" t="s">
        <v>187</v>
      </c>
      <c r="H1703" s="18"/>
      <c r="I1703" s="18" t="s">
        <v>77</v>
      </c>
      <c r="J1703" s="18"/>
      <c r="K1703" s="20"/>
      <c r="L1703" s="20"/>
      <c r="M1703" s="18"/>
      <c r="N1703" s="18"/>
    </row>
    <row r="1704">
      <c r="A1704" s="18"/>
      <c r="B1704" s="18" t="s">
        <v>391</v>
      </c>
      <c r="C1704" s="18" t="s">
        <v>392</v>
      </c>
      <c r="D1704" s="18">
        <v>4.133333333</v>
      </c>
      <c r="E1704" s="19">
        <v>43417.0</v>
      </c>
      <c r="F1704" s="18" t="s">
        <v>81</v>
      </c>
      <c r="G1704" s="18"/>
      <c r="H1704" s="18" t="s">
        <v>302</v>
      </c>
      <c r="I1704" s="18" t="s">
        <v>81</v>
      </c>
      <c r="J1704" s="18"/>
      <c r="K1704" s="20"/>
      <c r="L1704" s="20"/>
      <c r="M1704" s="18"/>
      <c r="N1704" s="18"/>
    </row>
    <row r="1705">
      <c r="A1705" s="18"/>
      <c r="B1705" s="18" t="s">
        <v>158</v>
      </c>
      <c r="C1705" s="18" t="s">
        <v>159</v>
      </c>
      <c r="D1705" s="18">
        <v>0.683333333</v>
      </c>
      <c r="E1705" s="19">
        <v>43417.0</v>
      </c>
      <c r="F1705" s="18" t="s">
        <v>81</v>
      </c>
      <c r="G1705" s="18"/>
      <c r="H1705" s="18"/>
      <c r="I1705" s="18" t="s">
        <v>81</v>
      </c>
      <c r="J1705" s="18"/>
      <c r="K1705" s="20"/>
      <c r="L1705" s="20"/>
      <c r="M1705" s="18"/>
      <c r="N1705" s="18"/>
    </row>
    <row r="1706">
      <c r="A1706" s="18"/>
      <c r="B1706" s="18" t="s">
        <v>143</v>
      </c>
      <c r="C1706" s="18" t="s">
        <v>144</v>
      </c>
      <c r="D1706" s="18">
        <v>0.2</v>
      </c>
      <c r="E1706" s="19">
        <v>43418.0</v>
      </c>
      <c r="F1706" s="18" t="s">
        <v>81</v>
      </c>
      <c r="G1706" s="18"/>
      <c r="H1706" s="18" t="s">
        <v>119</v>
      </c>
      <c r="I1706" s="18" t="s">
        <v>120</v>
      </c>
      <c r="J1706" s="18"/>
      <c r="K1706" s="20"/>
      <c r="L1706" s="20"/>
      <c r="M1706" s="18"/>
      <c r="N1706" s="18"/>
    </row>
    <row r="1707">
      <c r="A1707" s="18"/>
      <c r="B1707" s="18" t="s">
        <v>117</v>
      </c>
      <c r="C1707" s="18" t="s">
        <v>118</v>
      </c>
      <c r="D1707" s="18">
        <v>0.133333333</v>
      </c>
      <c r="E1707" s="19">
        <v>43418.0</v>
      </c>
      <c r="F1707" s="18" t="s">
        <v>81</v>
      </c>
      <c r="G1707" s="18"/>
      <c r="H1707" s="18" t="s">
        <v>119</v>
      </c>
      <c r="I1707" s="18" t="s">
        <v>120</v>
      </c>
      <c r="J1707" s="18"/>
      <c r="K1707" s="20"/>
      <c r="L1707" s="20"/>
      <c r="M1707" s="18"/>
      <c r="N1707" s="18"/>
    </row>
    <row r="1708">
      <c r="A1708" s="18"/>
      <c r="B1708" s="18" t="s">
        <v>185</v>
      </c>
      <c r="C1708" s="18" t="s">
        <v>186</v>
      </c>
      <c r="D1708" s="18">
        <v>1.066666667</v>
      </c>
      <c r="E1708" s="19">
        <v>43418.0</v>
      </c>
      <c r="F1708" s="18" t="s">
        <v>81</v>
      </c>
      <c r="G1708" s="18" t="s">
        <v>187</v>
      </c>
      <c r="H1708" s="18"/>
      <c r="I1708" s="18" t="s">
        <v>77</v>
      </c>
      <c r="J1708" s="18"/>
      <c r="K1708" s="20"/>
      <c r="L1708" s="20"/>
      <c r="M1708" s="18"/>
      <c r="N1708" s="18"/>
    </row>
    <row r="1709">
      <c r="A1709" s="18"/>
      <c r="B1709" s="18" t="s">
        <v>673</v>
      </c>
      <c r="C1709" s="18" t="s">
        <v>674</v>
      </c>
      <c r="D1709" s="18">
        <v>0.483333333</v>
      </c>
      <c r="E1709" s="19">
        <v>43418.0</v>
      </c>
      <c r="F1709" s="18" t="s">
        <v>81</v>
      </c>
      <c r="G1709" s="18"/>
      <c r="H1709" s="18" t="s">
        <v>164</v>
      </c>
      <c r="I1709" s="18" t="s">
        <v>132</v>
      </c>
      <c r="J1709" s="18"/>
      <c r="K1709" s="20"/>
      <c r="L1709" s="20"/>
      <c r="M1709" s="18"/>
      <c r="N1709" s="18"/>
    </row>
    <row r="1710">
      <c r="A1710" s="18"/>
      <c r="B1710" s="18" t="s">
        <v>667</v>
      </c>
      <c r="C1710" s="18" t="s">
        <v>668</v>
      </c>
      <c r="D1710" s="18">
        <v>3.033333333</v>
      </c>
      <c r="E1710" s="19">
        <v>43418.0</v>
      </c>
      <c r="F1710" s="18" t="s">
        <v>81</v>
      </c>
      <c r="G1710" s="18"/>
      <c r="H1710" s="18" t="s">
        <v>88</v>
      </c>
      <c r="I1710" s="18" t="s">
        <v>93</v>
      </c>
      <c r="J1710" s="18"/>
      <c r="K1710" s="20"/>
      <c r="L1710" s="20"/>
      <c r="M1710" s="18"/>
      <c r="N1710" s="18"/>
    </row>
    <row r="1711">
      <c r="A1711" s="18"/>
      <c r="B1711" s="18" t="s">
        <v>587</v>
      </c>
      <c r="C1711" s="18" t="s">
        <v>588</v>
      </c>
      <c r="D1711" s="18">
        <v>0.5</v>
      </c>
      <c r="E1711" s="19">
        <v>43418.0</v>
      </c>
      <c r="F1711" s="18" t="s">
        <v>81</v>
      </c>
      <c r="G1711" s="18"/>
      <c r="H1711" s="18" t="s">
        <v>96</v>
      </c>
      <c r="I1711" s="18" t="s">
        <v>81</v>
      </c>
      <c r="J1711" s="18"/>
      <c r="K1711" s="20"/>
      <c r="L1711" s="20"/>
      <c r="M1711" s="18"/>
      <c r="N1711" s="18"/>
    </row>
    <row r="1712">
      <c r="A1712" s="18"/>
      <c r="B1712" s="18" t="s">
        <v>391</v>
      </c>
      <c r="C1712" s="18" t="s">
        <v>392</v>
      </c>
      <c r="D1712" s="18">
        <v>2.116666667</v>
      </c>
      <c r="E1712" s="19">
        <v>43418.0</v>
      </c>
      <c r="F1712" s="18" t="s">
        <v>81</v>
      </c>
      <c r="G1712" s="18"/>
      <c r="H1712" s="18" t="s">
        <v>302</v>
      </c>
      <c r="I1712" s="18" t="s">
        <v>81</v>
      </c>
      <c r="J1712" s="18"/>
      <c r="K1712" s="20"/>
      <c r="L1712" s="20"/>
      <c r="M1712" s="18"/>
      <c r="N1712" s="18"/>
    </row>
    <row r="1713">
      <c r="A1713" s="18"/>
      <c r="B1713" s="18" t="s">
        <v>143</v>
      </c>
      <c r="C1713" s="18" t="s">
        <v>144</v>
      </c>
      <c r="D1713" s="18">
        <v>0.083333333</v>
      </c>
      <c r="E1713" s="19">
        <v>43419.0</v>
      </c>
      <c r="F1713" s="18" t="s">
        <v>81</v>
      </c>
      <c r="G1713" s="18"/>
      <c r="H1713" s="18" t="s">
        <v>119</v>
      </c>
      <c r="I1713" s="18" t="s">
        <v>120</v>
      </c>
      <c r="J1713" s="18"/>
      <c r="K1713" s="20"/>
      <c r="L1713" s="20"/>
      <c r="M1713" s="18"/>
      <c r="N1713" s="18"/>
    </row>
    <row r="1714">
      <c r="A1714" s="18"/>
      <c r="B1714" s="18" t="s">
        <v>117</v>
      </c>
      <c r="C1714" s="18" t="s">
        <v>118</v>
      </c>
      <c r="D1714" s="18">
        <v>0.183333333</v>
      </c>
      <c r="E1714" s="19">
        <v>43419.0</v>
      </c>
      <c r="F1714" s="18" t="s">
        <v>81</v>
      </c>
      <c r="G1714" s="18"/>
      <c r="H1714" s="18" t="s">
        <v>119</v>
      </c>
      <c r="I1714" s="18" t="s">
        <v>120</v>
      </c>
      <c r="J1714" s="18"/>
      <c r="K1714" s="20"/>
      <c r="L1714" s="20"/>
      <c r="M1714" s="18"/>
      <c r="N1714" s="18"/>
    </row>
    <row r="1715">
      <c r="A1715" s="18"/>
      <c r="B1715" s="18" t="s">
        <v>673</v>
      </c>
      <c r="C1715" s="18" t="s">
        <v>674</v>
      </c>
      <c r="D1715" s="18">
        <v>1.533333333</v>
      </c>
      <c r="E1715" s="19">
        <v>43419.0</v>
      </c>
      <c r="F1715" s="18" t="s">
        <v>81</v>
      </c>
      <c r="G1715" s="18"/>
      <c r="H1715" s="18" t="s">
        <v>164</v>
      </c>
      <c r="I1715" s="18" t="s">
        <v>132</v>
      </c>
      <c r="J1715" s="18"/>
      <c r="K1715" s="20"/>
      <c r="L1715" s="20"/>
      <c r="M1715" s="18"/>
      <c r="N1715" s="18"/>
    </row>
    <row r="1716">
      <c r="A1716" s="18"/>
      <c r="B1716" s="18" t="s">
        <v>185</v>
      </c>
      <c r="C1716" s="18" t="s">
        <v>186</v>
      </c>
      <c r="D1716" s="18">
        <v>1.383333333</v>
      </c>
      <c r="E1716" s="19">
        <v>43419.0</v>
      </c>
      <c r="F1716" s="18" t="s">
        <v>81</v>
      </c>
      <c r="G1716" s="18" t="s">
        <v>187</v>
      </c>
      <c r="H1716" s="18"/>
      <c r="I1716" s="18" t="s">
        <v>77</v>
      </c>
      <c r="J1716" s="18"/>
      <c r="K1716" s="20"/>
      <c r="L1716" s="20"/>
      <c r="M1716" s="18"/>
      <c r="N1716" s="18"/>
    </row>
    <row r="1717">
      <c r="A1717" s="18"/>
      <c r="B1717" s="18" t="s">
        <v>619</v>
      </c>
      <c r="C1717" s="18" t="s">
        <v>620</v>
      </c>
      <c r="D1717" s="18">
        <v>4.916666667</v>
      </c>
      <c r="E1717" s="19">
        <v>43419.0</v>
      </c>
      <c r="F1717" s="18" t="s">
        <v>81</v>
      </c>
      <c r="G1717" s="18"/>
      <c r="H1717" s="18" t="s">
        <v>302</v>
      </c>
      <c r="I1717" s="18" t="s">
        <v>89</v>
      </c>
      <c r="J1717" s="18"/>
      <c r="K1717" s="20"/>
      <c r="L1717" s="20"/>
      <c r="M1717" s="18"/>
      <c r="N1717" s="18"/>
    </row>
    <row r="1718">
      <c r="A1718" s="18"/>
      <c r="B1718" s="18" t="s">
        <v>185</v>
      </c>
      <c r="C1718" s="18" t="s">
        <v>186</v>
      </c>
      <c r="D1718" s="18">
        <v>1.0</v>
      </c>
      <c r="E1718" s="19">
        <v>43419.0</v>
      </c>
      <c r="F1718" s="18" t="s">
        <v>77</v>
      </c>
      <c r="G1718" s="18" t="s">
        <v>187</v>
      </c>
      <c r="H1718" s="18"/>
      <c r="I1718" s="18" t="s">
        <v>77</v>
      </c>
      <c r="J1718" s="18"/>
      <c r="K1718" s="20"/>
      <c r="L1718" s="20"/>
      <c r="M1718" s="18"/>
      <c r="N1718" s="18"/>
    </row>
    <row r="1719">
      <c r="A1719" s="18"/>
      <c r="B1719" s="18" t="s">
        <v>185</v>
      </c>
      <c r="C1719" s="18" t="s">
        <v>186</v>
      </c>
      <c r="D1719" s="18">
        <v>1.0</v>
      </c>
      <c r="E1719" s="19">
        <v>43416.0</v>
      </c>
      <c r="F1719" s="18" t="s">
        <v>77</v>
      </c>
      <c r="G1719" s="18" t="s">
        <v>187</v>
      </c>
      <c r="H1719" s="18"/>
      <c r="I1719" s="18" t="s">
        <v>77</v>
      </c>
      <c r="J1719" s="18"/>
      <c r="K1719" s="20"/>
      <c r="L1719" s="20"/>
      <c r="M1719" s="18"/>
      <c r="N1719" s="18"/>
    </row>
    <row r="1720">
      <c r="A1720" s="18"/>
      <c r="B1720" s="18" t="s">
        <v>185</v>
      </c>
      <c r="C1720" s="18" t="s">
        <v>186</v>
      </c>
      <c r="D1720" s="18">
        <v>1.0</v>
      </c>
      <c r="E1720" s="21">
        <v>43405.0</v>
      </c>
      <c r="F1720" s="18" t="s">
        <v>77</v>
      </c>
      <c r="G1720" s="18" t="s">
        <v>187</v>
      </c>
      <c r="H1720" s="18"/>
      <c r="I1720" s="18" t="s">
        <v>77</v>
      </c>
      <c r="J1720" s="18"/>
      <c r="K1720" s="20"/>
      <c r="L1720" s="20"/>
      <c r="M1720" s="18"/>
      <c r="N1720" s="18"/>
    </row>
    <row r="1721">
      <c r="A1721" s="18"/>
      <c r="B1721" s="18" t="s">
        <v>185</v>
      </c>
      <c r="C1721" s="18" t="s">
        <v>186</v>
      </c>
      <c r="D1721" s="18">
        <v>1.0</v>
      </c>
      <c r="E1721" s="19">
        <v>43390.0</v>
      </c>
      <c r="F1721" s="18" t="s">
        <v>77</v>
      </c>
      <c r="G1721" s="18" t="s">
        <v>187</v>
      </c>
      <c r="H1721" s="18"/>
      <c r="I1721" s="18" t="s">
        <v>77</v>
      </c>
      <c r="J1721" s="18"/>
      <c r="K1721" s="20"/>
      <c r="L1721" s="20"/>
      <c r="M1721" s="18"/>
      <c r="N1721" s="18"/>
    </row>
    <row r="1722">
      <c r="A1722" s="18"/>
      <c r="B1722" s="18" t="s">
        <v>185</v>
      </c>
      <c r="C1722" s="18" t="s">
        <v>186</v>
      </c>
      <c r="D1722" s="18">
        <v>1.0</v>
      </c>
      <c r="E1722" s="21">
        <v>43371.0</v>
      </c>
      <c r="F1722" s="18" t="s">
        <v>77</v>
      </c>
      <c r="G1722" s="18" t="s">
        <v>187</v>
      </c>
      <c r="H1722" s="18"/>
      <c r="I1722" s="18" t="s">
        <v>77</v>
      </c>
      <c r="J1722" s="18"/>
      <c r="K1722" s="20"/>
      <c r="L1722" s="20"/>
      <c r="M1722" s="18"/>
      <c r="N1722" s="18"/>
    </row>
    <row r="1723">
      <c r="A1723" s="18"/>
      <c r="B1723" s="18" t="s">
        <v>185</v>
      </c>
      <c r="C1723" s="18" t="s">
        <v>186</v>
      </c>
      <c r="D1723" s="18">
        <v>4.0</v>
      </c>
      <c r="E1723" s="21">
        <v>43313.0</v>
      </c>
      <c r="F1723" s="18" t="s">
        <v>77</v>
      </c>
      <c r="G1723" s="18" t="s">
        <v>187</v>
      </c>
      <c r="H1723" s="18"/>
      <c r="I1723" s="18" t="s">
        <v>77</v>
      </c>
      <c r="J1723" s="18"/>
      <c r="K1723" s="20"/>
      <c r="L1723" s="20"/>
      <c r="M1723" s="18"/>
      <c r="N1723" s="18"/>
    </row>
    <row r="1724">
      <c r="A1724" s="18"/>
      <c r="B1724" s="18" t="s">
        <v>185</v>
      </c>
      <c r="C1724" s="18" t="s">
        <v>186</v>
      </c>
      <c r="D1724" s="18">
        <v>2.0</v>
      </c>
      <c r="E1724" s="19">
        <v>43417.0</v>
      </c>
      <c r="F1724" s="18" t="s">
        <v>77</v>
      </c>
      <c r="G1724" s="18" t="s">
        <v>187</v>
      </c>
      <c r="H1724" s="18"/>
      <c r="I1724" s="18" t="s">
        <v>77</v>
      </c>
      <c r="J1724" s="18"/>
      <c r="K1724" s="20"/>
      <c r="L1724" s="20"/>
      <c r="M1724" s="18"/>
      <c r="N1724" s="18"/>
    </row>
    <row r="1725">
      <c r="A1725" s="18"/>
      <c r="B1725" s="18" t="s">
        <v>594</v>
      </c>
      <c r="C1725" s="18" t="s">
        <v>553</v>
      </c>
      <c r="D1725" s="18">
        <v>5.0</v>
      </c>
      <c r="E1725" s="19">
        <v>43420.0</v>
      </c>
      <c r="F1725" s="18" t="s">
        <v>77</v>
      </c>
      <c r="G1725" s="18" t="s">
        <v>553</v>
      </c>
      <c r="H1725" s="18"/>
      <c r="I1725" s="18" t="s">
        <v>77</v>
      </c>
      <c r="J1725" s="18"/>
      <c r="K1725" s="20"/>
      <c r="L1725" s="20"/>
      <c r="M1725" s="18"/>
      <c r="N1725" s="18"/>
    </row>
    <row r="1726">
      <c r="A1726" s="18"/>
      <c r="B1726" s="18" t="s">
        <v>594</v>
      </c>
      <c r="C1726" s="18" t="s">
        <v>553</v>
      </c>
      <c r="D1726" s="18">
        <v>2.0</v>
      </c>
      <c r="E1726" s="21">
        <v>43406.0</v>
      </c>
      <c r="F1726" s="18" t="s">
        <v>77</v>
      </c>
      <c r="G1726" s="18" t="s">
        <v>553</v>
      </c>
      <c r="H1726" s="18"/>
      <c r="I1726" s="18" t="s">
        <v>77</v>
      </c>
      <c r="J1726" s="18"/>
      <c r="K1726" s="20"/>
      <c r="L1726" s="20"/>
      <c r="M1726" s="18"/>
      <c r="N1726" s="18"/>
    </row>
    <row r="1727">
      <c r="A1727" s="18"/>
      <c r="B1727" s="18" t="s">
        <v>594</v>
      </c>
      <c r="C1727" s="18" t="s">
        <v>553</v>
      </c>
      <c r="D1727" s="18">
        <v>2.0</v>
      </c>
      <c r="E1727" s="19">
        <v>43392.0</v>
      </c>
      <c r="F1727" s="18" t="s">
        <v>77</v>
      </c>
      <c r="G1727" s="18" t="s">
        <v>553</v>
      </c>
      <c r="H1727" s="18"/>
      <c r="I1727" s="18" t="s">
        <v>77</v>
      </c>
      <c r="J1727" s="18"/>
      <c r="K1727" s="20"/>
      <c r="L1727" s="20"/>
      <c r="M1727" s="18"/>
      <c r="N1727" s="18"/>
    </row>
    <row r="1728">
      <c r="A1728" s="18"/>
      <c r="B1728" s="18" t="s">
        <v>594</v>
      </c>
      <c r="C1728" s="18" t="s">
        <v>553</v>
      </c>
      <c r="D1728" s="18">
        <v>3.0</v>
      </c>
      <c r="E1728" s="21">
        <v>43378.0</v>
      </c>
      <c r="F1728" s="18" t="s">
        <v>77</v>
      </c>
      <c r="G1728" s="18" t="s">
        <v>553</v>
      </c>
      <c r="H1728" s="18"/>
      <c r="I1728" s="18" t="s">
        <v>77</v>
      </c>
      <c r="J1728" s="18"/>
      <c r="K1728" s="20"/>
      <c r="L1728" s="20"/>
      <c r="M1728" s="18"/>
      <c r="N1728" s="18"/>
    </row>
    <row r="1729">
      <c r="A1729" s="18"/>
      <c r="B1729" s="18" t="s">
        <v>594</v>
      </c>
      <c r="C1729" s="18" t="s">
        <v>553</v>
      </c>
      <c r="D1729" s="18">
        <v>1.0</v>
      </c>
      <c r="E1729" s="21">
        <v>43364.0</v>
      </c>
      <c r="F1729" s="18" t="s">
        <v>77</v>
      </c>
      <c r="G1729" s="18" t="s">
        <v>553</v>
      </c>
      <c r="H1729" s="18"/>
      <c r="I1729" s="18" t="s">
        <v>77</v>
      </c>
      <c r="J1729" s="18"/>
      <c r="K1729" s="20"/>
      <c r="L1729" s="20"/>
      <c r="M1729" s="18"/>
      <c r="N1729" s="18"/>
    </row>
    <row r="1730">
      <c r="A1730" s="18"/>
      <c r="B1730" s="18" t="s">
        <v>594</v>
      </c>
      <c r="C1730" s="18" t="s">
        <v>553</v>
      </c>
      <c r="D1730" s="18">
        <v>3.0</v>
      </c>
      <c r="E1730" s="21">
        <v>43350.0</v>
      </c>
      <c r="F1730" s="18" t="s">
        <v>77</v>
      </c>
      <c r="G1730" s="18" t="s">
        <v>553</v>
      </c>
      <c r="H1730" s="18"/>
      <c r="I1730" s="18" t="s">
        <v>77</v>
      </c>
      <c r="J1730" s="18"/>
      <c r="K1730" s="20"/>
      <c r="L1730" s="20"/>
      <c r="M1730" s="18"/>
      <c r="N1730" s="18"/>
    </row>
    <row r="1731">
      <c r="A1731" s="18"/>
      <c r="B1731" s="18" t="s">
        <v>594</v>
      </c>
      <c r="C1731" s="18" t="s">
        <v>553</v>
      </c>
      <c r="D1731" s="18">
        <v>4.0</v>
      </c>
      <c r="E1731" s="21">
        <v>43343.0</v>
      </c>
      <c r="F1731" s="18" t="s">
        <v>77</v>
      </c>
      <c r="G1731" s="18" t="s">
        <v>553</v>
      </c>
      <c r="H1731" s="18"/>
      <c r="I1731" s="18" t="s">
        <v>77</v>
      </c>
      <c r="J1731" s="18"/>
      <c r="K1731" s="20"/>
      <c r="L1731" s="20"/>
      <c r="M1731" s="18"/>
      <c r="N1731" s="18"/>
    </row>
    <row r="1732">
      <c r="A1732" s="18"/>
      <c r="B1732" s="18" t="s">
        <v>594</v>
      </c>
      <c r="C1732" s="18" t="s">
        <v>553</v>
      </c>
      <c r="D1732" s="18">
        <v>5.0</v>
      </c>
      <c r="E1732" s="21">
        <v>43322.0</v>
      </c>
      <c r="F1732" s="18" t="s">
        <v>77</v>
      </c>
      <c r="G1732" s="18" t="s">
        <v>553</v>
      </c>
      <c r="H1732" s="18"/>
      <c r="I1732" s="18" t="s">
        <v>77</v>
      </c>
      <c r="J1732" s="18"/>
      <c r="K1732" s="20"/>
      <c r="L1732" s="20"/>
      <c r="M1732" s="18"/>
      <c r="N1732" s="18"/>
    </row>
    <row r="1733">
      <c r="A1733" s="18"/>
      <c r="B1733" s="18" t="s">
        <v>594</v>
      </c>
      <c r="C1733" s="18" t="s">
        <v>553</v>
      </c>
      <c r="D1733" s="18">
        <v>2.0</v>
      </c>
      <c r="E1733" s="21">
        <v>43313.0</v>
      </c>
      <c r="F1733" s="18" t="s">
        <v>77</v>
      </c>
      <c r="G1733" s="18" t="s">
        <v>553</v>
      </c>
      <c r="H1733" s="18"/>
      <c r="I1733" s="18" t="s">
        <v>77</v>
      </c>
      <c r="J1733" s="18"/>
      <c r="K1733" s="20"/>
      <c r="L1733" s="20"/>
      <c r="M1733" s="18"/>
      <c r="N1733" s="18"/>
    </row>
    <row r="1734">
      <c r="A1734" s="18"/>
      <c r="B1734" s="18" t="s">
        <v>594</v>
      </c>
      <c r="C1734" s="18" t="s">
        <v>553</v>
      </c>
      <c r="D1734" s="18">
        <v>1.0</v>
      </c>
      <c r="E1734" s="21">
        <v>43301.0</v>
      </c>
      <c r="F1734" s="18" t="s">
        <v>77</v>
      </c>
      <c r="G1734" s="18" t="s">
        <v>553</v>
      </c>
      <c r="H1734" s="18"/>
      <c r="I1734" s="18" t="s">
        <v>77</v>
      </c>
      <c r="J1734" s="18"/>
      <c r="K1734" s="20"/>
      <c r="L1734" s="20"/>
      <c r="M1734" s="18"/>
      <c r="N1734" s="18"/>
    </row>
    <row r="1735">
      <c r="A1735" s="18"/>
      <c r="B1735" s="18" t="s">
        <v>594</v>
      </c>
      <c r="C1735" s="18" t="s">
        <v>553</v>
      </c>
      <c r="D1735" s="18">
        <v>2.0</v>
      </c>
      <c r="E1735" s="21">
        <v>43292.0</v>
      </c>
      <c r="F1735" s="18" t="s">
        <v>77</v>
      </c>
      <c r="G1735" s="18" t="s">
        <v>553</v>
      </c>
      <c r="H1735" s="18"/>
      <c r="I1735" s="18" t="s">
        <v>77</v>
      </c>
      <c r="J1735" s="18"/>
      <c r="K1735" s="20"/>
      <c r="L1735" s="20"/>
      <c r="M1735" s="18"/>
      <c r="N1735" s="18"/>
    </row>
    <row r="1736">
      <c r="A1736" s="18"/>
      <c r="B1736" s="18" t="s">
        <v>594</v>
      </c>
      <c r="C1736" s="18" t="s">
        <v>553</v>
      </c>
      <c r="D1736" s="18">
        <v>3.0</v>
      </c>
      <c r="E1736" s="21">
        <v>43285.0</v>
      </c>
      <c r="F1736" s="18" t="s">
        <v>77</v>
      </c>
      <c r="G1736" s="18" t="s">
        <v>553</v>
      </c>
      <c r="H1736" s="18"/>
      <c r="I1736" s="18" t="s">
        <v>77</v>
      </c>
      <c r="J1736" s="18"/>
      <c r="K1736" s="20"/>
      <c r="L1736" s="20"/>
      <c r="M1736" s="18"/>
      <c r="N1736" s="18"/>
    </row>
    <row r="1737">
      <c r="A1737" s="18"/>
      <c r="B1737" s="18" t="s">
        <v>143</v>
      </c>
      <c r="C1737" s="18" t="s">
        <v>144</v>
      </c>
      <c r="D1737" s="18">
        <v>0.7</v>
      </c>
      <c r="E1737" s="19">
        <v>43420.0</v>
      </c>
      <c r="F1737" s="18" t="s">
        <v>81</v>
      </c>
      <c r="G1737" s="18"/>
      <c r="H1737" s="18" t="s">
        <v>119</v>
      </c>
      <c r="I1737" s="18" t="s">
        <v>120</v>
      </c>
      <c r="J1737" s="18"/>
      <c r="K1737" s="20"/>
      <c r="L1737" s="20"/>
      <c r="M1737" s="18"/>
      <c r="N1737" s="18"/>
    </row>
    <row r="1738">
      <c r="A1738" s="18"/>
      <c r="B1738" s="18" t="s">
        <v>117</v>
      </c>
      <c r="C1738" s="18" t="s">
        <v>118</v>
      </c>
      <c r="D1738" s="18">
        <v>0.133333333</v>
      </c>
      <c r="E1738" s="19">
        <v>43420.0</v>
      </c>
      <c r="F1738" s="18" t="s">
        <v>81</v>
      </c>
      <c r="G1738" s="18"/>
      <c r="H1738" s="18" t="s">
        <v>119</v>
      </c>
      <c r="I1738" s="18" t="s">
        <v>120</v>
      </c>
      <c r="J1738" s="18"/>
      <c r="K1738" s="20"/>
      <c r="L1738" s="20"/>
      <c r="M1738" s="18"/>
      <c r="N1738" s="18"/>
    </row>
    <row r="1739">
      <c r="A1739" s="18"/>
      <c r="B1739" s="18" t="s">
        <v>661</v>
      </c>
      <c r="C1739" s="18" t="s">
        <v>662</v>
      </c>
      <c r="D1739" s="18">
        <v>0.3</v>
      </c>
      <c r="E1739" s="19">
        <v>43420.0</v>
      </c>
      <c r="F1739" s="18" t="s">
        <v>81</v>
      </c>
      <c r="G1739" s="18"/>
      <c r="H1739" s="18" t="s">
        <v>302</v>
      </c>
      <c r="I1739" s="18" t="s">
        <v>81</v>
      </c>
      <c r="J1739" s="18"/>
      <c r="K1739" s="20"/>
      <c r="L1739" s="20"/>
      <c r="M1739" s="18"/>
      <c r="N1739" s="18"/>
    </row>
    <row r="1740">
      <c r="A1740" s="18"/>
      <c r="B1740" s="18" t="s">
        <v>673</v>
      </c>
      <c r="C1740" s="18" t="s">
        <v>674</v>
      </c>
      <c r="D1740" s="18">
        <v>0.383333333</v>
      </c>
      <c r="E1740" s="19">
        <v>43420.0</v>
      </c>
      <c r="F1740" s="18" t="s">
        <v>81</v>
      </c>
      <c r="G1740" s="18"/>
      <c r="H1740" s="18" t="s">
        <v>164</v>
      </c>
      <c r="I1740" s="18" t="s">
        <v>132</v>
      </c>
      <c r="J1740" s="18"/>
      <c r="K1740" s="20"/>
      <c r="L1740" s="20"/>
      <c r="M1740" s="18"/>
      <c r="N1740" s="18"/>
    </row>
    <row r="1741">
      <c r="A1741" s="18"/>
      <c r="B1741" s="18" t="s">
        <v>679</v>
      </c>
      <c r="C1741" s="18" t="s">
        <v>680</v>
      </c>
      <c r="D1741" s="18">
        <v>0.3</v>
      </c>
      <c r="E1741" s="19">
        <v>43420.0</v>
      </c>
      <c r="F1741" s="18" t="s">
        <v>81</v>
      </c>
      <c r="G1741" s="18"/>
      <c r="H1741" s="18"/>
      <c r="I1741" s="18" t="s">
        <v>93</v>
      </c>
      <c r="J1741" s="18"/>
      <c r="K1741" s="20"/>
      <c r="L1741" s="20"/>
      <c r="M1741" s="18"/>
      <c r="N1741" s="18"/>
    </row>
    <row r="1742">
      <c r="A1742" s="18"/>
      <c r="B1742" s="18" t="s">
        <v>667</v>
      </c>
      <c r="C1742" s="18" t="s">
        <v>668</v>
      </c>
      <c r="D1742" s="18">
        <v>2.133333333</v>
      </c>
      <c r="E1742" s="19">
        <v>43420.0</v>
      </c>
      <c r="F1742" s="18" t="s">
        <v>81</v>
      </c>
      <c r="G1742" s="18"/>
      <c r="H1742" s="18" t="s">
        <v>88</v>
      </c>
      <c r="I1742" s="18" t="s">
        <v>93</v>
      </c>
      <c r="J1742" s="18"/>
      <c r="K1742" s="20"/>
      <c r="L1742" s="20"/>
      <c r="M1742" s="18"/>
      <c r="N1742" s="18"/>
    </row>
    <row r="1743">
      <c r="A1743" s="18"/>
      <c r="B1743" s="18" t="s">
        <v>391</v>
      </c>
      <c r="C1743" s="18" t="s">
        <v>392</v>
      </c>
      <c r="D1743" s="18">
        <v>3.833333333</v>
      </c>
      <c r="E1743" s="19">
        <v>43420.0</v>
      </c>
      <c r="F1743" s="18" t="s">
        <v>81</v>
      </c>
      <c r="G1743" s="18"/>
      <c r="H1743" s="18" t="s">
        <v>302</v>
      </c>
      <c r="I1743" s="18" t="s">
        <v>81</v>
      </c>
      <c r="J1743" s="18"/>
      <c r="K1743" s="20"/>
      <c r="L1743" s="20"/>
      <c r="M1743" s="18"/>
      <c r="N1743" s="18"/>
    </row>
    <row r="1744">
      <c r="A1744" s="18"/>
      <c r="B1744" s="18" t="s">
        <v>143</v>
      </c>
      <c r="C1744" s="18" t="s">
        <v>144</v>
      </c>
      <c r="D1744" s="18">
        <v>0.216666667</v>
      </c>
      <c r="E1744" s="19">
        <v>43423.0</v>
      </c>
      <c r="F1744" s="18" t="s">
        <v>81</v>
      </c>
      <c r="G1744" s="18"/>
      <c r="H1744" s="18" t="s">
        <v>119</v>
      </c>
      <c r="I1744" s="18" t="s">
        <v>120</v>
      </c>
      <c r="J1744" s="18"/>
      <c r="K1744" s="20"/>
      <c r="L1744" s="20"/>
      <c r="M1744" s="18"/>
      <c r="N1744" s="18"/>
    </row>
    <row r="1745">
      <c r="A1745" s="18"/>
      <c r="B1745" s="18" t="s">
        <v>117</v>
      </c>
      <c r="C1745" s="18" t="s">
        <v>118</v>
      </c>
      <c r="D1745" s="18">
        <v>0.166666667</v>
      </c>
      <c r="E1745" s="19">
        <v>43423.0</v>
      </c>
      <c r="F1745" s="18" t="s">
        <v>81</v>
      </c>
      <c r="G1745" s="18"/>
      <c r="H1745" s="18" t="s">
        <v>119</v>
      </c>
      <c r="I1745" s="18" t="s">
        <v>120</v>
      </c>
      <c r="J1745" s="18"/>
      <c r="K1745" s="20"/>
      <c r="L1745" s="20"/>
      <c r="M1745" s="18"/>
      <c r="N1745" s="18"/>
    </row>
    <row r="1746">
      <c r="A1746" s="18"/>
      <c r="B1746" s="18" t="s">
        <v>185</v>
      </c>
      <c r="C1746" s="18" t="s">
        <v>186</v>
      </c>
      <c r="D1746" s="18">
        <v>1.133333333</v>
      </c>
      <c r="E1746" s="19">
        <v>43423.0</v>
      </c>
      <c r="F1746" s="18" t="s">
        <v>81</v>
      </c>
      <c r="G1746" s="18" t="s">
        <v>187</v>
      </c>
      <c r="H1746" s="18"/>
      <c r="I1746" s="18" t="s">
        <v>77</v>
      </c>
      <c r="J1746" s="18"/>
      <c r="K1746" s="20"/>
      <c r="L1746" s="20"/>
      <c r="M1746" s="18"/>
      <c r="N1746" s="18"/>
    </row>
    <row r="1747">
      <c r="A1747" s="18"/>
      <c r="B1747" s="18" t="s">
        <v>391</v>
      </c>
      <c r="C1747" s="18" t="s">
        <v>392</v>
      </c>
      <c r="D1747" s="18">
        <v>3.783333333</v>
      </c>
      <c r="E1747" s="19">
        <v>43423.0</v>
      </c>
      <c r="F1747" s="18" t="s">
        <v>81</v>
      </c>
      <c r="G1747" s="18"/>
      <c r="H1747" s="18" t="s">
        <v>302</v>
      </c>
      <c r="I1747" s="18" t="s">
        <v>81</v>
      </c>
      <c r="J1747" s="18"/>
      <c r="K1747" s="20"/>
      <c r="L1747" s="20"/>
      <c r="M1747" s="18"/>
      <c r="N1747" s="18"/>
    </row>
    <row r="1748">
      <c r="A1748" s="18"/>
      <c r="B1748" s="18" t="s">
        <v>661</v>
      </c>
      <c r="C1748" s="18" t="s">
        <v>662</v>
      </c>
      <c r="D1748" s="18">
        <v>1.233333333</v>
      </c>
      <c r="E1748" s="19">
        <v>43423.0</v>
      </c>
      <c r="F1748" s="18" t="s">
        <v>81</v>
      </c>
      <c r="G1748" s="18"/>
      <c r="H1748" s="18" t="s">
        <v>302</v>
      </c>
      <c r="I1748" s="18" t="s">
        <v>81</v>
      </c>
      <c r="J1748" s="18"/>
      <c r="K1748" s="20"/>
      <c r="L1748" s="20"/>
      <c r="M1748" s="18"/>
      <c r="N1748" s="18"/>
    </row>
    <row r="1749">
      <c r="A1749" s="18"/>
      <c r="B1749" s="18" t="s">
        <v>571</v>
      </c>
      <c r="C1749" s="18" t="s">
        <v>572</v>
      </c>
      <c r="D1749" s="18">
        <v>0.466666667</v>
      </c>
      <c r="E1749" s="19">
        <v>43423.0</v>
      </c>
      <c r="F1749" s="18" t="s">
        <v>81</v>
      </c>
      <c r="G1749" s="18"/>
      <c r="H1749" s="18" t="s">
        <v>302</v>
      </c>
      <c r="I1749" s="18" t="s">
        <v>81</v>
      </c>
      <c r="J1749" s="18"/>
      <c r="K1749" s="20"/>
      <c r="L1749" s="20"/>
      <c r="M1749" s="18"/>
      <c r="N1749" s="18"/>
    </row>
    <row r="1750">
      <c r="A1750" s="18"/>
      <c r="B1750" s="18" t="s">
        <v>673</v>
      </c>
      <c r="C1750" s="18" t="s">
        <v>674</v>
      </c>
      <c r="D1750" s="18">
        <v>0.983333333</v>
      </c>
      <c r="E1750" s="19">
        <v>43423.0</v>
      </c>
      <c r="F1750" s="18" t="s">
        <v>81</v>
      </c>
      <c r="G1750" s="18"/>
      <c r="H1750" s="18" t="s">
        <v>164</v>
      </c>
      <c r="I1750" s="18" t="s">
        <v>132</v>
      </c>
      <c r="J1750" s="18"/>
      <c r="K1750" s="20"/>
      <c r="L1750" s="20"/>
      <c r="M1750" s="18"/>
      <c r="N1750" s="18"/>
    </row>
    <row r="1751">
      <c r="A1751" s="18"/>
      <c r="B1751" s="18" t="s">
        <v>143</v>
      </c>
      <c r="C1751" s="18" t="s">
        <v>144</v>
      </c>
      <c r="D1751" s="18">
        <v>0.116666667</v>
      </c>
      <c r="E1751" s="19">
        <v>43424.0</v>
      </c>
      <c r="F1751" s="18" t="s">
        <v>81</v>
      </c>
      <c r="G1751" s="18"/>
      <c r="H1751" s="18" t="s">
        <v>119</v>
      </c>
      <c r="I1751" s="18" t="s">
        <v>120</v>
      </c>
      <c r="J1751" s="18"/>
      <c r="K1751" s="20"/>
      <c r="L1751" s="20"/>
      <c r="M1751" s="18"/>
      <c r="N1751" s="18"/>
    </row>
    <row r="1752">
      <c r="A1752" s="18"/>
      <c r="B1752" s="18" t="s">
        <v>117</v>
      </c>
      <c r="C1752" s="18" t="s">
        <v>118</v>
      </c>
      <c r="D1752" s="18">
        <v>0.05</v>
      </c>
      <c r="E1752" s="19">
        <v>43424.0</v>
      </c>
      <c r="F1752" s="18" t="s">
        <v>81</v>
      </c>
      <c r="G1752" s="18"/>
      <c r="H1752" s="18" t="s">
        <v>119</v>
      </c>
      <c r="I1752" s="18" t="s">
        <v>120</v>
      </c>
      <c r="J1752" s="18"/>
      <c r="K1752" s="20"/>
      <c r="L1752" s="20"/>
      <c r="M1752" s="18"/>
      <c r="N1752" s="18"/>
    </row>
    <row r="1753">
      <c r="A1753" s="18"/>
      <c r="B1753" s="18" t="s">
        <v>661</v>
      </c>
      <c r="C1753" s="18" t="s">
        <v>662</v>
      </c>
      <c r="D1753" s="18">
        <v>0.316666667</v>
      </c>
      <c r="E1753" s="19">
        <v>43424.0</v>
      </c>
      <c r="F1753" s="18" t="s">
        <v>81</v>
      </c>
      <c r="G1753" s="18"/>
      <c r="H1753" s="18" t="s">
        <v>302</v>
      </c>
      <c r="I1753" s="18" t="s">
        <v>81</v>
      </c>
      <c r="J1753" s="18"/>
      <c r="K1753" s="20"/>
      <c r="L1753" s="20"/>
      <c r="M1753" s="18"/>
      <c r="N1753" s="18"/>
    </row>
    <row r="1754">
      <c r="A1754" s="18"/>
      <c r="B1754" s="18" t="s">
        <v>391</v>
      </c>
      <c r="C1754" s="18" t="s">
        <v>392</v>
      </c>
      <c r="D1754" s="18">
        <v>5.166666667</v>
      </c>
      <c r="E1754" s="19">
        <v>43424.0</v>
      </c>
      <c r="F1754" s="18" t="s">
        <v>81</v>
      </c>
      <c r="G1754" s="18"/>
      <c r="H1754" s="18" t="s">
        <v>302</v>
      </c>
      <c r="I1754" s="18" t="s">
        <v>81</v>
      </c>
      <c r="J1754" s="18"/>
      <c r="K1754" s="20"/>
      <c r="L1754" s="20"/>
      <c r="M1754" s="18"/>
      <c r="N1754" s="18"/>
    </row>
    <row r="1755">
      <c r="A1755" s="18"/>
      <c r="B1755" s="18" t="s">
        <v>673</v>
      </c>
      <c r="C1755" s="18" t="s">
        <v>674</v>
      </c>
      <c r="D1755" s="18">
        <v>0.15</v>
      </c>
      <c r="E1755" s="19">
        <v>43424.0</v>
      </c>
      <c r="F1755" s="18" t="s">
        <v>81</v>
      </c>
      <c r="G1755" s="18"/>
      <c r="H1755" s="18" t="s">
        <v>164</v>
      </c>
      <c r="I1755" s="18" t="s">
        <v>132</v>
      </c>
      <c r="J1755" s="18"/>
      <c r="K1755" s="20"/>
      <c r="L1755" s="20"/>
      <c r="M1755" s="18"/>
      <c r="N1755" s="18"/>
    </row>
    <row r="1756">
      <c r="A1756" s="18"/>
      <c r="B1756" s="18" t="s">
        <v>667</v>
      </c>
      <c r="C1756" s="18" t="s">
        <v>668</v>
      </c>
      <c r="D1756" s="18">
        <v>1.166666667</v>
      </c>
      <c r="E1756" s="19">
        <v>43424.0</v>
      </c>
      <c r="F1756" s="18" t="s">
        <v>81</v>
      </c>
      <c r="G1756" s="18"/>
      <c r="H1756" s="18" t="s">
        <v>88</v>
      </c>
      <c r="I1756" s="18" t="s">
        <v>93</v>
      </c>
      <c r="J1756" s="18"/>
      <c r="K1756" s="20"/>
      <c r="L1756" s="20"/>
      <c r="M1756" s="18"/>
      <c r="N1756" s="18"/>
    </row>
    <row r="1757">
      <c r="A1757" s="18"/>
      <c r="B1757" s="18" t="s">
        <v>681</v>
      </c>
      <c r="C1757" s="18" t="s">
        <v>682</v>
      </c>
      <c r="D1757" s="18">
        <v>1.1</v>
      </c>
      <c r="E1757" s="19">
        <v>43424.0</v>
      </c>
      <c r="F1757" s="18" t="s">
        <v>81</v>
      </c>
      <c r="G1757" s="18"/>
      <c r="H1757" s="18" t="s">
        <v>234</v>
      </c>
      <c r="I1757" s="18" t="s">
        <v>93</v>
      </c>
      <c r="J1757" s="18"/>
      <c r="K1757" s="20"/>
      <c r="L1757" s="20"/>
      <c r="M1757" s="18"/>
      <c r="N1757" s="18"/>
    </row>
    <row r="1758">
      <c r="A1758" s="18"/>
      <c r="B1758" s="18" t="s">
        <v>143</v>
      </c>
      <c r="C1758" s="18" t="s">
        <v>144</v>
      </c>
      <c r="D1758" s="18">
        <v>0.216666667</v>
      </c>
      <c r="E1758" s="19">
        <v>43425.0</v>
      </c>
      <c r="F1758" s="18" t="s">
        <v>81</v>
      </c>
      <c r="G1758" s="18"/>
      <c r="H1758" s="18" t="s">
        <v>119</v>
      </c>
      <c r="I1758" s="18" t="s">
        <v>120</v>
      </c>
      <c r="J1758" s="18"/>
      <c r="K1758" s="20"/>
      <c r="L1758" s="20"/>
      <c r="M1758" s="18"/>
      <c r="N1758" s="18"/>
    </row>
    <row r="1759">
      <c r="A1759" s="18"/>
      <c r="B1759" s="18" t="s">
        <v>117</v>
      </c>
      <c r="C1759" s="18" t="s">
        <v>118</v>
      </c>
      <c r="D1759" s="18">
        <v>0.133333333</v>
      </c>
      <c r="E1759" s="19">
        <v>43425.0</v>
      </c>
      <c r="F1759" s="18" t="s">
        <v>81</v>
      </c>
      <c r="G1759" s="18"/>
      <c r="H1759" s="18" t="s">
        <v>119</v>
      </c>
      <c r="I1759" s="18" t="s">
        <v>120</v>
      </c>
      <c r="J1759" s="18"/>
      <c r="K1759" s="20"/>
      <c r="L1759" s="20"/>
      <c r="M1759" s="18"/>
      <c r="N1759" s="18"/>
    </row>
    <row r="1760">
      <c r="A1760" s="18"/>
      <c r="B1760" s="18" t="s">
        <v>391</v>
      </c>
      <c r="C1760" s="18" t="s">
        <v>392</v>
      </c>
      <c r="D1760" s="18">
        <v>0.116666667</v>
      </c>
      <c r="E1760" s="19">
        <v>43425.0</v>
      </c>
      <c r="F1760" s="18" t="s">
        <v>81</v>
      </c>
      <c r="G1760" s="18"/>
      <c r="H1760" s="18" t="s">
        <v>302</v>
      </c>
      <c r="I1760" s="18" t="s">
        <v>81</v>
      </c>
      <c r="J1760" s="18"/>
      <c r="K1760" s="20"/>
      <c r="L1760" s="20"/>
      <c r="M1760" s="18"/>
      <c r="N1760" s="18"/>
    </row>
    <row r="1761">
      <c r="A1761" s="18"/>
      <c r="B1761" s="18" t="s">
        <v>667</v>
      </c>
      <c r="C1761" s="18" t="s">
        <v>668</v>
      </c>
      <c r="D1761" s="18">
        <v>2.816666667</v>
      </c>
      <c r="E1761" s="19">
        <v>43425.0</v>
      </c>
      <c r="F1761" s="18" t="s">
        <v>81</v>
      </c>
      <c r="G1761" s="18"/>
      <c r="H1761" s="18" t="s">
        <v>88</v>
      </c>
      <c r="I1761" s="18" t="s">
        <v>93</v>
      </c>
      <c r="J1761" s="18"/>
      <c r="K1761" s="20"/>
      <c r="L1761" s="20"/>
      <c r="M1761" s="18"/>
      <c r="N1761" s="18"/>
    </row>
    <row r="1762">
      <c r="A1762" s="18"/>
      <c r="B1762" s="18" t="s">
        <v>155</v>
      </c>
      <c r="C1762" s="18" t="s">
        <v>156</v>
      </c>
      <c r="D1762" s="18">
        <v>1.183333333</v>
      </c>
      <c r="E1762" s="19">
        <v>43425.0</v>
      </c>
      <c r="F1762" s="18" t="s">
        <v>81</v>
      </c>
      <c r="G1762" s="18"/>
      <c r="H1762" s="18" t="s">
        <v>157</v>
      </c>
      <c r="I1762" s="18" t="s">
        <v>120</v>
      </c>
      <c r="J1762" s="18"/>
      <c r="K1762" s="20"/>
      <c r="L1762" s="20"/>
      <c r="M1762" s="18"/>
      <c r="N1762" s="18"/>
    </row>
    <row r="1763">
      <c r="A1763" s="18"/>
      <c r="B1763" s="18" t="s">
        <v>539</v>
      </c>
      <c r="C1763" s="18" t="s">
        <v>540</v>
      </c>
      <c r="D1763" s="18">
        <v>0.516666667</v>
      </c>
      <c r="E1763" s="19">
        <v>43425.0</v>
      </c>
      <c r="F1763" s="18" t="s">
        <v>81</v>
      </c>
      <c r="G1763" s="18"/>
      <c r="H1763" s="18" t="s">
        <v>187</v>
      </c>
      <c r="I1763" s="17" t="s">
        <v>541</v>
      </c>
      <c r="J1763" s="18"/>
      <c r="K1763" s="20"/>
      <c r="L1763" s="20"/>
      <c r="M1763" s="18"/>
      <c r="N1763" s="18"/>
    </row>
    <row r="1764">
      <c r="A1764" s="18"/>
      <c r="B1764" s="18" t="s">
        <v>681</v>
      </c>
      <c r="C1764" s="18" t="s">
        <v>682</v>
      </c>
      <c r="D1764" s="18">
        <v>1.65</v>
      </c>
      <c r="E1764" s="19">
        <v>43425.0</v>
      </c>
      <c r="F1764" s="18" t="s">
        <v>81</v>
      </c>
      <c r="G1764" s="18"/>
      <c r="H1764" s="18" t="s">
        <v>234</v>
      </c>
      <c r="I1764" s="18" t="s">
        <v>93</v>
      </c>
      <c r="J1764" s="18"/>
      <c r="K1764" s="20"/>
      <c r="L1764" s="20"/>
      <c r="M1764" s="18"/>
      <c r="N1764" s="18"/>
    </row>
    <row r="1765">
      <c r="A1765" s="18"/>
      <c r="B1765" s="18" t="s">
        <v>185</v>
      </c>
      <c r="C1765" s="18" t="s">
        <v>186</v>
      </c>
      <c r="D1765" s="18">
        <v>1.083333333</v>
      </c>
      <c r="E1765" s="19">
        <v>43425.0</v>
      </c>
      <c r="F1765" s="18" t="s">
        <v>81</v>
      </c>
      <c r="G1765" s="18" t="s">
        <v>187</v>
      </c>
      <c r="H1765" s="18"/>
      <c r="I1765" s="18" t="s">
        <v>77</v>
      </c>
      <c r="J1765" s="18"/>
      <c r="K1765" s="20"/>
      <c r="L1765" s="20"/>
      <c r="M1765" s="18"/>
      <c r="N1765" s="18"/>
    </row>
    <row r="1766">
      <c r="A1766" s="18"/>
      <c r="B1766" s="18" t="s">
        <v>551</v>
      </c>
      <c r="C1766" s="18" t="s">
        <v>552</v>
      </c>
      <c r="D1766" s="18">
        <v>1.0</v>
      </c>
      <c r="E1766" s="19">
        <v>43424.0</v>
      </c>
      <c r="F1766" s="18" t="s">
        <v>77</v>
      </c>
      <c r="G1766" s="18"/>
      <c r="H1766" s="18" t="s">
        <v>553</v>
      </c>
      <c r="I1766" s="18" t="s">
        <v>554</v>
      </c>
      <c r="J1766" s="18"/>
      <c r="K1766" s="20"/>
      <c r="L1766" s="20"/>
      <c r="M1766" s="18"/>
      <c r="N1766" s="18"/>
    </row>
    <row r="1767">
      <c r="A1767" s="18"/>
      <c r="B1767" s="18" t="s">
        <v>683</v>
      </c>
      <c r="C1767" s="18" t="s">
        <v>684</v>
      </c>
      <c r="D1767" s="18">
        <v>1.0</v>
      </c>
      <c r="E1767" s="19">
        <v>43424.0</v>
      </c>
      <c r="F1767" s="18" t="s">
        <v>77</v>
      </c>
      <c r="G1767" s="18"/>
      <c r="H1767" s="18" t="s">
        <v>553</v>
      </c>
      <c r="I1767" s="18" t="s">
        <v>77</v>
      </c>
      <c r="J1767" s="18"/>
      <c r="K1767" s="20"/>
      <c r="L1767" s="20"/>
      <c r="M1767" s="18"/>
      <c r="N1767" s="18"/>
    </row>
    <row r="1768">
      <c r="A1768" s="18"/>
      <c r="B1768" s="18" t="s">
        <v>609</v>
      </c>
      <c r="C1768" s="18" t="s">
        <v>610</v>
      </c>
      <c r="D1768" s="18">
        <v>0.5</v>
      </c>
      <c r="E1768" s="19">
        <v>43425.0</v>
      </c>
      <c r="F1768" s="18" t="s">
        <v>77</v>
      </c>
      <c r="G1768" s="18"/>
      <c r="H1768" s="18" t="s">
        <v>302</v>
      </c>
      <c r="I1768" s="18" t="s">
        <v>132</v>
      </c>
      <c r="J1768" s="18"/>
      <c r="K1768" s="20"/>
      <c r="L1768" s="20"/>
      <c r="M1768" s="18"/>
      <c r="N1768" s="18"/>
    </row>
    <row r="1769">
      <c r="A1769" s="18"/>
      <c r="B1769" s="18" t="s">
        <v>685</v>
      </c>
      <c r="C1769" s="18" t="s">
        <v>686</v>
      </c>
      <c r="D1769" s="18">
        <v>0.5</v>
      </c>
      <c r="E1769" s="19">
        <v>43423.0</v>
      </c>
      <c r="F1769" s="18" t="s">
        <v>77</v>
      </c>
      <c r="G1769" s="18"/>
      <c r="H1769" s="18" t="s">
        <v>187</v>
      </c>
      <c r="I1769" s="18" t="s">
        <v>77</v>
      </c>
      <c r="J1769" s="18"/>
      <c r="K1769" s="20"/>
      <c r="L1769" s="20"/>
      <c r="M1769" s="18"/>
      <c r="N1769" s="18"/>
    </row>
    <row r="1770">
      <c r="A1770" s="18"/>
      <c r="B1770" s="18" t="s">
        <v>539</v>
      </c>
      <c r="C1770" s="18" t="s">
        <v>540</v>
      </c>
      <c r="D1770" s="18">
        <v>1.0</v>
      </c>
      <c r="E1770" s="19">
        <v>43425.0</v>
      </c>
      <c r="F1770" s="18" t="s">
        <v>77</v>
      </c>
      <c r="G1770" s="18"/>
      <c r="H1770" s="18" t="s">
        <v>187</v>
      </c>
      <c r="I1770" s="17" t="s">
        <v>541</v>
      </c>
      <c r="J1770" s="18"/>
      <c r="K1770" s="20"/>
      <c r="L1770" s="20"/>
      <c r="M1770" s="18"/>
      <c r="N1770" s="18"/>
    </row>
    <row r="1771">
      <c r="A1771" s="18"/>
      <c r="B1771" s="18" t="s">
        <v>294</v>
      </c>
      <c r="C1771" s="18" t="s">
        <v>295</v>
      </c>
      <c r="D1771" s="18">
        <v>1.0</v>
      </c>
      <c r="E1771" s="19">
        <v>43426.0</v>
      </c>
      <c r="F1771" s="18" t="s">
        <v>77</v>
      </c>
      <c r="G1771" s="18"/>
      <c r="H1771" s="18" t="s">
        <v>187</v>
      </c>
      <c r="I1771" s="18" t="s">
        <v>81</v>
      </c>
      <c r="J1771" s="18"/>
      <c r="K1771" s="20"/>
      <c r="L1771" s="20"/>
      <c r="M1771" s="18"/>
      <c r="N1771" s="18"/>
    </row>
    <row r="1772">
      <c r="A1772" s="18"/>
      <c r="B1772" s="18" t="s">
        <v>617</v>
      </c>
      <c r="C1772" s="18" t="s">
        <v>618</v>
      </c>
      <c r="D1772" s="18">
        <v>1.0</v>
      </c>
      <c r="E1772" s="19">
        <v>43426.0</v>
      </c>
      <c r="F1772" s="18" t="s">
        <v>77</v>
      </c>
      <c r="G1772" s="18"/>
      <c r="H1772" s="18" t="s">
        <v>187</v>
      </c>
      <c r="I1772" s="17" t="s">
        <v>541</v>
      </c>
      <c r="J1772" s="18"/>
      <c r="K1772" s="20"/>
      <c r="L1772" s="20"/>
      <c r="M1772" s="18"/>
      <c r="N1772" s="18"/>
    </row>
    <row r="1773">
      <c r="A1773" s="18"/>
      <c r="B1773" s="18" t="s">
        <v>687</v>
      </c>
      <c r="C1773" s="18" t="s">
        <v>688</v>
      </c>
      <c r="D1773" s="18">
        <v>1.0</v>
      </c>
      <c r="E1773" s="19">
        <v>43424.0</v>
      </c>
      <c r="F1773" s="18" t="s">
        <v>77</v>
      </c>
      <c r="G1773" s="18"/>
      <c r="H1773" s="18" t="s">
        <v>553</v>
      </c>
      <c r="I1773" s="18" t="s">
        <v>554</v>
      </c>
      <c r="J1773" s="18"/>
      <c r="K1773" s="20"/>
      <c r="L1773" s="20"/>
      <c r="M1773" s="18"/>
      <c r="N1773" s="18"/>
    </row>
    <row r="1774">
      <c r="A1774" s="18"/>
      <c r="B1774" s="18" t="s">
        <v>594</v>
      </c>
      <c r="C1774" s="18" t="s">
        <v>553</v>
      </c>
      <c r="D1774" s="18">
        <v>0.5</v>
      </c>
      <c r="E1774" s="19">
        <v>43426.0</v>
      </c>
      <c r="F1774" s="18" t="s">
        <v>77</v>
      </c>
      <c r="G1774" s="18" t="s">
        <v>553</v>
      </c>
      <c r="H1774" s="18"/>
      <c r="I1774" s="18" t="s">
        <v>77</v>
      </c>
      <c r="J1774" s="18"/>
      <c r="K1774" s="20"/>
      <c r="L1774" s="20"/>
      <c r="M1774" s="18"/>
      <c r="N1774" s="18"/>
    </row>
    <row r="1775">
      <c r="A1775" s="18"/>
      <c r="B1775" s="18" t="s">
        <v>625</v>
      </c>
      <c r="C1775" s="18" t="s">
        <v>626</v>
      </c>
      <c r="D1775" s="18">
        <v>0.5</v>
      </c>
      <c r="E1775" s="19">
        <v>43427.0</v>
      </c>
      <c r="F1775" s="18" t="s">
        <v>77</v>
      </c>
      <c r="G1775" s="18"/>
      <c r="H1775" s="18" t="s">
        <v>187</v>
      </c>
      <c r="I1775" s="17" t="s">
        <v>541</v>
      </c>
      <c r="J1775" s="18"/>
      <c r="K1775" s="20"/>
      <c r="L1775" s="20"/>
      <c r="M1775" s="18"/>
      <c r="N1775" s="18"/>
    </row>
    <row r="1776">
      <c r="A1776" s="18"/>
      <c r="B1776" s="18" t="s">
        <v>143</v>
      </c>
      <c r="C1776" s="18" t="s">
        <v>144</v>
      </c>
      <c r="D1776" s="18">
        <v>0.083333333</v>
      </c>
      <c r="E1776" s="19">
        <v>43426.0</v>
      </c>
      <c r="F1776" s="18" t="s">
        <v>81</v>
      </c>
      <c r="G1776" s="18"/>
      <c r="H1776" s="18" t="s">
        <v>119</v>
      </c>
      <c r="I1776" s="18" t="s">
        <v>120</v>
      </c>
      <c r="J1776" s="18"/>
      <c r="K1776" s="20"/>
      <c r="L1776" s="20"/>
      <c r="M1776" s="18"/>
      <c r="N1776" s="18"/>
    </row>
    <row r="1777">
      <c r="A1777" s="18"/>
      <c r="B1777" s="18" t="s">
        <v>117</v>
      </c>
      <c r="C1777" s="18" t="s">
        <v>118</v>
      </c>
      <c r="D1777" s="18">
        <v>0.166666667</v>
      </c>
      <c r="E1777" s="19">
        <v>43426.0</v>
      </c>
      <c r="F1777" s="18" t="s">
        <v>81</v>
      </c>
      <c r="G1777" s="18"/>
      <c r="H1777" s="18" t="s">
        <v>119</v>
      </c>
      <c r="I1777" s="18" t="s">
        <v>120</v>
      </c>
      <c r="J1777" s="18"/>
      <c r="K1777" s="20"/>
      <c r="L1777" s="20"/>
      <c r="M1777" s="18"/>
      <c r="N1777" s="18"/>
    </row>
    <row r="1778">
      <c r="A1778" s="18"/>
      <c r="B1778" s="18" t="s">
        <v>667</v>
      </c>
      <c r="C1778" s="18" t="s">
        <v>668</v>
      </c>
      <c r="D1778" s="18">
        <v>1.9</v>
      </c>
      <c r="E1778" s="19">
        <v>43426.0</v>
      </c>
      <c r="F1778" s="18" t="s">
        <v>81</v>
      </c>
      <c r="G1778" s="18"/>
      <c r="H1778" s="18" t="s">
        <v>88</v>
      </c>
      <c r="I1778" s="18" t="s">
        <v>93</v>
      </c>
      <c r="J1778" s="18"/>
      <c r="K1778" s="20"/>
      <c r="L1778" s="20"/>
      <c r="M1778" s="18"/>
      <c r="N1778" s="18"/>
    </row>
    <row r="1779">
      <c r="A1779" s="18"/>
      <c r="B1779" s="18" t="s">
        <v>185</v>
      </c>
      <c r="C1779" s="18" t="s">
        <v>186</v>
      </c>
      <c r="D1779" s="18">
        <v>0.833333333</v>
      </c>
      <c r="E1779" s="19">
        <v>43426.0</v>
      </c>
      <c r="F1779" s="18" t="s">
        <v>81</v>
      </c>
      <c r="G1779" s="18" t="s">
        <v>187</v>
      </c>
      <c r="H1779" s="18"/>
      <c r="I1779" s="18" t="s">
        <v>77</v>
      </c>
      <c r="J1779" s="18"/>
      <c r="K1779" s="20"/>
      <c r="L1779" s="20"/>
      <c r="M1779" s="18"/>
      <c r="N1779" s="18"/>
    </row>
    <row r="1780">
      <c r="A1780" s="18"/>
      <c r="B1780" s="18" t="s">
        <v>391</v>
      </c>
      <c r="C1780" s="18" t="s">
        <v>392</v>
      </c>
      <c r="D1780" s="18">
        <v>4.066666667</v>
      </c>
      <c r="E1780" s="19">
        <v>43426.0</v>
      </c>
      <c r="F1780" s="18" t="s">
        <v>81</v>
      </c>
      <c r="G1780" s="18"/>
      <c r="H1780" s="18" t="s">
        <v>302</v>
      </c>
      <c r="I1780" s="18" t="s">
        <v>81</v>
      </c>
      <c r="J1780" s="18"/>
      <c r="K1780" s="20"/>
      <c r="L1780" s="20"/>
      <c r="M1780" s="18"/>
      <c r="N1780" s="18"/>
    </row>
    <row r="1781">
      <c r="A1781" s="18"/>
      <c r="B1781" s="18" t="s">
        <v>123</v>
      </c>
      <c r="C1781" s="18" t="s">
        <v>124</v>
      </c>
      <c r="D1781" s="18">
        <v>0.25</v>
      </c>
      <c r="E1781" s="19">
        <v>43426.0</v>
      </c>
      <c r="F1781" s="18" t="s">
        <v>81</v>
      </c>
      <c r="G1781" s="18"/>
      <c r="H1781" s="18" t="s">
        <v>125</v>
      </c>
      <c r="I1781" s="18" t="s">
        <v>120</v>
      </c>
      <c r="J1781" s="18"/>
      <c r="K1781" s="20"/>
      <c r="L1781" s="20"/>
      <c r="M1781" s="18"/>
      <c r="N1781" s="18"/>
    </row>
    <row r="1782">
      <c r="A1782" s="18"/>
      <c r="B1782" s="18" t="s">
        <v>689</v>
      </c>
      <c r="C1782" s="18" t="s">
        <v>690</v>
      </c>
      <c r="D1782" s="18">
        <v>0.8</v>
      </c>
      <c r="E1782" s="19">
        <v>43426.0</v>
      </c>
      <c r="F1782" s="18" t="s">
        <v>81</v>
      </c>
      <c r="G1782" s="18"/>
      <c r="H1782" s="18"/>
      <c r="I1782" s="18" t="s">
        <v>77</v>
      </c>
      <c r="J1782" s="18"/>
      <c r="K1782" s="20"/>
      <c r="L1782" s="20"/>
      <c r="M1782" s="18"/>
      <c r="N1782" s="18"/>
    </row>
    <row r="1783">
      <c r="A1783" s="18"/>
      <c r="B1783" s="18" t="s">
        <v>143</v>
      </c>
      <c r="C1783" s="18" t="s">
        <v>144</v>
      </c>
      <c r="D1783" s="18">
        <v>0.366666667</v>
      </c>
      <c r="E1783" s="19">
        <v>43427.0</v>
      </c>
      <c r="F1783" s="18" t="s">
        <v>81</v>
      </c>
      <c r="G1783" s="18"/>
      <c r="H1783" s="18" t="s">
        <v>119</v>
      </c>
      <c r="I1783" s="18" t="s">
        <v>120</v>
      </c>
      <c r="J1783" s="18"/>
      <c r="K1783" s="20"/>
      <c r="L1783" s="20"/>
      <c r="M1783" s="18"/>
      <c r="N1783" s="18"/>
    </row>
    <row r="1784">
      <c r="A1784" s="18"/>
      <c r="B1784" s="18" t="s">
        <v>117</v>
      </c>
      <c r="C1784" s="18" t="s">
        <v>118</v>
      </c>
      <c r="D1784" s="18">
        <v>0.083333333</v>
      </c>
      <c r="E1784" s="19">
        <v>43427.0</v>
      </c>
      <c r="F1784" s="18" t="s">
        <v>81</v>
      </c>
      <c r="G1784" s="18"/>
      <c r="H1784" s="18" t="s">
        <v>119</v>
      </c>
      <c r="I1784" s="18" t="s">
        <v>120</v>
      </c>
      <c r="J1784" s="18"/>
      <c r="K1784" s="20"/>
      <c r="L1784" s="20"/>
      <c r="M1784" s="18"/>
      <c r="N1784" s="18"/>
    </row>
    <row r="1785">
      <c r="A1785" s="18"/>
      <c r="B1785" s="18" t="s">
        <v>681</v>
      </c>
      <c r="C1785" s="18" t="s">
        <v>682</v>
      </c>
      <c r="D1785" s="18">
        <v>1.05</v>
      </c>
      <c r="E1785" s="19">
        <v>43427.0</v>
      </c>
      <c r="F1785" s="18" t="s">
        <v>81</v>
      </c>
      <c r="G1785" s="18"/>
      <c r="H1785" s="18" t="s">
        <v>234</v>
      </c>
      <c r="I1785" s="18" t="s">
        <v>93</v>
      </c>
      <c r="J1785" s="18"/>
      <c r="K1785" s="20"/>
      <c r="L1785" s="20"/>
      <c r="M1785" s="18"/>
      <c r="N1785" s="18"/>
    </row>
    <row r="1786">
      <c r="A1786" s="18"/>
      <c r="B1786" s="18" t="s">
        <v>619</v>
      </c>
      <c r="C1786" s="18" t="s">
        <v>620</v>
      </c>
      <c r="D1786" s="18">
        <v>5.0</v>
      </c>
      <c r="E1786" s="19">
        <v>43427.0</v>
      </c>
      <c r="F1786" s="18" t="s">
        <v>81</v>
      </c>
      <c r="G1786" s="18"/>
      <c r="H1786" s="18" t="s">
        <v>302</v>
      </c>
      <c r="I1786" s="18" t="s">
        <v>89</v>
      </c>
      <c r="J1786" s="18"/>
      <c r="K1786" s="20"/>
      <c r="L1786" s="20"/>
      <c r="M1786" s="18"/>
      <c r="N1786" s="18"/>
    </row>
    <row r="1787">
      <c r="A1787" s="18"/>
      <c r="B1787" s="18" t="s">
        <v>691</v>
      </c>
      <c r="C1787" s="18" t="s">
        <v>692</v>
      </c>
      <c r="D1787" s="18">
        <v>0.966666667</v>
      </c>
      <c r="E1787" s="19">
        <v>43427.0</v>
      </c>
      <c r="F1787" s="18" t="s">
        <v>81</v>
      </c>
      <c r="G1787" s="18"/>
      <c r="H1787" s="18"/>
      <c r="I1787" s="18" t="s">
        <v>81</v>
      </c>
      <c r="J1787" s="18"/>
      <c r="K1787" s="20"/>
      <c r="L1787" s="20"/>
      <c r="M1787" s="18"/>
      <c r="N1787" s="18"/>
    </row>
    <row r="1788">
      <c r="A1788" s="18"/>
      <c r="B1788" s="18" t="s">
        <v>143</v>
      </c>
      <c r="C1788" s="18" t="s">
        <v>144</v>
      </c>
      <c r="D1788" s="18">
        <v>0.15</v>
      </c>
      <c r="E1788" s="19">
        <v>43430.0</v>
      </c>
      <c r="F1788" s="18" t="s">
        <v>81</v>
      </c>
      <c r="G1788" s="18"/>
      <c r="H1788" s="18" t="s">
        <v>119</v>
      </c>
      <c r="I1788" s="18" t="s">
        <v>120</v>
      </c>
      <c r="J1788" s="18"/>
      <c r="K1788" s="20"/>
      <c r="L1788" s="20"/>
      <c r="M1788" s="18"/>
      <c r="N1788" s="18"/>
    </row>
    <row r="1789">
      <c r="A1789" s="18"/>
      <c r="B1789" s="18" t="s">
        <v>117</v>
      </c>
      <c r="C1789" s="18" t="s">
        <v>118</v>
      </c>
      <c r="D1789" s="18">
        <v>0.166666667</v>
      </c>
      <c r="E1789" s="19">
        <v>43430.0</v>
      </c>
      <c r="F1789" s="18" t="s">
        <v>81</v>
      </c>
      <c r="G1789" s="18"/>
      <c r="H1789" s="18" t="s">
        <v>119</v>
      </c>
      <c r="I1789" s="18" t="s">
        <v>120</v>
      </c>
      <c r="J1789" s="18"/>
      <c r="K1789" s="20"/>
      <c r="L1789" s="20"/>
      <c r="M1789" s="18"/>
      <c r="N1789" s="18"/>
    </row>
    <row r="1790">
      <c r="A1790" s="18"/>
      <c r="B1790" s="18" t="s">
        <v>158</v>
      </c>
      <c r="C1790" s="18" t="s">
        <v>159</v>
      </c>
      <c r="D1790" s="18">
        <v>1.8</v>
      </c>
      <c r="E1790" s="19">
        <v>43430.0</v>
      </c>
      <c r="F1790" s="18" t="s">
        <v>81</v>
      </c>
      <c r="G1790" s="18"/>
      <c r="H1790" s="18"/>
      <c r="I1790" s="18" t="s">
        <v>81</v>
      </c>
      <c r="J1790" s="18"/>
      <c r="K1790" s="20"/>
      <c r="L1790" s="20"/>
      <c r="M1790" s="18"/>
      <c r="N1790" s="18"/>
    </row>
    <row r="1791">
      <c r="A1791" s="18"/>
      <c r="B1791" s="18" t="s">
        <v>391</v>
      </c>
      <c r="C1791" s="18" t="s">
        <v>392</v>
      </c>
      <c r="D1791" s="18">
        <v>5.05</v>
      </c>
      <c r="E1791" s="19">
        <v>43430.0</v>
      </c>
      <c r="F1791" s="18" t="s">
        <v>81</v>
      </c>
      <c r="G1791" s="18"/>
      <c r="H1791" s="18" t="s">
        <v>302</v>
      </c>
      <c r="I1791" s="18" t="s">
        <v>81</v>
      </c>
      <c r="J1791" s="18"/>
      <c r="K1791" s="20"/>
      <c r="L1791" s="20"/>
      <c r="M1791" s="18"/>
      <c r="N1791" s="18"/>
    </row>
    <row r="1792">
      <c r="A1792" s="18"/>
      <c r="B1792" s="18" t="s">
        <v>571</v>
      </c>
      <c r="C1792" s="18" t="s">
        <v>572</v>
      </c>
      <c r="D1792" s="18">
        <v>0.5</v>
      </c>
      <c r="E1792" s="19">
        <v>43430.0</v>
      </c>
      <c r="F1792" s="18" t="s">
        <v>81</v>
      </c>
      <c r="G1792" s="18"/>
      <c r="H1792" s="18" t="s">
        <v>302</v>
      </c>
      <c r="I1792" s="18" t="s">
        <v>81</v>
      </c>
      <c r="J1792" s="18"/>
      <c r="K1792" s="20"/>
      <c r="L1792" s="20"/>
      <c r="M1792" s="18"/>
      <c r="N1792" s="18"/>
    </row>
    <row r="1793">
      <c r="A1793" s="18"/>
      <c r="B1793" s="18" t="s">
        <v>667</v>
      </c>
      <c r="C1793" s="18" t="s">
        <v>668</v>
      </c>
      <c r="D1793" s="18">
        <v>0.316666667</v>
      </c>
      <c r="E1793" s="19">
        <v>43430.0</v>
      </c>
      <c r="F1793" s="18" t="s">
        <v>81</v>
      </c>
      <c r="G1793" s="18"/>
      <c r="H1793" s="18" t="s">
        <v>88</v>
      </c>
      <c r="I1793" s="18" t="s">
        <v>93</v>
      </c>
      <c r="J1793" s="18"/>
      <c r="K1793" s="20"/>
      <c r="L1793" s="20"/>
      <c r="M1793" s="18"/>
      <c r="N1793" s="18"/>
    </row>
    <row r="1794">
      <c r="A1794" s="18"/>
      <c r="B1794" s="18" t="s">
        <v>681</v>
      </c>
      <c r="C1794" s="18" t="s">
        <v>682</v>
      </c>
      <c r="D1794" s="18">
        <v>0.183333333</v>
      </c>
      <c r="E1794" s="19">
        <v>43430.0</v>
      </c>
      <c r="F1794" s="18" t="s">
        <v>81</v>
      </c>
      <c r="G1794" s="18"/>
      <c r="H1794" s="18" t="s">
        <v>234</v>
      </c>
      <c r="I1794" s="18" t="s">
        <v>93</v>
      </c>
      <c r="J1794" s="18"/>
      <c r="K1794" s="20"/>
      <c r="L1794" s="20"/>
      <c r="M1794" s="18"/>
      <c r="N1794" s="18"/>
    </row>
    <row r="1795">
      <c r="A1795" s="18"/>
      <c r="B1795" s="18" t="s">
        <v>143</v>
      </c>
      <c r="C1795" s="18" t="s">
        <v>144</v>
      </c>
      <c r="D1795" s="18">
        <v>0.133333333</v>
      </c>
      <c r="E1795" s="19">
        <v>43431.0</v>
      </c>
      <c r="F1795" s="18" t="s">
        <v>81</v>
      </c>
      <c r="G1795" s="18"/>
      <c r="H1795" s="18" t="s">
        <v>119</v>
      </c>
      <c r="I1795" s="18" t="s">
        <v>120</v>
      </c>
      <c r="J1795" s="18"/>
      <c r="K1795" s="20"/>
      <c r="L1795" s="20"/>
      <c r="M1795" s="18"/>
      <c r="N1795" s="18"/>
    </row>
    <row r="1796">
      <c r="A1796" s="18"/>
      <c r="B1796" s="18" t="s">
        <v>117</v>
      </c>
      <c r="C1796" s="18" t="s">
        <v>118</v>
      </c>
      <c r="D1796" s="18">
        <v>0.133333333</v>
      </c>
      <c r="E1796" s="19">
        <v>43431.0</v>
      </c>
      <c r="F1796" s="18" t="s">
        <v>81</v>
      </c>
      <c r="G1796" s="18"/>
      <c r="H1796" s="18" t="s">
        <v>119</v>
      </c>
      <c r="I1796" s="18" t="s">
        <v>120</v>
      </c>
      <c r="J1796" s="18"/>
      <c r="K1796" s="20"/>
      <c r="L1796" s="20"/>
      <c r="M1796" s="18"/>
      <c r="N1796" s="18"/>
    </row>
    <row r="1797">
      <c r="A1797" s="18"/>
      <c r="B1797" s="18" t="s">
        <v>391</v>
      </c>
      <c r="C1797" s="18" t="s">
        <v>392</v>
      </c>
      <c r="D1797" s="18">
        <v>6.533333333</v>
      </c>
      <c r="E1797" s="19">
        <v>43431.0</v>
      </c>
      <c r="F1797" s="18" t="s">
        <v>81</v>
      </c>
      <c r="G1797" s="18"/>
      <c r="H1797" s="18" t="s">
        <v>302</v>
      </c>
      <c r="I1797" s="18" t="s">
        <v>81</v>
      </c>
      <c r="J1797" s="18"/>
      <c r="K1797" s="20"/>
      <c r="L1797" s="20"/>
      <c r="M1797" s="18"/>
      <c r="N1797" s="18"/>
    </row>
    <row r="1798">
      <c r="A1798" s="18"/>
      <c r="B1798" s="18" t="s">
        <v>693</v>
      </c>
      <c r="C1798" s="18" t="s">
        <v>694</v>
      </c>
      <c r="D1798" s="18">
        <v>0.283333333</v>
      </c>
      <c r="E1798" s="19">
        <v>43431.0</v>
      </c>
      <c r="F1798" s="18" t="s">
        <v>81</v>
      </c>
      <c r="G1798" s="18"/>
      <c r="H1798" s="18"/>
      <c r="I1798" s="18" t="s">
        <v>81</v>
      </c>
      <c r="J1798" s="18"/>
      <c r="K1798" s="20"/>
      <c r="L1798" s="20"/>
      <c r="M1798" s="18"/>
      <c r="N1798" s="18"/>
    </row>
    <row r="1799">
      <c r="A1799" s="18"/>
      <c r="B1799" s="18" t="s">
        <v>691</v>
      </c>
      <c r="C1799" s="18" t="s">
        <v>692</v>
      </c>
      <c r="D1799" s="18">
        <v>1.266666667</v>
      </c>
      <c r="E1799" s="19">
        <v>43431.0</v>
      </c>
      <c r="F1799" s="18" t="s">
        <v>81</v>
      </c>
      <c r="G1799" s="18"/>
      <c r="H1799" s="18"/>
      <c r="I1799" s="18" t="s">
        <v>81</v>
      </c>
      <c r="J1799" s="18"/>
      <c r="K1799" s="20"/>
      <c r="L1799" s="20"/>
      <c r="M1799" s="18"/>
      <c r="N1799" s="18"/>
    </row>
    <row r="1800">
      <c r="A1800" s="18"/>
      <c r="B1800" s="18" t="s">
        <v>185</v>
      </c>
      <c r="C1800" s="18" t="s">
        <v>186</v>
      </c>
      <c r="D1800" s="18">
        <v>0.783333333</v>
      </c>
      <c r="E1800" s="19">
        <v>43432.0</v>
      </c>
      <c r="F1800" s="18" t="s">
        <v>81</v>
      </c>
      <c r="G1800" s="18" t="s">
        <v>187</v>
      </c>
      <c r="H1800" s="18"/>
      <c r="I1800" s="18" t="s">
        <v>77</v>
      </c>
      <c r="J1800" s="18"/>
      <c r="K1800" s="20"/>
      <c r="L1800" s="20"/>
      <c r="M1800" s="18"/>
      <c r="N1800" s="18"/>
    </row>
    <row r="1801">
      <c r="A1801" s="18"/>
      <c r="B1801" s="18" t="s">
        <v>391</v>
      </c>
      <c r="C1801" s="18" t="s">
        <v>392</v>
      </c>
      <c r="D1801" s="18">
        <v>0.533333333</v>
      </c>
      <c r="E1801" s="19">
        <v>43432.0</v>
      </c>
      <c r="F1801" s="18" t="s">
        <v>81</v>
      </c>
      <c r="G1801" s="18"/>
      <c r="H1801" s="18" t="s">
        <v>302</v>
      </c>
      <c r="I1801" s="18" t="s">
        <v>81</v>
      </c>
      <c r="J1801" s="18"/>
      <c r="K1801" s="20"/>
      <c r="L1801" s="20"/>
      <c r="M1801" s="18"/>
      <c r="N1801" s="18"/>
    </row>
    <row r="1802">
      <c r="A1802" s="18"/>
      <c r="B1802" s="18" t="s">
        <v>155</v>
      </c>
      <c r="C1802" s="18" t="s">
        <v>156</v>
      </c>
      <c r="D1802" s="18">
        <v>0.5</v>
      </c>
      <c r="E1802" s="19">
        <v>43432.0</v>
      </c>
      <c r="F1802" s="18" t="s">
        <v>81</v>
      </c>
      <c r="G1802" s="18"/>
      <c r="H1802" s="18" t="s">
        <v>157</v>
      </c>
      <c r="I1802" s="18" t="s">
        <v>120</v>
      </c>
      <c r="J1802" s="18"/>
      <c r="K1802" s="20"/>
      <c r="L1802" s="20"/>
      <c r="M1802" s="18"/>
      <c r="N1802" s="18"/>
    </row>
    <row r="1803">
      <c r="A1803" s="18"/>
      <c r="B1803" s="18" t="s">
        <v>117</v>
      </c>
      <c r="C1803" s="18" t="s">
        <v>118</v>
      </c>
      <c r="D1803" s="18">
        <v>0.2</v>
      </c>
      <c r="E1803" s="19">
        <v>43432.0</v>
      </c>
      <c r="F1803" s="18" t="s">
        <v>81</v>
      </c>
      <c r="G1803" s="18"/>
      <c r="H1803" s="18" t="s">
        <v>119</v>
      </c>
      <c r="I1803" s="18" t="s">
        <v>120</v>
      </c>
      <c r="J1803" s="18"/>
      <c r="K1803" s="20"/>
      <c r="L1803" s="20"/>
      <c r="M1803" s="18"/>
      <c r="N1803" s="18"/>
    </row>
    <row r="1804">
      <c r="A1804" s="18"/>
      <c r="B1804" s="18" t="s">
        <v>617</v>
      </c>
      <c r="C1804" s="18" t="s">
        <v>618</v>
      </c>
      <c r="D1804" s="18">
        <v>1.783333333</v>
      </c>
      <c r="E1804" s="19">
        <v>43432.0</v>
      </c>
      <c r="F1804" s="18" t="s">
        <v>81</v>
      </c>
      <c r="G1804" s="18"/>
      <c r="H1804" s="18" t="s">
        <v>187</v>
      </c>
      <c r="I1804" s="17" t="s">
        <v>541</v>
      </c>
      <c r="J1804" s="18"/>
      <c r="K1804" s="20"/>
      <c r="L1804" s="20"/>
      <c r="M1804" s="18"/>
      <c r="N1804" s="18"/>
    </row>
    <row r="1805">
      <c r="A1805" s="18"/>
      <c r="B1805" s="18" t="s">
        <v>693</v>
      </c>
      <c r="C1805" s="18" t="s">
        <v>694</v>
      </c>
      <c r="D1805" s="18">
        <v>2.1</v>
      </c>
      <c r="E1805" s="19">
        <v>43432.0</v>
      </c>
      <c r="F1805" s="18" t="s">
        <v>81</v>
      </c>
      <c r="G1805" s="18"/>
      <c r="H1805" s="18"/>
      <c r="I1805" s="18" t="s">
        <v>81</v>
      </c>
      <c r="J1805" s="18"/>
      <c r="K1805" s="20"/>
      <c r="L1805" s="20"/>
      <c r="M1805" s="18"/>
      <c r="N1805" s="18"/>
    </row>
    <row r="1806">
      <c r="A1806" s="18"/>
      <c r="B1806" s="18" t="s">
        <v>123</v>
      </c>
      <c r="C1806" s="18" t="s">
        <v>124</v>
      </c>
      <c r="D1806" s="18">
        <v>0.316666667</v>
      </c>
      <c r="E1806" s="19">
        <v>43432.0</v>
      </c>
      <c r="F1806" s="18" t="s">
        <v>81</v>
      </c>
      <c r="G1806" s="18"/>
      <c r="H1806" s="18" t="s">
        <v>125</v>
      </c>
      <c r="I1806" s="18" t="s">
        <v>120</v>
      </c>
      <c r="J1806" s="18"/>
      <c r="K1806" s="20"/>
      <c r="L1806" s="20"/>
      <c r="M1806" s="18"/>
      <c r="N1806" s="18"/>
    </row>
    <row r="1807">
      <c r="A1807" s="18"/>
      <c r="B1807" s="18" t="s">
        <v>633</v>
      </c>
      <c r="C1807" s="18" t="s">
        <v>634</v>
      </c>
      <c r="D1807" s="18">
        <v>0.116666667</v>
      </c>
      <c r="E1807" s="19">
        <v>43432.0</v>
      </c>
      <c r="F1807" s="18" t="s">
        <v>81</v>
      </c>
      <c r="G1807" s="18"/>
      <c r="H1807" s="18" t="s">
        <v>437</v>
      </c>
      <c r="I1807" s="18" t="s">
        <v>81</v>
      </c>
      <c r="J1807" s="18"/>
      <c r="K1807" s="20"/>
      <c r="L1807" s="20"/>
      <c r="M1807" s="18"/>
      <c r="N1807" s="18"/>
    </row>
    <row r="1808">
      <c r="A1808" s="18"/>
      <c r="B1808" s="18" t="s">
        <v>667</v>
      </c>
      <c r="C1808" s="18" t="s">
        <v>668</v>
      </c>
      <c r="D1808" s="18">
        <v>0.083333333</v>
      </c>
      <c r="E1808" s="19">
        <v>43432.0</v>
      </c>
      <c r="F1808" s="18" t="s">
        <v>81</v>
      </c>
      <c r="G1808" s="18"/>
      <c r="H1808" s="18" t="s">
        <v>88</v>
      </c>
      <c r="I1808" s="18" t="s">
        <v>93</v>
      </c>
      <c r="J1808" s="18"/>
      <c r="K1808" s="20"/>
      <c r="L1808" s="20"/>
      <c r="M1808" s="18"/>
      <c r="N1808" s="18"/>
    </row>
    <row r="1809">
      <c r="A1809" s="18"/>
      <c r="B1809" s="18" t="s">
        <v>609</v>
      </c>
      <c r="C1809" s="18" t="s">
        <v>610</v>
      </c>
      <c r="D1809" s="18">
        <v>0.066666667</v>
      </c>
      <c r="E1809" s="19">
        <v>43432.0</v>
      </c>
      <c r="F1809" s="18" t="s">
        <v>81</v>
      </c>
      <c r="G1809" s="18"/>
      <c r="H1809" s="18" t="s">
        <v>302</v>
      </c>
      <c r="I1809" s="18" t="s">
        <v>132</v>
      </c>
      <c r="J1809" s="18"/>
      <c r="K1809" s="20"/>
      <c r="L1809" s="20"/>
      <c r="M1809" s="18"/>
      <c r="N1809" s="18"/>
    </row>
    <row r="1810">
      <c r="A1810" s="18"/>
      <c r="B1810" s="18" t="s">
        <v>143</v>
      </c>
      <c r="C1810" s="18" t="s">
        <v>144</v>
      </c>
      <c r="D1810" s="18">
        <v>0.216666667</v>
      </c>
      <c r="E1810" s="19">
        <v>43433.0</v>
      </c>
      <c r="F1810" s="18" t="s">
        <v>81</v>
      </c>
      <c r="G1810" s="18"/>
      <c r="H1810" s="18" t="s">
        <v>119</v>
      </c>
      <c r="I1810" s="18" t="s">
        <v>120</v>
      </c>
      <c r="J1810" s="18"/>
      <c r="K1810" s="20"/>
      <c r="L1810" s="20"/>
      <c r="M1810" s="18"/>
      <c r="N1810" s="18"/>
    </row>
    <row r="1811">
      <c r="A1811" s="18"/>
      <c r="B1811" s="18" t="s">
        <v>117</v>
      </c>
      <c r="C1811" s="18" t="s">
        <v>118</v>
      </c>
      <c r="D1811" s="18">
        <v>0.116666667</v>
      </c>
      <c r="E1811" s="19">
        <v>43433.0</v>
      </c>
      <c r="F1811" s="18" t="s">
        <v>81</v>
      </c>
      <c r="G1811" s="18"/>
      <c r="H1811" s="18" t="s">
        <v>119</v>
      </c>
      <c r="I1811" s="18" t="s">
        <v>120</v>
      </c>
      <c r="J1811" s="18"/>
      <c r="K1811" s="20"/>
      <c r="L1811" s="20"/>
      <c r="M1811" s="18"/>
      <c r="N1811" s="18"/>
    </row>
    <row r="1812">
      <c r="A1812" s="18"/>
      <c r="B1812" s="18" t="s">
        <v>617</v>
      </c>
      <c r="C1812" s="18" t="s">
        <v>618</v>
      </c>
      <c r="D1812" s="18">
        <v>0.2</v>
      </c>
      <c r="E1812" s="19">
        <v>43433.0</v>
      </c>
      <c r="F1812" s="18" t="s">
        <v>81</v>
      </c>
      <c r="G1812" s="18"/>
      <c r="H1812" s="18" t="s">
        <v>187</v>
      </c>
      <c r="I1812" s="17" t="s">
        <v>541</v>
      </c>
      <c r="J1812" s="18"/>
      <c r="K1812" s="20"/>
      <c r="L1812" s="20"/>
      <c r="M1812" s="18"/>
      <c r="N1812" s="18"/>
    </row>
    <row r="1813">
      <c r="A1813" s="18"/>
      <c r="B1813" s="18" t="s">
        <v>391</v>
      </c>
      <c r="C1813" s="18" t="s">
        <v>392</v>
      </c>
      <c r="D1813" s="18">
        <v>4.0</v>
      </c>
      <c r="E1813" s="19">
        <v>43433.0</v>
      </c>
      <c r="F1813" s="18" t="s">
        <v>81</v>
      </c>
      <c r="G1813" s="18"/>
      <c r="H1813" s="18" t="s">
        <v>302</v>
      </c>
      <c r="I1813" s="18" t="s">
        <v>81</v>
      </c>
      <c r="J1813" s="18"/>
      <c r="K1813" s="20"/>
      <c r="L1813" s="20"/>
      <c r="M1813" s="18"/>
      <c r="N1813" s="18"/>
    </row>
    <row r="1814">
      <c r="A1814" s="18"/>
      <c r="B1814" s="18" t="s">
        <v>693</v>
      </c>
      <c r="C1814" s="18" t="s">
        <v>694</v>
      </c>
      <c r="D1814" s="18">
        <v>2.766666667</v>
      </c>
      <c r="E1814" s="19">
        <v>43433.0</v>
      </c>
      <c r="F1814" s="18" t="s">
        <v>81</v>
      </c>
      <c r="G1814" s="18"/>
      <c r="H1814" s="18"/>
      <c r="I1814" s="18" t="s">
        <v>81</v>
      </c>
      <c r="J1814" s="18"/>
      <c r="K1814" s="20"/>
      <c r="L1814" s="20"/>
      <c r="M1814" s="18"/>
      <c r="N1814" s="18"/>
    </row>
    <row r="1815">
      <c r="A1815" s="18"/>
      <c r="B1815" s="18" t="s">
        <v>594</v>
      </c>
      <c r="C1815" s="18" t="s">
        <v>553</v>
      </c>
      <c r="D1815" s="18">
        <v>3.0</v>
      </c>
      <c r="E1815" s="19">
        <v>43434.0</v>
      </c>
      <c r="F1815" s="18" t="s">
        <v>77</v>
      </c>
      <c r="G1815" s="18" t="s">
        <v>553</v>
      </c>
      <c r="H1815" s="18"/>
      <c r="I1815" s="18" t="s">
        <v>77</v>
      </c>
      <c r="J1815" s="18"/>
      <c r="K1815" s="20"/>
      <c r="L1815" s="20"/>
      <c r="M1815" s="18"/>
      <c r="N1815" s="18"/>
    </row>
    <row r="1816">
      <c r="A1816" s="18"/>
      <c r="B1816" s="18" t="s">
        <v>687</v>
      </c>
      <c r="C1816" s="18" t="s">
        <v>688</v>
      </c>
      <c r="D1816" s="18">
        <v>2.0</v>
      </c>
      <c r="E1816" s="19">
        <v>43434.0</v>
      </c>
      <c r="F1816" s="18" t="s">
        <v>77</v>
      </c>
      <c r="G1816" s="18"/>
      <c r="H1816" s="18" t="s">
        <v>553</v>
      </c>
      <c r="I1816" s="18" t="s">
        <v>554</v>
      </c>
      <c r="J1816" s="18"/>
      <c r="K1816" s="20"/>
      <c r="L1816" s="20"/>
      <c r="M1816" s="18"/>
      <c r="N1816" s="18"/>
    </row>
    <row r="1817">
      <c r="A1817" s="18"/>
      <c r="B1817" s="18" t="s">
        <v>695</v>
      </c>
      <c r="C1817" s="18" t="s">
        <v>696</v>
      </c>
      <c r="D1817" s="18">
        <v>1.0</v>
      </c>
      <c r="E1817" s="19">
        <v>43434.0</v>
      </c>
      <c r="F1817" s="18" t="s">
        <v>77</v>
      </c>
      <c r="G1817" s="18"/>
      <c r="H1817" s="18" t="s">
        <v>553</v>
      </c>
      <c r="I1817" s="18" t="s">
        <v>77</v>
      </c>
      <c r="J1817" s="18"/>
      <c r="K1817" s="20"/>
      <c r="L1817" s="20"/>
      <c r="M1817" s="18"/>
      <c r="N1817" s="18"/>
    </row>
    <row r="1818">
      <c r="A1818" s="18"/>
      <c r="B1818" s="18" t="s">
        <v>411</v>
      </c>
      <c r="C1818" s="18" t="s">
        <v>412</v>
      </c>
      <c r="D1818" s="18">
        <v>3.0</v>
      </c>
      <c r="E1818" s="19">
        <v>43432.0</v>
      </c>
      <c r="F1818" s="18" t="s">
        <v>77</v>
      </c>
      <c r="G1818" s="18"/>
      <c r="H1818" s="18" t="s">
        <v>187</v>
      </c>
      <c r="I1818" s="18" t="s">
        <v>81</v>
      </c>
      <c r="J1818" s="18"/>
      <c r="K1818" s="20"/>
      <c r="L1818" s="20"/>
      <c r="M1818" s="18"/>
      <c r="N1818" s="18"/>
    </row>
    <row r="1819">
      <c r="A1819" s="18"/>
      <c r="B1819" s="18" t="s">
        <v>143</v>
      </c>
      <c r="C1819" s="18" t="s">
        <v>144</v>
      </c>
      <c r="D1819" s="18">
        <v>0.033333333</v>
      </c>
      <c r="E1819" s="19">
        <v>43434.0</v>
      </c>
      <c r="F1819" s="18" t="s">
        <v>81</v>
      </c>
      <c r="G1819" s="18"/>
      <c r="H1819" s="18" t="s">
        <v>119</v>
      </c>
      <c r="I1819" s="18" t="s">
        <v>120</v>
      </c>
      <c r="J1819" s="18"/>
      <c r="K1819" s="20"/>
      <c r="L1819" s="20"/>
      <c r="M1819" s="18"/>
      <c r="N1819" s="18"/>
    </row>
    <row r="1820">
      <c r="A1820" s="18"/>
      <c r="B1820" s="18" t="s">
        <v>123</v>
      </c>
      <c r="C1820" s="18" t="s">
        <v>124</v>
      </c>
      <c r="D1820" s="18">
        <v>0.233333333</v>
      </c>
      <c r="E1820" s="19">
        <v>43434.0</v>
      </c>
      <c r="F1820" s="18" t="s">
        <v>81</v>
      </c>
      <c r="G1820" s="18"/>
      <c r="H1820" s="18" t="s">
        <v>125</v>
      </c>
      <c r="I1820" s="18" t="s">
        <v>120</v>
      </c>
      <c r="J1820" s="18"/>
      <c r="K1820" s="20"/>
      <c r="L1820" s="20"/>
      <c r="M1820" s="18"/>
      <c r="N1820" s="18"/>
    </row>
    <row r="1821">
      <c r="A1821" s="18"/>
      <c r="B1821" s="18" t="s">
        <v>117</v>
      </c>
      <c r="C1821" s="18" t="s">
        <v>118</v>
      </c>
      <c r="D1821" s="18">
        <v>0.133333333</v>
      </c>
      <c r="E1821" s="19">
        <v>43434.0</v>
      </c>
      <c r="F1821" s="18" t="s">
        <v>81</v>
      </c>
      <c r="G1821" s="18"/>
      <c r="H1821" s="18" t="s">
        <v>119</v>
      </c>
      <c r="I1821" s="18" t="s">
        <v>120</v>
      </c>
      <c r="J1821" s="18"/>
      <c r="K1821" s="20"/>
      <c r="L1821" s="20"/>
      <c r="M1821" s="18"/>
      <c r="N1821" s="18"/>
    </row>
    <row r="1822">
      <c r="A1822" s="18"/>
      <c r="B1822" s="18" t="s">
        <v>185</v>
      </c>
      <c r="C1822" s="18" t="s">
        <v>186</v>
      </c>
      <c r="D1822" s="18">
        <v>2.4</v>
      </c>
      <c r="E1822" s="19">
        <v>43434.0</v>
      </c>
      <c r="F1822" s="18" t="s">
        <v>81</v>
      </c>
      <c r="G1822" s="18" t="s">
        <v>187</v>
      </c>
      <c r="H1822" s="18"/>
      <c r="I1822" s="18" t="s">
        <v>77</v>
      </c>
      <c r="J1822" s="18"/>
      <c r="K1822" s="20"/>
      <c r="L1822" s="20"/>
      <c r="M1822" s="18"/>
      <c r="N1822" s="18"/>
    </row>
    <row r="1823">
      <c r="A1823" s="18"/>
      <c r="B1823" s="18" t="s">
        <v>693</v>
      </c>
      <c r="C1823" s="18" t="s">
        <v>694</v>
      </c>
      <c r="D1823" s="18">
        <v>2.133333333</v>
      </c>
      <c r="E1823" s="19">
        <v>43434.0</v>
      </c>
      <c r="F1823" s="18" t="s">
        <v>81</v>
      </c>
      <c r="G1823" s="18"/>
      <c r="H1823" s="18"/>
      <c r="I1823" s="18" t="s">
        <v>81</v>
      </c>
      <c r="J1823" s="18"/>
      <c r="K1823" s="20"/>
      <c r="L1823" s="20"/>
      <c r="M1823" s="18"/>
      <c r="N1823" s="18"/>
    </row>
    <row r="1824">
      <c r="A1824" s="18"/>
      <c r="B1824" s="18" t="s">
        <v>697</v>
      </c>
      <c r="C1824" s="18" t="s">
        <v>698</v>
      </c>
      <c r="D1824" s="18">
        <v>2.233333333</v>
      </c>
      <c r="E1824" s="19">
        <v>43434.0</v>
      </c>
      <c r="F1824" s="18" t="s">
        <v>81</v>
      </c>
      <c r="G1824" s="18"/>
      <c r="H1824" s="18"/>
      <c r="I1824" s="18" t="s">
        <v>78</v>
      </c>
      <c r="J1824" s="18"/>
      <c r="K1824" s="20"/>
      <c r="L1824" s="20"/>
      <c r="M1824" s="18"/>
      <c r="N1824" s="18"/>
    </row>
    <row r="1825">
      <c r="A1825" s="18"/>
      <c r="B1825" s="18" t="s">
        <v>294</v>
      </c>
      <c r="C1825" s="18" t="s">
        <v>295</v>
      </c>
      <c r="D1825" s="18">
        <v>0.916666667</v>
      </c>
      <c r="E1825" s="19">
        <v>43434.0</v>
      </c>
      <c r="F1825" s="18" t="s">
        <v>81</v>
      </c>
      <c r="G1825" s="18"/>
      <c r="H1825" s="18" t="s">
        <v>187</v>
      </c>
      <c r="I1825" s="18" t="s">
        <v>81</v>
      </c>
      <c r="J1825" s="18"/>
      <c r="K1825" s="20"/>
      <c r="L1825" s="20"/>
      <c r="M1825" s="18"/>
      <c r="N1825" s="18"/>
    </row>
    <row r="1826">
      <c r="A1826" s="18"/>
      <c r="B1826" s="18" t="s">
        <v>627</v>
      </c>
      <c r="C1826" s="18" t="s">
        <v>628</v>
      </c>
      <c r="D1826" s="18">
        <v>0.1</v>
      </c>
      <c r="E1826" s="19">
        <v>43434.0</v>
      </c>
      <c r="F1826" s="18" t="s">
        <v>81</v>
      </c>
      <c r="G1826" s="18"/>
      <c r="H1826" s="18" t="s">
        <v>187</v>
      </c>
      <c r="I1826" s="17" t="s">
        <v>541</v>
      </c>
      <c r="J1826" s="18"/>
      <c r="K1826" s="20"/>
      <c r="L1826" s="20"/>
      <c r="M1826" s="18"/>
      <c r="N1826" s="18"/>
    </row>
    <row r="1827">
      <c r="A1827" s="18"/>
      <c r="B1827" s="18" t="s">
        <v>143</v>
      </c>
      <c r="C1827" s="18" t="s">
        <v>144</v>
      </c>
      <c r="D1827" s="18">
        <v>0.333333333</v>
      </c>
      <c r="E1827" s="21">
        <v>43437.0</v>
      </c>
      <c r="F1827" s="18" t="s">
        <v>81</v>
      </c>
      <c r="G1827" s="18"/>
      <c r="H1827" s="18" t="s">
        <v>119</v>
      </c>
      <c r="I1827" s="18" t="s">
        <v>120</v>
      </c>
      <c r="J1827" s="18"/>
      <c r="K1827" s="20"/>
      <c r="L1827" s="20"/>
      <c r="M1827" s="18"/>
      <c r="N1827" s="18"/>
    </row>
    <row r="1828">
      <c r="A1828" s="18"/>
      <c r="B1828" s="18" t="s">
        <v>117</v>
      </c>
      <c r="C1828" s="18" t="s">
        <v>118</v>
      </c>
      <c r="D1828" s="18">
        <v>0.25</v>
      </c>
      <c r="E1828" s="21">
        <v>43437.0</v>
      </c>
      <c r="F1828" s="18" t="s">
        <v>81</v>
      </c>
      <c r="G1828" s="18"/>
      <c r="H1828" s="18" t="s">
        <v>119</v>
      </c>
      <c r="I1828" s="18" t="s">
        <v>120</v>
      </c>
      <c r="J1828" s="18"/>
      <c r="K1828" s="20"/>
      <c r="L1828" s="20"/>
      <c r="M1828" s="18"/>
      <c r="N1828" s="18"/>
    </row>
    <row r="1829">
      <c r="A1829" s="18"/>
      <c r="B1829" s="18" t="s">
        <v>158</v>
      </c>
      <c r="C1829" s="18" t="s">
        <v>159</v>
      </c>
      <c r="D1829" s="18">
        <v>0.333333333</v>
      </c>
      <c r="E1829" s="21">
        <v>43437.0</v>
      </c>
      <c r="F1829" s="18" t="s">
        <v>81</v>
      </c>
      <c r="G1829" s="18"/>
      <c r="H1829" s="18"/>
      <c r="I1829" s="18" t="s">
        <v>81</v>
      </c>
      <c r="J1829" s="18"/>
      <c r="K1829" s="20"/>
      <c r="L1829" s="20"/>
      <c r="M1829" s="18"/>
      <c r="N1829" s="18"/>
    </row>
    <row r="1830">
      <c r="A1830" s="18"/>
      <c r="B1830" s="18" t="s">
        <v>693</v>
      </c>
      <c r="C1830" s="18" t="s">
        <v>694</v>
      </c>
      <c r="D1830" s="18">
        <v>1.85</v>
      </c>
      <c r="E1830" s="21">
        <v>43437.0</v>
      </c>
      <c r="F1830" s="18" t="s">
        <v>81</v>
      </c>
      <c r="G1830" s="18"/>
      <c r="H1830" s="18"/>
      <c r="I1830" s="18" t="s">
        <v>81</v>
      </c>
      <c r="J1830" s="18"/>
      <c r="K1830" s="20"/>
      <c r="L1830" s="20"/>
      <c r="M1830" s="18"/>
      <c r="N1830" s="18"/>
    </row>
    <row r="1831">
      <c r="A1831" s="18"/>
      <c r="B1831" s="18" t="s">
        <v>185</v>
      </c>
      <c r="C1831" s="18" t="s">
        <v>186</v>
      </c>
      <c r="D1831" s="18">
        <v>1.166666667</v>
      </c>
      <c r="E1831" s="21">
        <v>43437.0</v>
      </c>
      <c r="F1831" s="18" t="s">
        <v>81</v>
      </c>
      <c r="G1831" s="18" t="s">
        <v>187</v>
      </c>
      <c r="H1831" s="18"/>
      <c r="I1831" s="18" t="s">
        <v>77</v>
      </c>
      <c r="J1831" s="18"/>
      <c r="K1831" s="20"/>
      <c r="L1831" s="20"/>
      <c r="M1831" s="18"/>
      <c r="N1831" s="18"/>
    </row>
    <row r="1832">
      <c r="A1832" s="18"/>
      <c r="B1832" s="18" t="s">
        <v>693</v>
      </c>
      <c r="C1832" s="18" t="s">
        <v>694</v>
      </c>
      <c r="D1832" s="18">
        <v>4.5</v>
      </c>
      <c r="E1832" s="21">
        <v>43437.0</v>
      </c>
      <c r="F1832" s="18" t="s">
        <v>81</v>
      </c>
      <c r="G1832" s="18"/>
      <c r="H1832" s="18"/>
      <c r="I1832" s="18" t="s">
        <v>81</v>
      </c>
      <c r="J1832" s="18"/>
      <c r="K1832" s="20"/>
      <c r="L1832" s="20"/>
      <c r="M1832" s="18"/>
      <c r="N1832" s="18"/>
    </row>
    <row r="1833">
      <c r="A1833" s="18"/>
      <c r="B1833" s="18" t="s">
        <v>117</v>
      </c>
      <c r="C1833" s="18" t="s">
        <v>118</v>
      </c>
      <c r="D1833" s="18">
        <v>0.133333333</v>
      </c>
      <c r="E1833" s="21">
        <v>43438.0</v>
      </c>
      <c r="F1833" s="18" t="s">
        <v>81</v>
      </c>
      <c r="G1833" s="18"/>
      <c r="H1833" s="18" t="s">
        <v>119</v>
      </c>
      <c r="I1833" s="18" t="s">
        <v>120</v>
      </c>
      <c r="J1833" s="18"/>
      <c r="K1833" s="20"/>
      <c r="L1833" s="20"/>
      <c r="M1833" s="18"/>
      <c r="N1833" s="18"/>
    </row>
    <row r="1834">
      <c r="A1834" s="18"/>
      <c r="B1834" s="18" t="s">
        <v>693</v>
      </c>
      <c r="C1834" s="18" t="s">
        <v>694</v>
      </c>
      <c r="D1834" s="18">
        <v>1.65</v>
      </c>
      <c r="E1834" s="21">
        <v>43438.0</v>
      </c>
      <c r="F1834" s="18" t="s">
        <v>81</v>
      </c>
      <c r="G1834" s="18"/>
      <c r="H1834" s="18"/>
      <c r="I1834" s="18" t="s">
        <v>81</v>
      </c>
      <c r="J1834" s="18"/>
      <c r="K1834" s="20"/>
      <c r="L1834" s="20"/>
      <c r="M1834" s="18"/>
      <c r="N1834" s="18"/>
    </row>
    <row r="1835">
      <c r="A1835" s="18"/>
      <c r="B1835" s="18" t="s">
        <v>205</v>
      </c>
      <c r="C1835" s="18" t="s">
        <v>206</v>
      </c>
      <c r="D1835" s="18">
        <v>0.116666667</v>
      </c>
      <c r="E1835" s="21">
        <v>43438.0</v>
      </c>
      <c r="F1835" s="18" t="s">
        <v>81</v>
      </c>
      <c r="G1835" s="18"/>
      <c r="H1835" s="18"/>
      <c r="I1835" s="18" t="s">
        <v>77</v>
      </c>
      <c r="J1835" s="18"/>
      <c r="K1835" s="20"/>
      <c r="L1835" s="20"/>
      <c r="M1835" s="18"/>
      <c r="N1835" s="18"/>
    </row>
    <row r="1836">
      <c r="A1836" s="18"/>
      <c r="B1836" s="18" t="s">
        <v>401</v>
      </c>
      <c r="C1836" s="18" t="s">
        <v>402</v>
      </c>
      <c r="D1836" s="18">
        <v>0.133333333</v>
      </c>
      <c r="E1836" s="21">
        <v>43438.0</v>
      </c>
      <c r="F1836" s="18" t="s">
        <v>81</v>
      </c>
      <c r="G1836" s="18"/>
      <c r="H1836" s="18" t="s">
        <v>96</v>
      </c>
      <c r="I1836" s="18" t="s">
        <v>81</v>
      </c>
      <c r="J1836" s="18"/>
      <c r="K1836" s="20"/>
      <c r="L1836" s="20"/>
      <c r="M1836" s="18"/>
      <c r="N1836" s="18"/>
    </row>
    <row r="1837">
      <c r="A1837" s="18"/>
      <c r="B1837" s="18" t="s">
        <v>697</v>
      </c>
      <c r="C1837" s="18" t="s">
        <v>698</v>
      </c>
      <c r="D1837" s="18">
        <v>0.45</v>
      </c>
      <c r="E1837" s="21">
        <v>43438.0</v>
      </c>
      <c r="F1837" s="18" t="s">
        <v>81</v>
      </c>
      <c r="G1837" s="18"/>
      <c r="H1837" s="18"/>
      <c r="I1837" s="18" t="s">
        <v>78</v>
      </c>
      <c r="J1837" s="18"/>
      <c r="K1837" s="20"/>
      <c r="L1837" s="20"/>
      <c r="M1837" s="18"/>
      <c r="N1837" s="18"/>
    </row>
    <row r="1838">
      <c r="A1838" s="18"/>
      <c r="B1838" s="18" t="s">
        <v>185</v>
      </c>
      <c r="C1838" s="18" t="s">
        <v>186</v>
      </c>
      <c r="D1838" s="18">
        <v>0.433333333</v>
      </c>
      <c r="E1838" s="21">
        <v>43438.0</v>
      </c>
      <c r="F1838" s="18" t="s">
        <v>81</v>
      </c>
      <c r="G1838" s="18" t="s">
        <v>187</v>
      </c>
      <c r="H1838" s="18"/>
      <c r="I1838" s="18" t="s">
        <v>77</v>
      </c>
      <c r="J1838" s="18"/>
      <c r="K1838" s="20"/>
      <c r="L1838" s="20"/>
      <c r="M1838" s="18"/>
      <c r="N1838" s="18"/>
    </row>
    <row r="1839">
      <c r="A1839" s="18"/>
      <c r="B1839" s="18" t="s">
        <v>391</v>
      </c>
      <c r="C1839" s="18" t="s">
        <v>392</v>
      </c>
      <c r="D1839" s="18">
        <v>2.1</v>
      </c>
      <c r="E1839" s="21">
        <v>43438.0</v>
      </c>
      <c r="F1839" s="18" t="s">
        <v>81</v>
      </c>
      <c r="G1839" s="18"/>
      <c r="H1839" s="18" t="s">
        <v>302</v>
      </c>
      <c r="I1839" s="18" t="s">
        <v>81</v>
      </c>
      <c r="J1839" s="18"/>
      <c r="K1839" s="20"/>
      <c r="L1839" s="20"/>
      <c r="M1839" s="18"/>
      <c r="N1839" s="18"/>
    </row>
    <row r="1840">
      <c r="A1840" s="18"/>
      <c r="B1840" s="18" t="s">
        <v>667</v>
      </c>
      <c r="C1840" s="18" t="s">
        <v>668</v>
      </c>
      <c r="D1840" s="18">
        <v>2.416666667</v>
      </c>
      <c r="E1840" s="21">
        <v>43438.0</v>
      </c>
      <c r="F1840" s="18" t="s">
        <v>81</v>
      </c>
      <c r="G1840" s="18"/>
      <c r="H1840" s="18" t="s">
        <v>88</v>
      </c>
      <c r="I1840" s="18" t="s">
        <v>93</v>
      </c>
      <c r="J1840" s="18"/>
      <c r="K1840" s="20"/>
      <c r="L1840" s="20"/>
      <c r="M1840" s="18"/>
      <c r="N1840" s="18"/>
    </row>
    <row r="1841">
      <c r="A1841" s="18"/>
      <c r="B1841" s="18" t="s">
        <v>571</v>
      </c>
      <c r="C1841" s="18" t="s">
        <v>572</v>
      </c>
      <c r="D1841" s="18">
        <v>0.316666667</v>
      </c>
      <c r="E1841" s="21">
        <v>43438.0</v>
      </c>
      <c r="F1841" s="18" t="s">
        <v>81</v>
      </c>
      <c r="G1841" s="18"/>
      <c r="H1841" s="18" t="s">
        <v>302</v>
      </c>
      <c r="I1841" s="18" t="s">
        <v>81</v>
      </c>
      <c r="J1841" s="18"/>
      <c r="K1841" s="20"/>
      <c r="L1841" s="20"/>
      <c r="M1841" s="18"/>
      <c r="N1841" s="18"/>
    </row>
    <row r="1842">
      <c r="A1842" s="18"/>
      <c r="B1842" s="18" t="s">
        <v>143</v>
      </c>
      <c r="C1842" s="18" t="s">
        <v>144</v>
      </c>
      <c r="D1842" s="18">
        <v>0.15</v>
      </c>
      <c r="E1842" s="21">
        <v>43438.0</v>
      </c>
      <c r="F1842" s="18" t="s">
        <v>81</v>
      </c>
      <c r="G1842" s="18"/>
      <c r="H1842" s="18" t="s">
        <v>119</v>
      </c>
      <c r="I1842" s="18" t="s">
        <v>120</v>
      </c>
      <c r="J1842" s="18"/>
      <c r="K1842" s="20"/>
      <c r="L1842" s="20"/>
      <c r="M1842" s="18"/>
      <c r="N1842" s="18"/>
    </row>
    <row r="1843">
      <c r="A1843" s="18"/>
      <c r="B1843" s="18" t="s">
        <v>143</v>
      </c>
      <c r="C1843" s="18" t="s">
        <v>144</v>
      </c>
      <c r="D1843" s="18">
        <v>0.2</v>
      </c>
      <c r="E1843" s="21">
        <v>43439.0</v>
      </c>
      <c r="F1843" s="18" t="s">
        <v>81</v>
      </c>
      <c r="G1843" s="18"/>
      <c r="H1843" s="18" t="s">
        <v>119</v>
      </c>
      <c r="I1843" s="18" t="s">
        <v>120</v>
      </c>
      <c r="J1843" s="18"/>
      <c r="K1843" s="20"/>
      <c r="L1843" s="20"/>
      <c r="M1843" s="18"/>
      <c r="N1843" s="18"/>
    </row>
    <row r="1844">
      <c r="A1844" s="18"/>
      <c r="B1844" s="18" t="s">
        <v>117</v>
      </c>
      <c r="C1844" s="18" t="s">
        <v>118</v>
      </c>
      <c r="D1844" s="18">
        <v>0.133333333</v>
      </c>
      <c r="E1844" s="21">
        <v>43439.0</v>
      </c>
      <c r="F1844" s="18" t="s">
        <v>81</v>
      </c>
      <c r="G1844" s="18"/>
      <c r="H1844" s="18" t="s">
        <v>119</v>
      </c>
      <c r="I1844" s="18" t="s">
        <v>120</v>
      </c>
      <c r="J1844" s="18"/>
      <c r="K1844" s="20"/>
      <c r="L1844" s="20"/>
      <c r="M1844" s="18"/>
      <c r="N1844" s="18"/>
    </row>
    <row r="1845">
      <c r="A1845" s="18"/>
      <c r="B1845" s="18" t="s">
        <v>667</v>
      </c>
      <c r="C1845" s="18" t="s">
        <v>668</v>
      </c>
      <c r="D1845" s="18">
        <v>0.433333333</v>
      </c>
      <c r="E1845" s="21">
        <v>43439.0</v>
      </c>
      <c r="F1845" s="18" t="s">
        <v>81</v>
      </c>
      <c r="G1845" s="18"/>
      <c r="H1845" s="18" t="s">
        <v>88</v>
      </c>
      <c r="I1845" s="18" t="s">
        <v>93</v>
      </c>
      <c r="J1845" s="18"/>
      <c r="K1845" s="20"/>
      <c r="L1845" s="20"/>
      <c r="M1845" s="18"/>
      <c r="N1845" s="18"/>
    </row>
    <row r="1846">
      <c r="A1846" s="18"/>
      <c r="B1846" s="18" t="s">
        <v>697</v>
      </c>
      <c r="C1846" s="18" t="s">
        <v>698</v>
      </c>
      <c r="D1846" s="18">
        <v>0.516666667</v>
      </c>
      <c r="E1846" s="21">
        <v>43439.0</v>
      </c>
      <c r="F1846" s="18" t="s">
        <v>81</v>
      </c>
      <c r="G1846" s="18"/>
      <c r="H1846" s="18"/>
      <c r="I1846" s="18" t="s">
        <v>78</v>
      </c>
      <c r="J1846" s="18"/>
      <c r="K1846" s="20"/>
      <c r="L1846" s="20"/>
      <c r="M1846" s="18"/>
      <c r="N1846" s="18"/>
    </row>
    <row r="1847">
      <c r="A1847" s="18"/>
      <c r="B1847" s="18" t="s">
        <v>693</v>
      </c>
      <c r="C1847" s="18" t="s">
        <v>694</v>
      </c>
      <c r="D1847" s="18">
        <v>1.85</v>
      </c>
      <c r="E1847" s="21">
        <v>43439.0</v>
      </c>
      <c r="F1847" s="18" t="s">
        <v>81</v>
      </c>
      <c r="G1847" s="18"/>
      <c r="H1847" s="18"/>
      <c r="I1847" s="18" t="s">
        <v>81</v>
      </c>
      <c r="J1847" s="18"/>
      <c r="K1847" s="20"/>
      <c r="L1847" s="20"/>
      <c r="M1847" s="18"/>
      <c r="N1847" s="18"/>
    </row>
    <row r="1848">
      <c r="A1848" s="18"/>
      <c r="B1848" s="18" t="s">
        <v>185</v>
      </c>
      <c r="C1848" s="18" t="s">
        <v>186</v>
      </c>
      <c r="D1848" s="18">
        <v>0.766666667</v>
      </c>
      <c r="E1848" s="21">
        <v>43439.0</v>
      </c>
      <c r="F1848" s="18" t="s">
        <v>81</v>
      </c>
      <c r="G1848" s="18" t="s">
        <v>187</v>
      </c>
      <c r="H1848" s="18"/>
      <c r="I1848" s="18" t="s">
        <v>77</v>
      </c>
      <c r="J1848" s="18"/>
      <c r="K1848" s="20"/>
      <c r="L1848" s="20"/>
      <c r="M1848" s="18"/>
      <c r="N1848" s="18"/>
    </row>
    <row r="1849">
      <c r="A1849" s="18"/>
      <c r="B1849" s="18" t="s">
        <v>155</v>
      </c>
      <c r="C1849" s="18" t="s">
        <v>156</v>
      </c>
      <c r="D1849" s="18">
        <v>0.6</v>
      </c>
      <c r="E1849" s="21">
        <v>43439.0</v>
      </c>
      <c r="F1849" s="18" t="s">
        <v>81</v>
      </c>
      <c r="G1849" s="18"/>
      <c r="H1849" s="18" t="s">
        <v>157</v>
      </c>
      <c r="I1849" s="18" t="s">
        <v>120</v>
      </c>
      <c r="J1849" s="18"/>
      <c r="K1849" s="20"/>
      <c r="L1849" s="20"/>
      <c r="M1849" s="18"/>
      <c r="N1849" s="18"/>
    </row>
    <row r="1850">
      <c r="A1850" s="18"/>
      <c r="B1850" s="18" t="s">
        <v>391</v>
      </c>
      <c r="C1850" s="18" t="s">
        <v>392</v>
      </c>
      <c r="D1850" s="18">
        <v>2.25</v>
      </c>
      <c r="E1850" s="21">
        <v>43439.0</v>
      </c>
      <c r="F1850" s="18" t="s">
        <v>81</v>
      </c>
      <c r="G1850" s="18"/>
      <c r="H1850" s="18" t="s">
        <v>302</v>
      </c>
      <c r="I1850" s="18" t="s">
        <v>81</v>
      </c>
      <c r="J1850" s="18"/>
      <c r="K1850" s="20"/>
      <c r="L1850" s="20"/>
      <c r="M1850" s="18"/>
      <c r="N1850" s="18"/>
    </row>
    <row r="1851">
      <c r="A1851" s="18"/>
      <c r="B1851" s="18" t="s">
        <v>143</v>
      </c>
      <c r="C1851" s="18" t="s">
        <v>144</v>
      </c>
      <c r="D1851" s="18">
        <v>0.066666667</v>
      </c>
      <c r="E1851" s="21">
        <v>43440.0</v>
      </c>
      <c r="F1851" s="18" t="s">
        <v>81</v>
      </c>
      <c r="G1851" s="18"/>
      <c r="H1851" s="18" t="s">
        <v>119</v>
      </c>
      <c r="I1851" s="18" t="s">
        <v>120</v>
      </c>
      <c r="J1851" s="18"/>
      <c r="K1851" s="20"/>
      <c r="L1851" s="20"/>
      <c r="M1851" s="18"/>
      <c r="N1851" s="18"/>
    </row>
    <row r="1852">
      <c r="A1852" s="18"/>
      <c r="B1852" s="18" t="s">
        <v>117</v>
      </c>
      <c r="C1852" s="18" t="s">
        <v>118</v>
      </c>
      <c r="D1852" s="18">
        <v>0.183333333</v>
      </c>
      <c r="E1852" s="21">
        <v>43440.0</v>
      </c>
      <c r="F1852" s="18" t="s">
        <v>81</v>
      </c>
      <c r="G1852" s="18"/>
      <c r="H1852" s="18" t="s">
        <v>119</v>
      </c>
      <c r="I1852" s="18" t="s">
        <v>120</v>
      </c>
      <c r="J1852" s="18"/>
      <c r="K1852" s="20"/>
      <c r="L1852" s="20"/>
      <c r="M1852" s="18"/>
      <c r="N1852" s="18"/>
    </row>
    <row r="1853">
      <c r="A1853" s="18"/>
      <c r="B1853" s="18" t="s">
        <v>697</v>
      </c>
      <c r="C1853" s="18" t="s">
        <v>698</v>
      </c>
      <c r="D1853" s="18">
        <v>0.133333333</v>
      </c>
      <c r="E1853" s="21">
        <v>43440.0</v>
      </c>
      <c r="F1853" s="18" t="s">
        <v>81</v>
      </c>
      <c r="G1853" s="18"/>
      <c r="H1853" s="18"/>
      <c r="I1853" s="18" t="s">
        <v>78</v>
      </c>
      <c r="J1853" s="18"/>
      <c r="K1853" s="20"/>
      <c r="L1853" s="20"/>
      <c r="M1853" s="18"/>
      <c r="N1853" s="18"/>
    </row>
    <row r="1854">
      <c r="A1854" s="18"/>
      <c r="B1854" s="18" t="s">
        <v>185</v>
      </c>
      <c r="C1854" s="18" t="s">
        <v>186</v>
      </c>
      <c r="D1854" s="18">
        <v>0.416666667</v>
      </c>
      <c r="E1854" s="21">
        <v>43440.0</v>
      </c>
      <c r="F1854" s="18" t="s">
        <v>81</v>
      </c>
      <c r="G1854" s="18" t="s">
        <v>187</v>
      </c>
      <c r="H1854" s="18"/>
      <c r="I1854" s="18" t="s">
        <v>77</v>
      </c>
      <c r="J1854" s="18"/>
      <c r="K1854" s="20"/>
      <c r="L1854" s="20"/>
      <c r="M1854" s="18"/>
      <c r="N1854" s="18"/>
    </row>
    <row r="1855">
      <c r="A1855" s="18"/>
      <c r="B1855" s="18" t="s">
        <v>693</v>
      </c>
      <c r="C1855" s="18" t="s">
        <v>694</v>
      </c>
      <c r="D1855" s="18">
        <v>1.933333333</v>
      </c>
      <c r="E1855" s="21">
        <v>43440.0</v>
      </c>
      <c r="F1855" s="18" t="s">
        <v>81</v>
      </c>
      <c r="G1855" s="18"/>
      <c r="H1855" s="18"/>
      <c r="I1855" s="18" t="s">
        <v>81</v>
      </c>
      <c r="J1855" s="18"/>
      <c r="K1855" s="20"/>
      <c r="L1855" s="20"/>
      <c r="M1855" s="18"/>
      <c r="N1855" s="18"/>
    </row>
    <row r="1856">
      <c r="A1856" s="18"/>
      <c r="B1856" s="18" t="s">
        <v>659</v>
      </c>
      <c r="C1856" s="18" t="s">
        <v>660</v>
      </c>
      <c r="D1856" s="18">
        <v>5.05</v>
      </c>
      <c r="E1856" s="21">
        <v>43440.0</v>
      </c>
      <c r="F1856" s="18" t="s">
        <v>81</v>
      </c>
      <c r="G1856" s="18"/>
      <c r="H1856" s="18" t="s">
        <v>553</v>
      </c>
      <c r="I1856" s="18" t="s">
        <v>77</v>
      </c>
      <c r="J1856" s="18"/>
      <c r="K1856" s="20"/>
      <c r="L1856" s="20"/>
      <c r="M1856" s="18"/>
      <c r="N1856" s="18"/>
    </row>
    <row r="1857">
      <c r="A1857" s="18"/>
      <c r="B1857" s="18" t="s">
        <v>699</v>
      </c>
      <c r="C1857" s="18" t="s">
        <v>700</v>
      </c>
      <c r="D1857" s="18">
        <v>1.0</v>
      </c>
      <c r="E1857" s="21">
        <v>43439.0</v>
      </c>
      <c r="F1857" s="18" t="s">
        <v>77</v>
      </c>
      <c r="G1857" s="18"/>
      <c r="H1857" s="18" t="s">
        <v>187</v>
      </c>
      <c r="I1857" s="18" t="s">
        <v>77</v>
      </c>
      <c r="J1857" s="18"/>
      <c r="K1857" s="20"/>
      <c r="L1857" s="20"/>
      <c r="M1857" s="18"/>
      <c r="N1857" s="18"/>
    </row>
    <row r="1858">
      <c r="A1858" s="18"/>
      <c r="B1858" s="18" t="s">
        <v>185</v>
      </c>
      <c r="C1858" s="18" t="s">
        <v>186</v>
      </c>
      <c r="D1858" s="18">
        <v>1.0</v>
      </c>
      <c r="E1858" s="21">
        <v>43439.0</v>
      </c>
      <c r="F1858" s="18" t="s">
        <v>77</v>
      </c>
      <c r="G1858" s="18" t="s">
        <v>187</v>
      </c>
      <c r="H1858" s="18"/>
      <c r="I1858" s="18" t="s">
        <v>77</v>
      </c>
      <c r="J1858" s="18"/>
      <c r="K1858" s="20"/>
      <c r="L1858" s="20"/>
      <c r="M1858" s="18"/>
      <c r="N1858" s="18"/>
    </row>
    <row r="1859">
      <c r="A1859" s="18"/>
      <c r="B1859" s="18" t="s">
        <v>594</v>
      </c>
      <c r="C1859" s="18" t="s">
        <v>553</v>
      </c>
      <c r="D1859" s="18">
        <v>2.0</v>
      </c>
      <c r="E1859" s="21">
        <v>43437.0</v>
      </c>
      <c r="F1859" s="18" t="s">
        <v>77</v>
      </c>
      <c r="G1859" s="18" t="s">
        <v>553</v>
      </c>
      <c r="H1859" s="18"/>
      <c r="I1859" s="18" t="s">
        <v>77</v>
      </c>
      <c r="J1859" s="18"/>
      <c r="K1859" s="20"/>
      <c r="L1859" s="20"/>
      <c r="M1859" s="18"/>
      <c r="N1859" s="18"/>
    </row>
    <row r="1860">
      <c r="A1860" s="18"/>
      <c r="B1860" s="18" t="s">
        <v>143</v>
      </c>
      <c r="C1860" s="18" t="s">
        <v>144</v>
      </c>
      <c r="D1860" s="18">
        <v>0.166666667</v>
      </c>
      <c r="E1860" s="21">
        <v>43441.0</v>
      </c>
      <c r="F1860" s="18" t="s">
        <v>81</v>
      </c>
      <c r="G1860" s="18"/>
      <c r="H1860" s="18" t="s">
        <v>119</v>
      </c>
      <c r="I1860" s="18" t="s">
        <v>120</v>
      </c>
      <c r="J1860" s="18"/>
      <c r="K1860" s="20"/>
      <c r="L1860" s="20"/>
      <c r="M1860" s="18"/>
      <c r="N1860" s="18"/>
    </row>
    <row r="1861">
      <c r="A1861" s="18"/>
      <c r="B1861" s="18" t="s">
        <v>117</v>
      </c>
      <c r="C1861" s="18" t="s">
        <v>118</v>
      </c>
      <c r="D1861" s="18">
        <v>0.1</v>
      </c>
      <c r="E1861" s="21">
        <v>43441.0</v>
      </c>
      <c r="F1861" s="18" t="s">
        <v>81</v>
      </c>
      <c r="G1861" s="18"/>
      <c r="H1861" s="18" t="s">
        <v>119</v>
      </c>
      <c r="I1861" s="18" t="s">
        <v>120</v>
      </c>
      <c r="J1861" s="18"/>
      <c r="K1861" s="20"/>
      <c r="L1861" s="20"/>
      <c r="M1861" s="18"/>
      <c r="N1861" s="18"/>
    </row>
    <row r="1862">
      <c r="A1862" s="18"/>
      <c r="B1862" s="18" t="s">
        <v>185</v>
      </c>
      <c r="C1862" s="18" t="s">
        <v>186</v>
      </c>
      <c r="D1862" s="18">
        <v>0.216666667</v>
      </c>
      <c r="E1862" s="21">
        <v>43441.0</v>
      </c>
      <c r="F1862" s="18" t="s">
        <v>81</v>
      </c>
      <c r="G1862" s="18" t="s">
        <v>187</v>
      </c>
      <c r="H1862" s="18"/>
      <c r="I1862" s="18" t="s">
        <v>77</v>
      </c>
      <c r="J1862" s="18"/>
      <c r="K1862" s="20"/>
      <c r="L1862" s="20"/>
      <c r="M1862" s="18"/>
      <c r="N1862" s="18"/>
    </row>
    <row r="1863">
      <c r="A1863" s="18"/>
      <c r="B1863" s="18" t="s">
        <v>693</v>
      </c>
      <c r="C1863" s="18" t="s">
        <v>694</v>
      </c>
      <c r="D1863" s="18">
        <v>1.266666667</v>
      </c>
      <c r="E1863" s="21">
        <v>43441.0</v>
      </c>
      <c r="F1863" s="18" t="s">
        <v>81</v>
      </c>
      <c r="G1863" s="18"/>
      <c r="H1863" s="18"/>
      <c r="I1863" s="18" t="s">
        <v>81</v>
      </c>
      <c r="J1863" s="18"/>
      <c r="K1863" s="20"/>
      <c r="L1863" s="20"/>
      <c r="M1863" s="18"/>
      <c r="N1863" s="18"/>
    </row>
    <row r="1864">
      <c r="A1864" s="18"/>
      <c r="B1864" s="18" t="s">
        <v>697</v>
      </c>
      <c r="C1864" s="18" t="s">
        <v>698</v>
      </c>
      <c r="D1864" s="18">
        <v>0.533333333</v>
      </c>
      <c r="E1864" s="21">
        <v>43441.0</v>
      </c>
      <c r="F1864" s="18" t="s">
        <v>81</v>
      </c>
      <c r="G1864" s="18"/>
      <c r="H1864" s="18"/>
      <c r="I1864" s="18" t="s">
        <v>78</v>
      </c>
      <c r="J1864" s="18"/>
      <c r="K1864" s="20"/>
      <c r="L1864" s="20"/>
      <c r="M1864" s="18"/>
      <c r="N1864" s="18"/>
    </row>
    <row r="1865">
      <c r="A1865" s="18"/>
      <c r="B1865" s="18" t="s">
        <v>659</v>
      </c>
      <c r="C1865" s="18" t="s">
        <v>660</v>
      </c>
      <c r="D1865" s="18">
        <v>5.683333333</v>
      </c>
      <c r="E1865" s="21">
        <v>43441.0</v>
      </c>
      <c r="F1865" s="18" t="s">
        <v>81</v>
      </c>
      <c r="G1865" s="18"/>
      <c r="H1865" s="18" t="s">
        <v>553</v>
      </c>
      <c r="I1865" s="18" t="s">
        <v>77</v>
      </c>
      <c r="J1865" s="18"/>
      <c r="K1865" s="20"/>
      <c r="L1865" s="20"/>
      <c r="M1865" s="18"/>
      <c r="N1865" s="18"/>
    </row>
    <row r="1866">
      <c r="A1866" s="18"/>
      <c r="B1866" s="18" t="s">
        <v>701</v>
      </c>
      <c r="C1866" s="18" t="s">
        <v>702</v>
      </c>
      <c r="D1866" s="18">
        <v>1.0</v>
      </c>
      <c r="E1866" s="19">
        <v>43444.0</v>
      </c>
      <c r="F1866" s="18" t="s">
        <v>77</v>
      </c>
      <c r="G1866" s="18"/>
      <c r="H1866" s="18" t="s">
        <v>553</v>
      </c>
      <c r="I1866" s="18" t="s">
        <v>77</v>
      </c>
      <c r="J1866" s="18"/>
      <c r="K1866" s="20"/>
      <c r="L1866" s="20"/>
      <c r="M1866" s="18"/>
      <c r="N1866" s="18"/>
    </row>
    <row r="1867">
      <c r="A1867" s="18"/>
      <c r="B1867" s="18" t="s">
        <v>143</v>
      </c>
      <c r="C1867" s="18" t="s">
        <v>144</v>
      </c>
      <c r="D1867" s="18">
        <v>0.15</v>
      </c>
      <c r="E1867" s="19">
        <v>43444.0</v>
      </c>
      <c r="F1867" s="18" t="s">
        <v>81</v>
      </c>
      <c r="G1867" s="18"/>
      <c r="H1867" s="18" t="s">
        <v>119</v>
      </c>
      <c r="I1867" s="18" t="s">
        <v>120</v>
      </c>
      <c r="J1867" s="18"/>
      <c r="K1867" s="20"/>
      <c r="L1867" s="20"/>
      <c r="M1867" s="18"/>
      <c r="N1867" s="18"/>
    </row>
    <row r="1868">
      <c r="A1868" s="18"/>
      <c r="B1868" s="18" t="s">
        <v>117</v>
      </c>
      <c r="C1868" s="18" t="s">
        <v>118</v>
      </c>
      <c r="D1868" s="18">
        <v>0.116666667</v>
      </c>
      <c r="E1868" s="19">
        <v>43444.0</v>
      </c>
      <c r="F1868" s="18" t="s">
        <v>81</v>
      </c>
      <c r="G1868" s="18"/>
      <c r="H1868" s="18" t="s">
        <v>119</v>
      </c>
      <c r="I1868" s="18" t="s">
        <v>120</v>
      </c>
      <c r="J1868" s="18"/>
      <c r="K1868" s="20"/>
      <c r="L1868" s="20"/>
      <c r="M1868" s="18"/>
      <c r="N1868" s="18"/>
    </row>
    <row r="1869">
      <c r="A1869" s="18"/>
      <c r="B1869" s="18" t="s">
        <v>659</v>
      </c>
      <c r="C1869" s="18" t="s">
        <v>660</v>
      </c>
      <c r="D1869" s="18">
        <v>4.483333333</v>
      </c>
      <c r="E1869" s="19">
        <v>43444.0</v>
      </c>
      <c r="F1869" s="18" t="s">
        <v>81</v>
      </c>
      <c r="G1869" s="18"/>
      <c r="H1869" s="18" t="s">
        <v>553</v>
      </c>
      <c r="I1869" s="18" t="s">
        <v>77</v>
      </c>
      <c r="J1869" s="18"/>
      <c r="K1869" s="20"/>
      <c r="L1869" s="20"/>
      <c r="M1869" s="18"/>
      <c r="N1869" s="18"/>
    </row>
    <row r="1870">
      <c r="A1870" s="18"/>
      <c r="B1870" s="18" t="s">
        <v>697</v>
      </c>
      <c r="C1870" s="18" t="s">
        <v>698</v>
      </c>
      <c r="D1870" s="18">
        <v>0.866666667</v>
      </c>
      <c r="E1870" s="19">
        <v>43444.0</v>
      </c>
      <c r="F1870" s="18" t="s">
        <v>81</v>
      </c>
      <c r="G1870" s="18"/>
      <c r="H1870" s="18"/>
      <c r="I1870" s="18" t="s">
        <v>78</v>
      </c>
      <c r="J1870" s="18"/>
      <c r="K1870" s="20"/>
      <c r="L1870" s="20"/>
      <c r="M1870" s="18"/>
      <c r="N1870" s="18"/>
    </row>
    <row r="1871">
      <c r="A1871" s="18"/>
      <c r="B1871" s="18" t="s">
        <v>693</v>
      </c>
      <c r="C1871" s="18" t="s">
        <v>694</v>
      </c>
      <c r="D1871" s="18">
        <v>0.35</v>
      </c>
      <c r="E1871" s="19">
        <v>43444.0</v>
      </c>
      <c r="F1871" s="18" t="s">
        <v>81</v>
      </c>
      <c r="G1871" s="18"/>
      <c r="H1871" s="18"/>
      <c r="I1871" s="18" t="s">
        <v>81</v>
      </c>
      <c r="J1871" s="18"/>
      <c r="K1871" s="20"/>
      <c r="L1871" s="20"/>
      <c r="M1871" s="18"/>
      <c r="N1871" s="18"/>
    </row>
    <row r="1872">
      <c r="A1872" s="18"/>
      <c r="B1872" s="18" t="s">
        <v>703</v>
      </c>
      <c r="C1872" s="18" t="s">
        <v>704</v>
      </c>
      <c r="D1872" s="18">
        <v>0.933333333</v>
      </c>
      <c r="E1872" s="19">
        <v>43444.0</v>
      </c>
      <c r="F1872" s="18" t="s">
        <v>81</v>
      </c>
      <c r="G1872" s="18"/>
      <c r="H1872" s="18"/>
      <c r="I1872" s="18" t="s">
        <v>132</v>
      </c>
      <c r="J1872" s="18"/>
      <c r="K1872" s="20"/>
      <c r="L1872" s="20"/>
      <c r="M1872" s="18"/>
      <c r="N1872" s="18"/>
    </row>
    <row r="1873">
      <c r="A1873" s="18"/>
      <c r="B1873" s="18" t="s">
        <v>123</v>
      </c>
      <c r="C1873" s="18" t="s">
        <v>124</v>
      </c>
      <c r="D1873" s="18">
        <v>0.35</v>
      </c>
      <c r="E1873" s="19">
        <v>43444.0</v>
      </c>
      <c r="F1873" s="18" t="s">
        <v>81</v>
      </c>
      <c r="G1873" s="18"/>
      <c r="H1873" s="18" t="s">
        <v>125</v>
      </c>
      <c r="I1873" s="18" t="s">
        <v>120</v>
      </c>
      <c r="J1873" s="18"/>
      <c r="K1873" s="20"/>
      <c r="L1873" s="20"/>
      <c r="M1873" s="18"/>
      <c r="N1873" s="18"/>
    </row>
    <row r="1874">
      <c r="A1874" s="18"/>
      <c r="B1874" s="18" t="s">
        <v>158</v>
      </c>
      <c r="C1874" s="18" t="s">
        <v>159</v>
      </c>
      <c r="D1874" s="18">
        <v>0.433333333</v>
      </c>
      <c r="E1874" s="19">
        <v>43444.0</v>
      </c>
      <c r="F1874" s="18" t="s">
        <v>81</v>
      </c>
      <c r="G1874" s="18"/>
      <c r="H1874" s="18"/>
      <c r="I1874" s="18" t="s">
        <v>81</v>
      </c>
      <c r="J1874" s="18"/>
      <c r="K1874" s="20"/>
      <c r="L1874" s="20"/>
      <c r="M1874" s="18"/>
      <c r="N1874" s="18"/>
    </row>
    <row r="1875">
      <c r="A1875" s="18"/>
      <c r="B1875" s="18" t="s">
        <v>391</v>
      </c>
      <c r="C1875" s="18" t="s">
        <v>392</v>
      </c>
      <c r="D1875" s="18">
        <v>0.316666667</v>
      </c>
      <c r="E1875" s="19">
        <v>43444.0</v>
      </c>
      <c r="F1875" s="18" t="s">
        <v>81</v>
      </c>
      <c r="G1875" s="18"/>
      <c r="H1875" s="18" t="s">
        <v>302</v>
      </c>
      <c r="I1875" s="18" t="s">
        <v>81</v>
      </c>
      <c r="J1875" s="18"/>
      <c r="K1875" s="20"/>
      <c r="L1875" s="20"/>
      <c r="M1875" s="18"/>
      <c r="N1875" s="18"/>
    </row>
    <row r="1876">
      <c r="A1876" s="18"/>
      <c r="B1876" s="18" t="s">
        <v>143</v>
      </c>
      <c r="C1876" s="18" t="s">
        <v>144</v>
      </c>
      <c r="D1876" s="18">
        <v>0.9</v>
      </c>
      <c r="E1876" s="19">
        <v>43445.0</v>
      </c>
      <c r="F1876" s="18" t="s">
        <v>81</v>
      </c>
      <c r="G1876" s="18"/>
      <c r="H1876" s="18" t="s">
        <v>119</v>
      </c>
      <c r="I1876" s="18" t="s">
        <v>120</v>
      </c>
      <c r="J1876" s="18"/>
      <c r="K1876" s="20"/>
      <c r="L1876" s="20"/>
      <c r="M1876" s="18"/>
      <c r="N1876" s="18"/>
    </row>
    <row r="1877">
      <c r="A1877" s="18"/>
      <c r="B1877" s="18" t="s">
        <v>117</v>
      </c>
      <c r="C1877" s="18" t="s">
        <v>118</v>
      </c>
      <c r="D1877" s="18">
        <v>0.266666667</v>
      </c>
      <c r="E1877" s="19">
        <v>43445.0</v>
      </c>
      <c r="F1877" s="18" t="s">
        <v>81</v>
      </c>
      <c r="G1877" s="18"/>
      <c r="H1877" s="18" t="s">
        <v>119</v>
      </c>
      <c r="I1877" s="18" t="s">
        <v>120</v>
      </c>
      <c r="J1877" s="18"/>
      <c r="K1877" s="20"/>
      <c r="L1877" s="20"/>
      <c r="M1877" s="18"/>
      <c r="N1877" s="18"/>
    </row>
    <row r="1878">
      <c r="A1878" s="18"/>
      <c r="B1878" s="18" t="s">
        <v>391</v>
      </c>
      <c r="C1878" s="18" t="s">
        <v>392</v>
      </c>
      <c r="D1878" s="18">
        <v>4.016666667</v>
      </c>
      <c r="E1878" s="19">
        <v>43445.0</v>
      </c>
      <c r="F1878" s="18" t="s">
        <v>81</v>
      </c>
      <c r="G1878" s="18"/>
      <c r="H1878" s="18" t="s">
        <v>302</v>
      </c>
      <c r="I1878" s="18" t="s">
        <v>81</v>
      </c>
      <c r="J1878" s="18"/>
      <c r="K1878" s="20"/>
      <c r="L1878" s="20"/>
      <c r="M1878" s="18"/>
      <c r="N1878" s="18"/>
    </row>
    <row r="1879">
      <c r="A1879" s="18"/>
      <c r="B1879" s="18" t="s">
        <v>571</v>
      </c>
      <c r="C1879" s="18" t="s">
        <v>572</v>
      </c>
      <c r="D1879" s="18">
        <v>1.016666667</v>
      </c>
      <c r="E1879" s="19">
        <v>43445.0</v>
      </c>
      <c r="F1879" s="18" t="s">
        <v>81</v>
      </c>
      <c r="G1879" s="18"/>
      <c r="H1879" s="18" t="s">
        <v>302</v>
      </c>
      <c r="I1879" s="18" t="s">
        <v>81</v>
      </c>
      <c r="J1879" s="18"/>
      <c r="K1879" s="20"/>
      <c r="L1879" s="20"/>
      <c r="M1879" s="18"/>
      <c r="N1879" s="18"/>
    </row>
    <row r="1880">
      <c r="A1880" s="18"/>
      <c r="B1880" s="18" t="s">
        <v>659</v>
      </c>
      <c r="C1880" s="18" t="s">
        <v>660</v>
      </c>
      <c r="D1880" s="18">
        <v>0.233333333</v>
      </c>
      <c r="E1880" s="19">
        <v>43445.0</v>
      </c>
      <c r="F1880" s="18" t="s">
        <v>81</v>
      </c>
      <c r="G1880" s="18"/>
      <c r="H1880" s="18" t="s">
        <v>553</v>
      </c>
      <c r="I1880" s="18" t="s">
        <v>77</v>
      </c>
      <c r="J1880" s="18"/>
      <c r="K1880" s="20"/>
      <c r="L1880" s="20"/>
      <c r="M1880" s="18"/>
      <c r="N1880" s="18"/>
    </row>
    <row r="1881">
      <c r="A1881" s="18"/>
      <c r="B1881" s="18" t="s">
        <v>123</v>
      </c>
      <c r="C1881" s="18" t="s">
        <v>124</v>
      </c>
      <c r="D1881" s="18">
        <v>0.55</v>
      </c>
      <c r="E1881" s="19">
        <v>43445.0</v>
      </c>
      <c r="F1881" s="18" t="s">
        <v>81</v>
      </c>
      <c r="G1881" s="18"/>
      <c r="H1881" s="18" t="s">
        <v>125</v>
      </c>
      <c r="I1881" s="18" t="s">
        <v>120</v>
      </c>
      <c r="J1881" s="18"/>
      <c r="K1881" s="20"/>
      <c r="L1881" s="20"/>
      <c r="M1881" s="18"/>
      <c r="N1881" s="18"/>
    </row>
    <row r="1882">
      <c r="A1882" s="18"/>
      <c r="B1882" s="18" t="s">
        <v>705</v>
      </c>
      <c r="C1882" s="18" t="s">
        <v>706</v>
      </c>
      <c r="D1882" s="18">
        <v>0.333333333</v>
      </c>
      <c r="E1882" s="19">
        <v>43445.0</v>
      </c>
      <c r="F1882" s="18" t="s">
        <v>81</v>
      </c>
      <c r="G1882" s="18"/>
      <c r="H1882" s="18"/>
      <c r="I1882" s="18" t="s">
        <v>93</v>
      </c>
      <c r="J1882" s="18"/>
      <c r="K1882" s="20"/>
      <c r="L1882" s="20"/>
      <c r="M1882" s="18"/>
      <c r="N1882" s="18"/>
    </row>
    <row r="1883">
      <c r="A1883" s="18"/>
      <c r="B1883" s="18" t="s">
        <v>185</v>
      </c>
      <c r="C1883" s="18" t="s">
        <v>186</v>
      </c>
      <c r="D1883" s="18">
        <v>0.816666667</v>
      </c>
      <c r="E1883" s="19">
        <v>43445.0</v>
      </c>
      <c r="F1883" s="18" t="s">
        <v>81</v>
      </c>
      <c r="G1883" s="18" t="s">
        <v>187</v>
      </c>
      <c r="H1883" s="18"/>
      <c r="I1883" s="18" t="s">
        <v>77</v>
      </c>
      <c r="J1883" s="18"/>
      <c r="K1883" s="20"/>
      <c r="L1883" s="20"/>
      <c r="M1883" s="18"/>
      <c r="N1883" s="18"/>
    </row>
    <row r="1884">
      <c r="A1884" s="18"/>
      <c r="B1884" s="18" t="s">
        <v>185</v>
      </c>
      <c r="C1884" s="18" t="s">
        <v>186</v>
      </c>
      <c r="D1884" s="18">
        <v>1.0</v>
      </c>
      <c r="E1884" s="19">
        <v>43446.0</v>
      </c>
      <c r="F1884" s="18" t="s">
        <v>77</v>
      </c>
      <c r="G1884" s="18" t="s">
        <v>187</v>
      </c>
      <c r="H1884" s="18"/>
      <c r="I1884" s="18" t="s">
        <v>77</v>
      </c>
      <c r="J1884" s="18"/>
      <c r="K1884" s="20"/>
      <c r="L1884" s="20"/>
      <c r="M1884" s="18"/>
      <c r="N1884" s="18"/>
    </row>
    <row r="1885">
      <c r="A1885" s="18"/>
      <c r="B1885" s="18" t="s">
        <v>143</v>
      </c>
      <c r="C1885" s="18" t="s">
        <v>144</v>
      </c>
      <c r="D1885" s="18">
        <v>0.166666667</v>
      </c>
      <c r="E1885" s="19">
        <v>43446.0</v>
      </c>
      <c r="F1885" s="18" t="s">
        <v>81</v>
      </c>
      <c r="G1885" s="18"/>
      <c r="H1885" s="18" t="s">
        <v>119</v>
      </c>
      <c r="I1885" s="18" t="s">
        <v>120</v>
      </c>
      <c r="J1885" s="18"/>
      <c r="K1885" s="20"/>
      <c r="L1885" s="20"/>
      <c r="M1885" s="18"/>
      <c r="N1885" s="18"/>
    </row>
    <row r="1886">
      <c r="A1886" s="18"/>
      <c r="B1886" s="18" t="s">
        <v>117</v>
      </c>
      <c r="C1886" s="18" t="s">
        <v>118</v>
      </c>
      <c r="D1886" s="18">
        <v>0.15</v>
      </c>
      <c r="E1886" s="19">
        <v>43446.0</v>
      </c>
      <c r="F1886" s="18" t="s">
        <v>81</v>
      </c>
      <c r="G1886" s="18"/>
      <c r="H1886" s="18" t="s">
        <v>119</v>
      </c>
      <c r="I1886" s="18" t="s">
        <v>120</v>
      </c>
      <c r="J1886" s="18"/>
      <c r="K1886" s="20"/>
      <c r="L1886" s="20"/>
      <c r="M1886" s="18"/>
      <c r="N1886" s="18"/>
    </row>
    <row r="1887">
      <c r="A1887" s="18"/>
      <c r="B1887" s="18" t="s">
        <v>185</v>
      </c>
      <c r="C1887" s="18" t="s">
        <v>186</v>
      </c>
      <c r="D1887" s="18">
        <v>3.15</v>
      </c>
      <c r="E1887" s="19">
        <v>43446.0</v>
      </c>
      <c r="F1887" s="18" t="s">
        <v>81</v>
      </c>
      <c r="G1887" s="18" t="s">
        <v>187</v>
      </c>
      <c r="H1887" s="18"/>
      <c r="I1887" s="18" t="s">
        <v>77</v>
      </c>
      <c r="J1887" s="18"/>
      <c r="K1887" s="20"/>
      <c r="L1887" s="20"/>
      <c r="M1887" s="18"/>
      <c r="N1887" s="18"/>
    </row>
    <row r="1888">
      <c r="A1888" s="18"/>
      <c r="B1888" s="18" t="s">
        <v>155</v>
      </c>
      <c r="C1888" s="18" t="s">
        <v>156</v>
      </c>
      <c r="D1888" s="18">
        <v>0.833333333</v>
      </c>
      <c r="E1888" s="19">
        <v>43446.0</v>
      </c>
      <c r="F1888" s="18" t="s">
        <v>81</v>
      </c>
      <c r="G1888" s="18"/>
      <c r="H1888" s="18" t="s">
        <v>157</v>
      </c>
      <c r="I1888" s="18" t="s">
        <v>120</v>
      </c>
      <c r="J1888" s="18"/>
      <c r="K1888" s="20"/>
      <c r="L1888" s="20"/>
      <c r="M1888" s="18"/>
      <c r="N1888" s="18"/>
    </row>
    <row r="1889">
      <c r="A1889" s="18"/>
      <c r="B1889" s="18" t="s">
        <v>391</v>
      </c>
      <c r="C1889" s="18" t="s">
        <v>392</v>
      </c>
      <c r="D1889" s="18">
        <v>1.166666667</v>
      </c>
      <c r="E1889" s="19">
        <v>43446.0</v>
      </c>
      <c r="F1889" s="18" t="s">
        <v>81</v>
      </c>
      <c r="G1889" s="18"/>
      <c r="H1889" s="18" t="s">
        <v>302</v>
      </c>
      <c r="I1889" s="18" t="s">
        <v>81</v>
      </c>
      <c r="J1889" s="18"/>
      <c r="K1889" s="20"/>
      <c r="L1889" s="20"/>
      <c r="M1889" s="18"/>
      <c r="N1889" s="18"/>
    </row>
    <row r="1890">
      <c r="A1890" s="18"/>
      <c r="B1890" s="18" t="s">
        <v>693</v>
      </c>
      <c r="C1890" s="18" t="s">
        <v>694</v>
      </c>
      <c r="D1890" s="18">
        <v>0.15</v>
      </c>
      <c r="E1890" s="19">
        <v>43446.0</v>
      </c>
      <c r="F1890" s="18" t="s">
        <v>81</v>
      </c>
      <c r="G1890" s="18"/>
      <c r="H1890" s="18"/>
      <c r="I1890" s="18" t="s">
        <v>81</v>
      </c>
      <c r="J1890" s="18"/>
      <c r="K1890" s="20"/>
      <c r="L1890" s="20"/>
      <c r="M1890" s="18"/>
      <c r="N1890" s="18"/>
    </row>
    <row r="1891">
      <c r="A1891" s="18"/>
      <c r="B1891" s="18" t="s">
        <v>707</v>
      </c>
      <c r="C1891" s="18" t="s">
        <v>708</v>
      </c>
      <c r="D1891" s="18">
        <v>1.316666667</v>
      </c>
      <c r="E1891" s="19">
        <v>43446.0</v>
      </c>
      <c r="F1891" s="18" t="s">
        <v>81</v>
      </c>
      <c r="G1891" s="18"/>
      <c r="H1891" s="18" t="s">
        <v>553</v>
      </c>
      <c r="I1891" s="18" t="s">
        <v>77</v>
      </c>
      <c r="J1891" s="18"/>
      <c r="K1891" s="20"/>
      <c r="L1891" s="20"/>
      <c r="M1891" s="18"/>
      <c r="N1891" s="18"/>
    </row>
    <row r="1892">
      <c r="A1892" s="18"/>
      <c r="B1892" s="18" t="s">
        <v>659</v>
      </c>
      <c r="C1892" s="18" t="s">
        <v>660</v>
      </c>
      <c r="D1892" s="18">
        <v>0.583333333</v>
      </c>
      <c r="E1892" s="19">
        <v>43446.0</v>
      </c>
      <c r="F1892" s="18" t="s">
        <v>81</v>
      </c>
      <c r="G1892" s="18"/>
      <c r="H1892" s="18" t="s">
        <v>553</v>
      </c>
      <c r="I1892" s="18" t="s">
        <v>77</v>
      </c>
      <c r="J1892" s="18"/>
      <c r="K1892" s="20"/>
      <c r="L1892" s="20"/>
      <c r="M1892" s="18"/>
      <c r="N1892" s="18"/>
    </row>
    <row r="1893">
      <c r="A1893" s="18"/>
      <c r="B1893" s="18" t="s">
        <v>609</v>
      </c>
      <c r="C1893" s="18" t="s">
        <v>610</v>
      </c>
      <c r="D1893" s="18">
        <v>0.25</v>
      </c>
      <c r="E1893" s="19">
        <v>43446.0</v>
      </c>
      <c r="F1893" s="18" t="s">
        <v>81</v>
      </c>
      <c r="G1893" s="18"/>
      <c r="H1893" s="18" t="s">
        <v>302</v>
      </c>
      <c r="I1893" s="18" t="s">
        <v>132</v>
      </c>
      <c r="J1893" s="18"/>
      <c r="K1893" s="20"/>
      <c r="L1893" s="20"/>
      <c r="M1893" s="18"/>
      <c r="N1893" s="18"/>
    </row>
    <row r="1894">
      <c r="A1894" s="18"/>
      <c r="B1894" s="18" t="s">
        <v>709</v>
      </c>
      <c r="C1894" s="18" t="s">
        <v>710</v>
      </c>
      <c r="D1894" s="18">
        <v>0.15</v>
      </c>
      <c r="E1894" s="19">
        <v>43446.0</v>
      </c>
      <c r="F1894" s="18" t="s">
        <v>81</v>
      </c>
      <c r="G1894" s="18"/>
      <c r="H1894" s="18" t="s">
        <v>88</v>
      </c>
      <c r="I1894" s="18" t="s">
        <v>89</v>
      </c>
      <c r="J1894" s="18"/>
      <c r="K1894" s="20"/>
      <c r="L1894" s="20"/>
      <c r="M1894" s="18"/>
      <c r="N1894" s="18"/>
    </row>
    <row r="1895">
      <c r="A1895" s="18"/>
      <c r="B1895" s="18" t="s">
        <v>143</v>
      </c>
      <c r="C1895" s="18" t="s">
        <v>144</v>
      </c>
      <c r="D1895" s="18">
        <v>0.25</v>
      </c>
      <c r="E1895" s="19">
        <v>43447.0</v>
      </c>
      <c r="F1895" s="18" t="s">
        <v>81</v>
      </c>
      <c r="G1895" s="18"/>
      <c r="H1895" s="18" t="s">
        <v>119</v>
      </c>
      <c r="I1895" s="18" t="s">
        <v>120</v>
      </c>
      <c r="J1895" s="18"/>
      <c r="K1895" s="20"/>
      <c r="L1895" s="20"/>
      <c r="M1895" s="18"/>
      <c r="N1895" s="18"/>
    </row>
    <row r="1896">
      <c r="A1896" s="18"/>
      <c r="B1896" s="18" t="s">
        <v>117</v>
      </c>
      <c r="C1896" s="18" t="s">
        <v>118</v>
      </c>
      <c r="D1896" s="18">
        <v>0.1</v>
      </c>
      <c r="E1896" s="19">
        <v>43447.0</v>
      </c>
      <c r="F1896" s="18" t="s">
        <v>81</v>
      </c>
      <c r="G1896" s="18"/>
      <c r="H1896" s="18" t="s">
        <v>119</v>
      </c>
      <c r="I1896" s="18" t="s">
        <v>120</v>
      </c>
      <c r="J1896" s="18"/>
      <c r="K1896" s="20"/>
      <c r="L1896" s="20"/>
      <c r="M1896" s="18"/>
      <c r="N1896" s="18"/>
    </row>
    <row r="1897">
      <c r="A1897" s="18"/>
      <c r="B1897" s="18" t="s">
        <v>391</v>
      </c>
      <c r="C1897" s="18" t="s">
        <v>392</v>
      </c>
      <c r="D1897" s="18">
        <v>1.0</v>
      </c>
      <c r="E1897" s="19">
        <v>43447.0</v>
      </c>
      <c r="F1897" s="18" t="s">
        <v>81</v>
      </c>
      <c r="G1897" s="18"/>
      <c r="H1897" s="18" t="s">
        <v>302</v>
      </c>
      <c r="I1897" s="18" t="s">
        <v>81</v>
      </c>
      <c r="J1897" s="18"/>
      <c r="K1897" s="20"/>
      <c r="L1897" s="20"/>
      <c r="M1897" s="18"/>
      <c r="N1897" s="18"/>
    </row>
    <row r="1898">
      <c r="A1898" s="18"/>
      <c r="B1898" s="18" t="s">
        <v>693</v>
      </c>
      <c r="C1898" s="18" t="s">
        <v>694</v>
      </c>
      <c r="D1898" s="18">
        <v>1.566666667</v>
      </c>
      <c r="E1898" s="19">
        <v>43447.0</v>
      </c>
      <c r="F1898" s="18" t="s">
        <v>81</v>
      </c>
      <c r="G1898" s="18"/>
      <c r="H1898" s="18"/>
      <c r="I1898" s="18" t="s">
        <v>81</v>
      </c>
      <c r="J1898" s="18"/>
      <c r="K1898" s="20"/>
      <c r="L1898" s="20"/>
      <c r="M1898" s="18"/>
      <c r="N1898" s="18"/>
    </row>
    <row r="1899">
      <c r="A1899" s="18"/>
      <c r="B1899" s="18" t="s">
        <v>185</v>
      </c>
      <c r="C1899" s="18" t="s">
        <v>186</v>
      </c>
      <c r="D1899" s="18">
        <v>2.2</v>
      </c>
      <c r="E1899" s="19">
        <v>43447.0</v>
      </c>
      <c r="F1899" s="18" t="s">
        <v>81</v>
      </c>
      <c r="G1899" s="18" t="s">
        <v>187</v>
      </c>
      <c r="H1899" s="18"/>
      <c r="I1899" s="18" t="s">
        <v>77</v>
      </c>
      <c r="J1899" s="18"/>
      <c r="K1899" s="20"/>
      <c r="L1899" s="20"/>
      <c r="M1899" s="18"/>
      <c r="N1899" s="18"/>
    </row>
    <row r="1900">
      <c r="A1900" s="18"/>
      <c r="B1900" s="18" t="s">
        <v>158</v>
      </c>
      <c r="C1900" s="18" t="s">
        <v>159</v>
      </c>
      <c r="D1900" s="18">
        <v>0.383333333</v>
      </c>
      <c r="E1900" s="19">
        <v>43447.0</v>
      </c>
      <c r="F1900" s="18" t="s">
        <v>81</v>
      </c>
      <c r="G1900" s="18"/>
      <c r="H1900" s="18"/>
      <c r="I1900" s="18" t="s">
        <v>81</v>
      </c>
      <c r="J1900" s="18"/>
      <c r="K1900" s="20"/>
      <c r="L1900" s="20"/>
      <c r="M1900" s="18"/>
      <c r="N1900" s="18"/>
    </row>
    <row r="1901">
      <c r="A1901" s="18"/>
      <c r="B1901" s="18" t="s">
        <v>667</v>
      </c>
      <c r="C1901" s="18" t="s">
        <v>668</v>
      </c>
      <c r="D1901" s="18">
        <v>2.466666667</v>
      </c>
      <c r="E1901" s="19">
        <v>43447.0</v>
      </c>
      <c r="F1901" s="18" t="s">
        <v>81</v>
      </c>
      <c r="G1901" s="18"/>
      <c r="H1901" s="18" t="s">
        <v>88</v>
      </c>
      <c r="I1901" s="18" t="s">
        <v>93</v>
      </c>
      <c r="J1901" s="18"/>
      <c r="K1901" s="20"/>
      <c r="L1901" s="20"/>
      <c r="M1901" s="18"/>
      <c r="N1901" s="18"/>
    </row>
    <row r="1902">
      <c r="A1902" s="18"/>
      <c r="B1902" s="18" t="s">
        <v>411</v>
      </c>
      <c r="C1902" s="18" t="s">
        <v>412</v>
      </c>
      <c r="D1902" s="18">
        <v>1.0</v>
      </c>
      <c r="E1902" s="19">
        <v>43448.0</v>
      </c>
      <c r="F1902" s="18" t="s">
        <v>77</v>
      </c>
      <c r="G1902" s="18"/>
      <c r="H1902" s="18" t="s">
        <v>187</v>
      </c>
      <c r="I1902" s="18" t="s">
        <v>81</v>
      </c>
      <c r="J1902" s="18"/>
      <c r="K1902" s="20"/>
      <c r="L1902" s="20"/>
      <c r="M1902" s="18"/>
      <c r="N1902" s="18"/>
    </row>
    <row r="1903">
      <c r="A1903" s="18"/>
      <c r="B1903" s="18" t="s">
        <v>711</v>
      </c>
      <c r="C1903" s="18" t="s">
        <v>712</v>
      </c>
      <c r="D1903" s="18">
        <v>1.0</v>
      </c>
      <c r="E1903" s="19">
        <v>43448.0</v>
      </c>
      <c r="F1903" s="18" t="s">
        <v>77</v>
      </c>
      <c r="G1903" s="18"/>
      <c r="H1903" s="18" t="s">
        <v>187</v>
      </c>
      <c r="I1903" s="17" t="s">
        <v>541</v>
      </c>
      <c r="J1903" s="18"/>
      <c r="K1903" s="20"/>
      <c r="L1903" s="20"/>
      <c r="M1903" s="18"/>
      <c r="N1903" s="18"/>
    </row>
    <row r="1904">
      <c r="A1904" s="18"/>
      <c r="B1904" s="18" t="s">
        <v>185</v>
      </c>
      <c r="C1904" s="18" t="s">
        <v>186</v>
      </c>
      <c r="D1904" s="18">
        <v>0.5</v>
      </c>
      <c r="E1904" s="19">
        <v>43447.0</v>
      </c>
      <c r="F1904" s="18" t="s">
        <v>77</v>
      </c>
      <c r="G1904" s="18" t="s">
        <v>187</v>
      </c>
      <c r="H1904" s="18"/>
      <c r="I1904" s="18" t="s">
        <v>77</v>
      </c>
      <c r="J1904" s="18"/>
      <c r="K1904" s="20"/>
      <c r="L1904" s="20"/>
      <c r="M1904" s="18"/>
      <c r="N1904" s="18"/>
    </row>
    <row r="1905">
      <c r="A1905" s="18"/>
      <c r="B1905" s="18" t="s">
        <v>703</v>
      </c>
      <c r="C1905" s="18" t="s">
        <v>704</v>
      </c>
      <c r="D1905" s="18">
        <v>0.133333333</v>
      </c>
      <c r="E1905" s="19">
        <v>43448.0</v>
      </c>
      <c r="F1905" s="18" t="s">
        <v>81</v>
      </c>
      <c r="G1905" s="18"/>
      <c r="H1905" s="18"/>
      <c r="I1905" s="18" t="s">
        <v>132</v>
      </c>
      <c r="J1905" s="18"/>
      <c r="K1905" s="20"/>
      <c r="L1905" s="20"/>
      <c r="M1905" s="18"/>
      <c r="N1905" s="18"/>
    </row>
    <row r="1906">
      <c r="A1906" s="18"/>
      <c r="B1906" s="18" t="s">
        <v>713</v>
      </c>
      <c r="C1906" s="18" t="s">
        <v>714</v>
      </c>
      <c r="D1906" s="18">
        <v>0.316666667</v>
      </c>
      <c r="E1906" s="19">
        <v>43448.0</v>
      </c>
      <c r="F1906" s="18" t="s">
        <v>81</v>
      </c>
      <c r="G1906" s="18"/>
      <c r="H1906" s="18"/>
      <c r="I1906" s="18" t="s">
        <v>116</v>
      </c>
      <c r="J1906" s="18"/>
      <c r="K1906" s="20"/>
      <c r="L1906" s="20"/>
      <c r="M1906" s="18"/>
      <c r="N1906" s="18"/>
    </row>
    <row r="1907">
      <c r="A1907" s="18"/>
      <c r="B1907" s="18" t="s">
        <v>158</v>
      </c>
      <c r="C1907" s="18" t="s">
        <v>159</v>
      </c>
      <c r="D1907" s="18">
        <v>0.2</v>
      </c>
      <c r="E1907" s="19">
        <v>43448.0</v>
      </c>
      <c r="F1907" s="18" t="s">
        <v>81</v>
      </c>
      <c r="G1907" s="18"/>
      <c r="H1907" s="18"/>
      <c r="I1907" s="18" t="s">
        <v>81</v>
      </c>
      <c r="J1907" s="18"/>
      <c r="K1907" s="20"/>
      <c r="L1907" s="20"/>
      <c r="M1907" s="18"/>
      <c r="N1907" s="18"/>
    </row>
    <row r="1908">
      <c r="A1908" s="18"/>
      <c r="B1908" s="18" t="s">
        <v>571</v>
      </c>
      <c r="C1908" s="18" t="s">
        <v>572</v>
      </c>
      <c r="D1908" s="18">
        <v>0.716666667</v>
      </c>
      <c r="E1908" s="19">
        <v>43448.0</v>
      </c>
      <c r="F1908" s="18" t="s">
        <v>81</v>
      </c>
      <c r="G1908" s="18"/>
      <c r="H1908" s="18" t="s">
        <v>302</v>
      </c>
      <c r="I1908" s="18" t="s">
        <v>81</v>
      </c>
      <c r="J1908" s="18"/>
      <c r="K1908" s="20"/>
      <c r="L1908" s="20"/>
      <c r="M1908" s="18"/>
      <c r="N1908" s="18"/>
    </row>
    <row r="1909">
      <c r="A1909" s="18"/>
      <c r="B1909" s="18" t="s">
        <v>185</v>
      </c>
      <c r="C1909" s="18" t="s">
        <v>186</v>
      </c>
      <c r="D1909" s="18">
        <v>1.216666667</v>
      </c>
      <c r="E1909" s="19">
        <v>43448.0</v>
      </c>
      <c r="F1909" s="18" t="s">
        <v>81</v>
      </c>
      <c r="G1909" s="18" t="s">
        <v>187</v>
      </c>
      <c r="H1909" s="18"/>
      <c r="I1909" s="18" t="s">
        <v>77</v>
      </c>
      <c r="J1909" s="18"/>
      <c r="K1909" s="20"/>
      <c r="L1909" s="20"/>
      <c r="M1909" s="18"/>
      <c r="N1909" s="18"/>
    </row>
    <row r="1910">
      <c r="A1910" s="18"/>
      <c r="B1910" s="18" t="s">
        <v>391</v>
      </c>
      <c r="C1910" s="18" t="s">
        <v>392</v>
      </c>
      <c r="D1910" s="18">
        <v>2.35</v>
      </c>
      <c r="E1910" s="19">
        <v>43448.0</v>
      </c>
      <c r="F1910" s="18" t="s">
        <v>81</v>
      </c>
      <c r="G1910" s="18"/>
      <c r="H1910" s="18" t="s">
        <v>302</v>
      </c>
      <c r="I1910" s="18" t="s">
        <v>81</v>
      </c>
      <c r="J1910" s="18"/>
      <c r="K1910" s="20"/>
      <c r="L1910" s="20"/>
      <c r="M1910" s="18"/>
      <c r="N1910" s="18"/>
    </row>
    <row r="1911">
      <c r="A1911" s="18"/>
      <c r="B1911" s="18" t="s">
        <v>117</v>
      </c>
      <c r="C1911" s="18" t="s">
        <v>118</v>
      </c>
      <c r="D1911" s="18">
        <v>0.166666667</v>
      </c>
      <c r="E1911" s="19">
        <v>43448.0</v>
      </c>
      <c r="F1911" s="18" t="s">
        <v>81</v>
      </c>
      <c r="G1911" s="18"/>
      <c r="H1911" s="18" t="s">
        <v>119</v>
      </c>
      <c r="I1911" s="18" t="s">
        <v>120</v>
      </c>
      <c r="J1911" s="18"/>
      <c r="K1911" s="20"/>
      <c r="L1911" s="20"/>
      <c r="M1911" s="18"/>
      <c r="N1911" s="18"/>
    </row>
    <row r="1912">
      <c r="A1912" s="18"/>
      <c r="B1912" s="18" t="s">
        <v>143</v>
      </c>
      <c r="C1912" s="18" t="s">
        <v>144</v>
      </c>
      <c r="D1912" s="18">
        <v>0.1</v>
      </c>
      <c r="E1912" s="19">
        <v>43448.0</v>
      </c>
      <c r="F1912" s="18" t="s">
        <v>81</v>
      </c>
      <c r="G1912" s="18"/>
      <c r="H1912" s="18" t="s">
        <v>119</v>
      </c>
      <c r="I1912" s="18" t="s">
        <v>120</v>
      </c>
      <c r="J1912" s="18"/>
      <c r="K1912" s="20"/>
      <c r="L1912" s="20"/>
      <c r="M1912" s="18"/>
      <c r="N1912" s="18"/>
    </row>
    <row r="1913">
      <c r="A1913" s="18"/>
      <c r="B1913" s="18" t="s">
        <v>667</v>
      </c>
      <c r="C1913" s="18" t="s">
        <v>668</v>
      </c>
      <c r="D1913" s="18">
        <v>0.466666667</v>
      </c>
      <c r="E1913" s="19">
        <v>43448.0</v>
      </c>
      <c r="F1913" s="18" t="s">
        <v>81</v>
      </c>
      <c r="G1913" s="18"/>
      <c r="H1913" s="18" t="s">
        <v>88</v>
      </c>
      <c r="I1913" s="18" t="s">
        <v>93</v>
      </c>
      <c r="J1913" s="18"/>
      <c r="K1913" s="20"/>
      <c r="L1913" s="20"/>
      <c r="M1913" s="18"/>
      <c r="N1913" s="18"/>
    </row>
    <row r="1914">
      <c r="A1914" s="18"/>
      <c r="B1914" s="18" t="s">
        <v>659</v>
      </c>
      <c r="C1914" s="18" t="s">
        <v>660</v>
      </c>
      <c r="D1914" s="18">
        <v>0.65</v>
      </c>
      <c r="E1914" s="19">
        <v>43448.0</v>
      </c>
      <c r="F1914" s="18" t="s">
        <v>81</v>
      </c>
      <c r="G1914" s="18"/>
      <c r="H1914" s="18" t="s">
        <v>553</v>
      </c>
      <c r="I1914" s="18" t="s">
        <v>77</v>
      </c>
      <c r="J1914" s="18"/>
      <c r="K1914" s="20"/>
      <c r="L1914" s="20"/>
      <c r="M1914" s="18"/>
      <c r="N1914" s="18"/>
    </row>
    <row r="1915">
      <c r="A1915" s="18"/>
      <c r="B1915" s="18" t="s">
        <v>294</v>
      </c>
      <c r="C1915" s="18" t="s">
        <v>295</v>
      </c>
      <c r="D1915" s="18">
        <v>0.483333333</v>
      </c>
      <c r="E1915" s="19">
        <v>43448.0</v>
      </c>
      <c r="F1915" s="18" t="s">
        <v>81</v>
      </c>
      <c r="G1915" s="18"/>
      <c r="H1915" s="18" t="s">
        <v>187</v>
      </c>
      <c r="I1915" s="18" t="s">
        <v>81</v>
      </c>
      <c r="J1915" s="18"/>
      <c r="K1915" s="20"/>
      <c r="L1915" s="20"/>
      <c r="M1915" s="18"/>
      <c r="N1915" s="18"/>
    </row>
    <row r="1916">
      <c r="A1916" s="18"/>
      <c r="B1916" s="18" t="s">
        <v>715</v>
      </c>
      <c r="C1916" s="18" t="s">
        <v>716</v>
      </c>
      <c r="D1916" s="18">
        <v>0.166666667</v>
      </c>
      <c r="E1916" s="19">
        <v>43448.0</v>
      </c>
      <c r="F1916" s="18" t="s">
        <v>81</v>
      </c>
      <c r="G1916" s="18"/>
      <c r="H1916" s="18" t="s">
        <v>302</v>
      </c>
      <c r="I1916" s="18" t="s">
        <v>81</v>
      </c>
      <c r="J1916" s="18"/>
      <c r="K1916" s="20"/>
      <c r="L1916" s="20"/>
      <c r="M1916" s="18"/>
      <c r="N1916" s="18"/>
    </row>
    <row r="1917">
      <c r="A1917" s="18"/>
      <c r="B1917" s="18" t="s">
        <v>717</v>
      </c>
      <c r="C1917" s="18" t="s">
        <v>718</v>
      </c>
      <c r="D1917" s="18">
        <v>0.15</v>
      </c>
      <c r="E1917" s="19">
        <v>43448.0</v>
      </c>
      <c r="F1917" s="18" t="s">
        <v>81</v>
      </c>
      <c r="G1917" s="18"/>
      <c r="H1917" s="18" t="s">
        <v>302</v>
      </c>
      <c r="I1917" s="18" t="s">
        <v>81</v>
      </c>
      <c r="J1917" s="18"/>
      <c r="K1917" s="20"/>
      <c r="L1917" s="20"/>
      <c r="M1917" s="18"/>
      <c r="N1917" s="18"/>
    </row>
    <row r="1918">
      <c r="A1918" s="18"/>
      <c r="B1918" s="18" t="s">
        <v>709</v>
      </c>
      <c r="C1918" s="18" t="s">
        <v>710</v>
      </c>
      <c r="D1918" s="18">
        <v>0.3</v>
      </c>
      <c r="E1918" s="19">
        <v>43448.0</v>
      </c>
      <c r="F1918" s="18" t="s">
        <v>81</v>
      </c>
      <c r="G1918" s="18"/>
      <c r="H1918" s="18" t="s">
        <v>88</v>
      </c>
      <c r="I1918" s="18" t="s">
        <v>89</v>
      </c>
      <c r="J1918" s="18"/>
      <c r="K1918" s="20"/>
      <c r="L1918" s="20"/>
      <c r="M1918" s="18"/>
      <c r="N1918" s="18"/>
    </row>
  </sheetData>
  <hyperlinks>
    <hyperlink r:id="rId1" ref="I1055"/>
    <hyperlink r:id="rId2" ref="I1125"/>
    <hyperlink r:id="rId3" ref="I1128"/>
    <hyperlink r:id="rId4" ref="I1131"/>
    <hyperlink r:id="rId5" ref="I1135"/>
    <hyperlink r:id="rId6" ref="I1178"/>
    <hyperlink r:id="rId7" ref="I1185"/>
    <hyperlink r:id="rId8" ref="I1200"/>
    <hyperlink r:id="rId9" ref="I1206"/>
    <hyperlink r:id="rId10" ref="I1223"/>
    <hyperlink r:id="rId11" ref="I1237"/>
    <hyperlink r:id="rId12" ref="I1377"/>
    <hyperlink r:id="rId13" ref="I1378"/>
    <hyperlink r:id="rId14" ref="I1380"/>
    <hyperlink r:id="rId15" ref="I1393"/>
    <hyperlink r:id="rId16" ref="I1394"/>
    <hyperlink r:id="rId17" ref="I1399"/>
    <hyperlink r:id="rId18" ref="I1408"/>
    <hyperlink r:id="rId19" ref="I1447"/>
    <hyperlink r:id="rId20" ref="I1456"/>
    <hyperlink r:id="rId21" ref="I1457"/>
    <hyperlink r:id="rId22" ref="I1471"/>
    <hyperlink r:id="rId23" ref="I1604"/>
    <hyperlink r:id="rId24" ref="I1653"/>
    <hyperlink r:id="rId25" ref="I1763"/>
    <hyperlink r:id="rId26" ref="I1770"/>
    <hyperlink r:id="rId27" ref="I1772"/>
    <hyperlink r:id="rId28" ref="I1775"/>
    <hyperlink r:id="rId29" ref="I1804"/>
    <hyperlink r:id="rId30" ref="I1812"/>
    <hyperlink r:id="rId31" ref="I1826"/>
    <hyperlink r:id="rId32" ref="I1903"/>
  </hyperlinks>
  <drawing r:id="rId3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9.14"/>
    <col customWidth="1" min="2" max="2" width="12.43"/>
    <col customWidth="1" min="3" max="3" width="37.14"/>
    <col customWidth="1" min="4" max="4" width="12.0"/>
    <col customWidth="1" min="5" max="5" width="14.29"/>
    <col customWidth="1" min="6" max="8" width="27.43"/>
  </cols>
  <sheetData>
    <row r="1">
      <c r="A1" s="22" t="s">
        <v>0</v>
      </c>
      <c r="B1" s="23" t="s">
        <v>67</v>
      </c>
      <c r="C1" s="22" t="s">
        <v>68</v>
      </c>
      <c r="D1" s="24" t="s">
        <v>69</v>
      </c>
      <c r="E1" s="25" t="s">
        <v>70</v>
      </c>
      <c r="F1" s="22" t="s">
        <v>719</v>
      </c>
      <c r="G1" s="22" t="s">
        <v>720</v>
      </c>
      <c r="H1" s="22" t="s">
        <v>721</v>
      </c>
    </row>
    <row r="2" hidden="1">
      <c r="A2" s="26" t="str">
        <f>VLOOKUP(B2,'2020 SRED (JIRA) - Issues and l'!$B:$C,2,FALSE)</f>
        <v>portal-builder-SRED</v>
      </c>
      <c r="B2" s="27" t="str">
        <f>IFERROR(__xludf.DUMMYFUNCTION("QUERY('2020 SRED_2020-01-01_2020-12-31'!2:1558, ""select A,B, C, D, E, F"")"),"IV2-199")</f>
        <v>IV2-199</v>
      </c>
      <c r="C2" s="26" t="str">
        <f>IFERROR(__xludf.DUMMYFUNCTION("""COMPUTED_VALUE"""),"Add webform fieldset components using the Touchpoint Builder")</f>
        <v>Add webform fieldset components using the Touchpoint Builder</v>
      </c>
      <c r="D2" s="28">
        <f>IFERROR(__xludf.DUMMYFUNCTION("""COMPUTED_VALUE"""),1.36666666666666)</f>
        <v>1.366666667</v>
      </c>
      <c r="E2" s="29">
        <f>IFERROR(__xludf.DUMMYFUNCTION("""COMPUTED_VALUE"""),43836.0)</f>
        <v>43836</v>
      </c>
      <c r="F2" s="26" t="str">
        <f>IFERROR(__xludf.DUMMYFUNCTION("""COMPUTED_VALUE"""),"557058:3124a1f0-e92a-405c-93f2-c1d4e621bc77")</f>
        <v>557058:3124a1f0-e92a-405c-93f2-c1d4e621bc77</v>
      </c>
      <c r="G2" s="26" t="str">
        <f>IFERROR(__xludf.DUMMYFUNCTION("""COMPUTED_VALUE"""),"Trevor Coehoorn")</f>
        <v>Trevor Coehoorn</v>
      </c>
      <c r="H2" s="26" t="b">
        <v>0</v>
      </c>
    </row>
    <row r="3" hidden="1">
      <c r="A3" s="26" t="str">
        <f>VLOOKUP(B3,'2020 SRED (JIRA) - Issues and l'!$B:$C,2,FALSE)</f>
        <v>portal-builder-SRED</v>
      </c>
      <c r="B3" s="27" t="str">
        <f>IFERROR(__xludf.DUMMYFUNCTION("""COMPUTED_VALUE"""),"IV2-202")</f>
        <v>IV2-202</v>
      </c>
      <c r="C3" s="26" t="str">
        <f>IFERROR(__xludf.DUMMYFUNCTION("""COMPUTED_VALUE"""),"Portal Builder Surveyor Questions")</f>
        <v>Portal Builder Surveyor Questions</v>
      </c>
      <c r="D3" s="28">
        <f>IFERROR(__xludf.DUMMYFUNCTION("""COMPUTED_VALUE"""),2.85)</f>
        <v>2.85</v>
      </c>
      <c r="E3" s="29">
        <f>IFERROR(__xludf.DUMMYFUNCTION("""COMPUTED_VALUE"""),43836.0)</f>
        <v>43836</v>
      </c>
      <c r="F3" s="26" t="str">
        <f>IFERROR(__xludf.DUMMYFUNCTION("""COMPUTED_VALUE"""),"557058:3124a1f0-e92a-405c-93f2-c1d4e621bc77")</f>
        <v>557058:3124a1f0-e92a-405c-93f2-c1d4e621bc77</v>
      </c>
      <c r="G3" s="26" t="str">
        <f>IFERROR(__xludf.DUMMYFUNCTION("""COMPUTED_VALUE"""),"Trevor Coehoorn")</f>
        <v>Trevor Coehoorn</v>
      </c>
      <c r="H3" s="26" t="b">
        <v>0</v>
      </c>
    </row>
    <row r="4" hidden="1">
      <c r="A4" s="26" t="str">
        <f>VLOOKUP(B4,'2020 SRED (JIRA) - Issues and l'!$B:$C,2,FALSE)</f>
        <v>portal-builder</v>
      </c>
      <c r="B4" s="27" t="str">
        <f>IFERROR(__xludf.DUMMYFUNCTION("""COMPUTED_VALUE"""),"IV2-31")</f>
        <v>IV2-31</v>
      </c>
      <c r="C4" s="26" t="str">
        <f>IFERROR(__xludf.DUMMYFUNCTION("""COMPUTED_VALUE"""),"V2 Status Meetings")</f>
        <v>V2 Status Meetings</v>
      </c>
      <c r="D4" s="28">
        <f>IFERROR(__xludf.DUMMYFUNCTION("""COMPUTED_VALUE"""),0.65)</f>
        <v>0.65</v>
      </c>
      <c r="E4" s="29">
        <f>IFERROR(__xludf.DUMMYFUNCTION("""COMPUTED_VALUE"""),43836.0)</f>
        <v>43836</v>
      </c>
      <c r="F4" s="26" t="str">
        <f>IFERROR(__xludf.DUMMYFUNCTION("""COMPUTED_VALUE"""),"557058:3124a1f0-e92a-405c-93f2-c1d4e621bc77")</f>
        <v>557058:3124a1f0-e92a-405c-93f2-c1d4e621bc77</v>
      </c>
      <c r="G4" s="26" t="str">
        <f>IFERROR(__xludf.DUMMYFUNCTION("""COMPUTED_VALUE"""),"Trevor Coehoorn")</f>
        <v>Trevor Coehoorn</v>
      </c>
      <c r="H4" s="26" t="b">
        <v>0</v>
      </c>
    </row>
    <row r="5" hidden="1">
      <c r="A5" s="26" t="str">
        <f>VLOOKUP(B5,'2020 SRED (JIRA) - Issues and l'!$B:$C,2,FALSE)</f>
        <v>portal-builder-SRED</v>
      </c>
      <c r="B5" s="27" t="str">
        <f>IFERROR(__xludf.DUMMYFUNCTION("""COMPUTED_VALUE"""),"IV2-199")</f>
        <v>IV2-199</v>
      </c>
      <c r="C5" s="26" t="str">
        <f>IFERROR(__xludf.DUMMYFUNCTION("""COMPUTED_VALUE"""),"Add webform fieldset components using the Touchpoint Builder")</f>
        <v>Add webform fieldset components using the Touchpoint Builder</v>
      </c>
      <c r="D5" s="28">
        <f>IFERROR(__xludf.DUMMYFUNCTION("""COMPUTED_VALUE"""),1.05)</f>
        <v>1.05</v>
      </c>
      <c r="E5" s="29">
        <f>IFERROR(__xludf.DUMMYFUNCTION("""COMPUTED_VALUE"""),43837.0)</f>
        <v>43837</v>
      </c>
      <c r="F5" s="26" t="str">
        <f>IFERROR(__xludf.DUMMYFUNCTION("""COMPUTED_VALUE"""),"557058:3124a1f0-e92a-405c-93f2-c1d4e621bc77")</f>
        <v>557058:3124a1f0-e92a-405c-93f2-c1d4e621bc77</v>
      </c>
      <c r="G5" s="26" t="str">
        <f>IFERROR(__xludf.DUMMYFUNCTION("""COMPUTED_VALUE"""),"Trevor Coehoorn")</f>
        <v>Trevor Coehoorn</v>
      </c>
      <c r="H5" s="26" t="b">
        <v>0</v>
      </c>
    </row>
    <row r="6" hidden="1">
      <c r="A6" s="26" t="str">
        <f>VLOOKUP(B6,'2020 SRED (JIRA) - Issues and l'!$B:$C,2,FALSE)</f>
        <v>portal-builder-SRED</v>
      </c>
      <c r="B6" s="27" t="str">
        <f>IFERROR(__xludf.DUMMYFUNCTION("""COMPUTED_VALUE"""),"IV2-202")</f>
        <v>IV2-202</v>
      </c>
      <c r="C6" s="26" t="str">
        <f>IFERROR(__xludf.DUMMYFUNCTION("""COMPUTED_VALUE"""),"Portal Builder Surveyor Questions")</f>
        <v>Portal Builder Surveyor Questions</v>
      </c>
      <c r="D6" s="28">
        <f>IFERROR(__xludf.DUMMYFUNCTION("""COMPUTED_VALUE"""),3.28333333333333)</f>
        <v>3.283333333</v>
      </c>
      <c r="E6" s="29">
        <f>IFERROR(__xludf.DUMMYFUNCTION("""COMPUTED_VALUE"""),43838.0)</f>
        <v>43838</v>
      </c>
      <c r="F6" s="26" t="str">
        <f>IFERROR(__xludf.DUMMYFUNCTION("""COMPUTED_VALUE"""),"557058:3124a1f0-e92a-405c-93f2-c1d4e621bc77")</f>
        <v>557058:3124a1f0-e92a-405c-93f2-c1d4e621bc77</v>
      </c>
      <c r="G6" s="26" t="str">
        <f>IFERROR(__xludf.DUMMYFUNCTION("""COMPUTED_VALUE"""),"Trevor Coehoorn")</f>
        <v>Trevor Coehoorn</v>
      </c>
      <c r="H6" s="26" t="b">
        <v>0</v>
      </c>
    </row>
    <row r="7" hidden="1">
      <c r="A7" s="26" t="str">
        <f>VLOOKUP(B7,'2020 SRED (JIRA) - Issues and l'!$B:$C,2,FALSE)</f>
        <v>automated-summary-reports</v>
      </c>
      <c r="B7" s="27" t="str">
        <f>IFERROR(__xludf.DUMMYFUNCTION("""COMPUTED_VALUE"""),"IV2-164")</f>
        <v>IV2-164</v>
      </c>
      <c r="C7" s="26" t="str">
        <f>IFERROR(__xludf.DUMMYFUNCTION("""COMPUTED_VALUE"""),"Revamp Webinar Analysis Charts/ Graphs")</f>
        <v>Revamp Webinar Analysis Charts/ Graphs</v>
      </c>
      <c r="D7" s="28">
        <f>IFERROR(__xludf.DUMMYFUNCTION("""COMPUTED_VALUE"""),0.466666666666666)</f>
        <v>0.4666666667</v>
      </c>
      <c r="E7" s="29">
        <f>IFERROR(__xludf.DUMMYFUNCTION("""COMPUTED_VALUE"""),43838.0)</f>
        <v>43838</v>
      </c>
      <c r="F7" s="26" t="str">
        <f>IFERROR(__xludf.DUMMYFUNCTION("""COMPUTED_VALUE"""),"557058:3124a1f0-e92a-405c-93f2-c1d4e621bc77")</f>
        <v>557058:3124a1f0-e92a-405c-93f2-c1d4e621bc77</v>
      </c>
      <c r="G7" s="26" t="str">
        <f>IFERROR(__xludf.DUMMYFUNCTION("""COMPUTED_VALUE"""),"Trevor Coehoorn")</f>
        <v>Trevor Coehoorn</v>
      </c>
      <c r="H7" s="26" t="b">
        <v>0</v>
      </c>
    </row>
    <row r="8" hidden="1">
      <c r="A8" s="26" t="str">
        <f>VLOOKUP(B8,'2020 SRED (JIRA) - Issues and l'!$B:$C,2,FALSE)</f>
        <v>automated-summary-reports</v>
      </c>
      <c r="B8" s="27" t="str">
        <f>IFERROR(__xludf.DUMMYFUNCTION("""COMPUTED_VALUE"""),"IV2-164")</f>
        <v>IV2-164</v>
      </c>
      <c r="C8" s="26" t="str">
        <f>IFERROR(__xludf.DUMMYFUNCTION("""COMPUTED_VALUE"""),"Revamp Webinar Analysis Charts/ Graphs")</f>
        <v>Revamp Webinar Analysis Charts/ Graphs</v>
      </c>
      <c r="D8" s="28">
        <f>IFERROR(__xludf.DUMMYFUNCTION("""COMPUTED_VALUE"""),1.48333333333333)</f>
        <v>1.483333333</v>
      </c>
      <c r="E8" s="29">
        <f>IFERROR(__xludf.DUMMYFUNCTION("""COMPUTED_VALUE"""),43838.0)</f>
        <v>43838</v>
      </c>
      <c r="F8" s="26" t="str">
        <f>IFERROR(__xludf.DUMMYFUNCTION("""COMPUTED_VALUE"""),"557058:f55c62b5-dc7e-41e5-b0f8-231ca9f23470")</f>
        <v>557058:f55c62b5-dc7e-41e5-b0f8-231ca9f23470</v>
      </c>
      <c r="G8" s="26" t="str">
        <f>IFERROR(__xludf.DUMMYFUNCTION("""COMPUTED_VALUE"""),"Holly Lam")</f>
        <v>Holly Lam</v>
      </c>
      <c r="H8" s="26" t="b">
        <v>0</v>
      </c>
    </row>
    <row r="9" hidden="1">
      <c r="A9" s="26" t="str">
        <f>VLOOKUP(B9,'2020 SRED (JIRA) - Issues and l'!$B:$C,2,FALSE)</f>
        <v>automated-summary-reports</v>
      </c>
      <c r="B9" s="27" t="str">
        <f>IFERROR(__xludf.DUMMYFUNCTION("""COMPUTED_VALUE"""),"IV2-164")</f>
        <v>IV2-164</v>
      </c>
      <c r="C9" s="26" t="str">
        <f>IFERROR(__xludf.DUMMYFUNCTION("""COMPUTED_VALUE"""),"Revamp Webinar Analysis Charts/ Graphs")</f>
        <v>Revamp Webinar Analysis Charts/ Graphs</v>
      </c>
      <c r="D9" s="28">
        <f>IFERROR(__xludf.DUMMYFUNCTION("""COMPUTED_VALUE"""),0.666666666666666)</f>
        <v>0.6666666667</v>
      </c>
      <c r="E9" s="29">
        <f>IFERROR(__xludf.DUMMYFUNCTION("""COMPUTED_VALUE"""),43839.0)</f>
        <v>43839</v>
      </c>
      <c r="F9" s="26" t="str">
        <f>IFERROR(__xludf.DUMMYFUNCTION("""COMPUTED_VALUE"""),"557058:3124a1f0-e92a-405c-93f2-c1d4e621bc77")</f>
        <v>557058:3124a1f0-e92a-405c-93f2-c1d4e621bc77</v>
      </c>
      <c r="G9" s="26" t="str">
        <f>IFERROR(__xludf.DUMMYFUNCTION("""COMPUTED_VALUE"""),"Trevor Coehoorn")</f>
        <v>Trevor Coehoorn</v>
      </c>
      <c r="H9" s="26" t="b">
        <v>0</v>
      </c>
    </row>
    <row r="10" hidden="1">
      <c r="A10" s="26" t="str">
        <f>VLOOKUP(B10,'2020 SRED (JIRA) - Issues and l'!$B:$C,2,FALSE)</f>
        <v>portal-builder-SRED</v>
      </c>
      <c r="B10" s="27" t="str">
        <f>IFERROR(__xludf.DUMMYFUNCTION("""COMPUTED_VALUE"""),"IV2-202")</f>
        <v>IV2-202</v>
      </c>
      <c r="C10" s="26" t="str">
        <f>IFERROR(__xludf.DUMMYFUNCTION("""COMPUTED_VALUE"""),"Portal Builder Surveyor Questions")</f>
        <v>Portal Builder Surveyor Questions</v>
      </c>
      <c r="D10" s="28">
        <f>IFERROR(__xludf.DUMMYFUNCTION("""COMPUTED_VALUE"""),7.31666666666666)</f>
        <v>7.316666667</v>
      </c>
      <c r="E10" s="29">
        <f>IFERROR(__xludf.DUMMYFUNCTION("""COMPUTED_VALUE"""),43839.0)</f>
        <v>43839</v>
      </c>
      <c r="F10" s="26" t="str">
        <f>IFERROR(__xludf.DUMMYFUNCTION("""COMPUTED_VALUE"""),"557058:3124a1f0-e92a-405c-93f2-c1d4e621bc77")</f>
        <v>557058:3124a1f0-e92a-405c-93f2-c1d4e621bc77</v>
      </c>
      <c r="G10" s="26" t="str">
        <f>IFERROR(__xludf.DUMMYFUNCTION("""COMPUTED_VALUE"""),"Trevor Coehoorn")</f>
        <v>Trevor Coehoorn</v>
      </c>
      <c r="H10" s="26" t="b">
        <v>0</v>
      </c>
    </row>
    <row r="11" hidden="1">
      <c r="A11" s="26" t="str">
        <f>VLOOKUP(B11,'2020 SRED (JIRA) - Issues and l'!$B:$C,2,FALSE)</f>
        <v>portal-builder</v>
      </c>
      <c r="B11" s="27" t="str">
        <f>IFERROR(__xludf.DUMMYFUNCTION("""COMPUTED_VALUE"""),"IV2-201")</f>
        <v>IV2-201</v>
      </c>
      <c r="C11" s="26" t="str">
        <f>IFERROR(__xludf.DUMMYFUNCTION("""COMPUTED_VALUE"""),"Create Touchpoint Intake Form in Demo Portal")</f>
        <v>Create Touchpoint Intake Form in Demo Portal</v>
      </c>
      <c r="D11" s="28">
        <f>IFERROR(__xludf.DUMMYFUNCTION("""COMPUTED_VALUE"""),1.0)</f>
        <v>1</v>
      </c>
      <c r="E11" s="29">
        <f>IFERROR(__xludf.DUMMYFUNCTION("""COMPUTED_VALUE"""),43839.0)</f>
        <v>43839</v>
      </c>
      <c r="F11" s="26" t="str">
        <f>IFERROR(__xludf.DUMMYFUNCTION("""COMPUTED_VALUE"""),"557058:436d074a-0c49-48c8-8e0d-e42f14c37c66")</f>
        <v>557058:436d074a-0c49-48c8-8e0d-e42f14c37c66</v>
      </c>
      <c r="G11" s="26" t="str">
        <f>IFERROR(__xludf.DUMMYFUNCTION("""COMPUTED_VALUE"""),"Linda Perfetto")</f>
        <v>Linda Perfetto</v>
      </c>
      <c r="H11" s="26" t="b">
        <v>0</v>
      </c>
    </row>
    <row r="12" hidden="1">
      <c r="A12" s="26" t="str">
        <f>VLOOKUP(B12,'2020 SRED (JIRA) - Issues and l'!$B:$C,2,FALSE)</f>
        <v>automated-summary-reports</v>
      </c>
      <c r="B12" s="27" t="str">
        <f>IFERROR(__xludf.DUMMYFUNCTION("""COMPUTED_VALUE"""),"IV2-164")</f>
        <v>IV2-164</v>
      </c>
      <c r="C12" s="26" t="str">
        <f>IFERROR(__xludf.DUMMYFUNCTION("""COMPUTED_VALUE"""),"Revamp Webinar Analysis Charts/ Graphs")</f>
        <v>Revamp Webinar Analysis Charts/ Graphs</v>
      </c>
      <c r="D12" s="28">
        <f>IFERROR(__xludf.DUMMYFUNCTION("""COMPUTED_VALUE"""),2.08333333333333)</f>
        <v>2.083333333</v>
      </c>
      <c r="E12" s="29">
        <f>IFERROR(__xludf.DUMMYFUNCTION("""COMPUTED_VALUE"""),43840.0)</f>
        <v>43840</v>
      </c>
      <c r="F12" s="26" t="str">
        <f>IFERROR(__xludf.DUMMYFUNCTION("""COMPUTED_VALUE"""),"557058:3124a1f0-e92a-405c-93f2-c1d4e621bc77")</f>
        <v>557058:3124a1f0-e92a-405c-93f2-c1d4e621bc77</v>
      </c>
      <c r="G12" s="26" t="str">
        <f>IFERROR(__xludf.DUMMYFUNCTION("""COMPUTED_VALUE"""),"Trevor Coehoorn")</f>
        <v>Trevor Coehoorn</v>
      </c>
      <c r="H12" s="26" t="b">
        <v>0</v>
      </c>
    </row>
    <row r="13" hidden="1">
      <c r="A13" s="26" t="str">
        <f>VLOOKUP(B13,'2020 SRED (JIRA) - Issues and l'!$B:$C,2,FALSE)</f>
        <v>portal-builder</v>
      </c>
      <c r="B13" s="27" t="str">
        <f>IFERROR(__xludf.DUMMYFUNCTION("""COMPUTED_VALUE"""),"IV2-189")</f>
        <v>IV2-189</v>
      </c>
      <c r="C13" s="26" t="str">
        <f>IFERROR(__xludf.DUMMYFUNCTION("""COMPUTED_VALUE"""),"Move Email Launch tab into the email secondary navigation")</f>
        <v>Move Email Launch tab into the email secondary navigation</v>
      </c>
      <c r="D13" s="28">
        <f>IFERROR(__xludf.DUMMYFUNCTION("""COMPUTED_VALUE"""),0.266666666666666)</f>
        <v>0.2666666667</v>
      </c>
      <c r="E13" s="29">
        <f>IFERROR(__xludf.DUMMYFUNCTION("""COMPUTED_VALUE"""),43840.0)</f>
        <v>43840</v>
      </c>
      <c r="F13" s="26" t="str">
        <f>IFERROR(__xludf.DUMMYFUNCTION("""COMPUTED_VALUE"""),"557058:f55c62b5-dc7e-41e5-b0f8-231ca9f23470")</f>
        <v>557058:f55c62b5-dc7e-41e5-b0f8-231ca9f23470</v>
      </c>
      <c r="G13" s="26" t="str">
        <f>IFERROR(__xludf.DUMMYFUNCTION("""COMPUTED_VALUE"""),"Holly Lam")</f>
        <v>Holly Lam</v>
      </c>
      <c r="H13" s="26" t="b">
        <v>0</v>
      </c>
    </row>
    <row r="14" hidden="1">
      <c r="A14" s="26" t="str">
        <f>VLOOKUP(B14,'2020 SRED (JIRA) - Issues and l'!$B:$C,2,FALSE)</f>
        <v>portal-builder</v>
      </c>
      <c r="B14" s="27" t="str">
        <f>IFERROR(__xludf.DUMMYFUNCTION("""COMPUTED_VALUE"""),"IV2-187")</f>
        <v>IV2-187</v>
      </c>
      <c r="C14" s="26" t="str">
        <f>IFERROR(__xludf.DUMMYFUNCTION("""COMPUTED_VALUE"""),"Customize the Portal Builder delete user popup")</f>
        <v>Customize the Portal Builder delete user popup</v>
      </c>
      <c r="D14" s="28">
        <f>IFERROR(__xludf.DUMMYFUNCTION("""COMPUTED_VALUE"""),0.2)</f>
        <v>0.2</v>
      </c>
      <c r="E14" s="29">
        <f>IFERROR(__xludf.DUMMYFUNCTION("""COMPUTED_VALUE"""),43840.0)</f>
        <v>43840</v>
      </c>
      <c r="F14" s="26" t="str">
        <f>IFERROR(__xludf.DUMMYFUNCTION("""COMPUTED_VALUE"""),"557058:f55c62b5-dc7e-41e5-b0f8-231ca9f23470")</f>
        <v>557058:f55c62b5-dc7e-41e5-b0f8-231ca9f23470</v>
      </c>
      <c r="G14" s="26" t="str">
        <f>IFERROR(__xludf.DUMMYFUNCTION("""COMPUTED_VALUE"""),"Holly Lam")</f>
        <v>Holly Lam</v>
      </c>
      <c r="H14" s="26" t="b">
        <v>0</v>
      </c>
    </row>
    <row r="15" hidden="1">
      <c r="A15" s="26" t="str">
        <f>VLOOKUP(B15,'2020 SRED (JIRA) - Issues and l'!$B:$C,2,FALSE)</f>
        <v>portal-builder</v>
      </c>
      <c r="B15" s="27" t="str">
        <f>IFERROR(__xludf.DUMMYFUNCTION("""COMPUTED_VALUE"""),"IV2-186")</f>
        <v>IV2-186</v>
      </c>
      <c r="C15" s="26" t="str">
        <f>IFERROR(__xludf.DUMMYFUNCTION("""COMPUTED_VALUE"""),"Allow users to upload images when they create content in the Portal Builder")</f>
        <v>Allow users to upload images when they create content in the Portal Builder</v>
      </c>
      <c r="D15" s="28">
        <f>IFERROR(__xludf.DUMMYFUNCTION("""COMPUTED_VALUE"""),0.516666666666666)</f>
        <v>0.5166666667</v>
      </c>
      <c r="E15" s="29">
        <f>IFERROR(__xludf.DUMMYFUNCTION("""COMPUTED_VALUE"""),43840.0)</f>
        <v>43840</v>
      </c>
      <c r="F15" s="26" t="str">
        <f>IFERROR(__xludf.DUMMYFUNCTION("""COMPUTED_VALUE"""),"557058:f55c62b5-dc7e-41e5-b0f8-231ca9f23470")</f>
        <v>557058:f55c62b5-dc7e-41e5-b0f8-231ca9f23470</v>
      </c>
      <c r="G15" s="26" t="str">
        <f>IFERROR(__xludf.DUMMYFUNCTION("""COMPUTED_VALUE"""),"Holly Lam")</f>
        <v>Holly Lam</v>
      </c>
      <c r="H15" s="26" t="b">
        <v>0</v>
      </c>
    </row>
    <row r="16" hidden="1">
      <c r="A16" s="26" t="str">
        <f>VLOOKUP(B16,'2020 SRED (JIRA) - Issues and l'!$B:$C,2,FALSE)</f>
        <v>portal-builder</v>
      </c>
      <c r="B16" s="27" t="str">
        <f>IFERROR(__xludf.DUMMYFUNCTION("""COMPUTED_VALUE"""),"IV2-184")</f>
        <v>IV2-184</v>
      </c>
      <c r="C16" s="26" t="str">
        <f>IFERROR(__xludf.DUMMYFUNCTION("""COMPUTED_VALUE"""),"Add internal team and advisor descriptions to Participants tab")</f>
        <v>Add internal team and advisor descriptions to Participants tab</v>
      </c>
      <c r="D16" s="28">
        <f>IFERROR(__xludf.DUMMYFUNCTION("""COMPUTED_VALUE"""),0.216666666666666)</f>
        <v>0.2166666667</v>
      </c>
      <c r="E16" s="29">
        <f>IFERROR(__xludf.DUMMYFUNCTION("""COMPUTED_VALUE"""),43840.0)</f>
        <v>43840</v>
      </c>
      <c r="F16" s="26" t="str">
        <f>IFERROR(__xludf.DUMMYFUNCTION("""COMPUTED_VALUE"""),"557058:f55c62b5-dc7e-41e5-b0f8-231ca9f23470")</f>
        <v>557058:f55c62b5-dc7e-41e5-b0f8-231ca9f23470</v>
      </c>
      <c r="G16" s="26" t="str">
        <f>IFERROR(__xludf.DUMMYFUNCTION("""COMPUTED_VALUE"""),"Holly Lam")</f>
        <v>Holly Lam</v>
      </c>
      <c r="H16" s="26" t="b">
        <v>0</v>
      </c>
    </row>
    <row r="17" hidden="1">
      <c r="A17" s="26" t="str">
        <f>VLOOKUP(B17,'2020 SRED (JIRA) - Issues and l'!$B:$C,2,FALSE)</f>
        <v>portal-builder</v>
      </c>
      <c r="B17" s="27" t="str">
        <f>IFERROR(__xludf.DUMMYFUNCTION("""COMPUTED_VALUE"""),"IV2-155")</f>
        <v>IV2-155</v>
      </c>
      <c r="C17" s="26" t="str">
        <f>IFERROR(__xludf.DUMMYFUNCTION("""COMPUTED_VALUE"""),"Add touchpoint link to portal builder after a touchpoint has been launched")</f>
        <v>Add touchpoint link to portal builder after a touchpoint has been launched</v>
      </c>
      <c r="D17" s="28">
        <f>IFERROR(__xludf.DUMMYFUNCTION("""COMPUTED_VALUE"""),0.733333333333333)</f>
        <v>0.7333333333</v>
      </c>
      <c r="E17" s="29">
        <f>IFERROR(__xludf.DUMMYFUNCTION("""COMPUTED_VALUE"""),43840.0)</f>
        <v>43840</v>
      </c>
      <c r="F17" s="26" t="str">
        <f>IFERROR(__xludf.DUMMYFUNCTION("""COMPUTED_VALUE"""),"557058:f55c62b5-dc7e-41e5-b0f8-231ca9f23470")</f>
        <v>557058:f55c62b5-dc7e-41e5-b0f8-231ca9f23470</v>
      </c>
      <c r="G17" s="26" t="str">
        <f>IFERROR(__xludf.DUMMYFUNCTION("""COMPUTED_VALUE"""),"Holly Lam")</f>
        <v>Holly Lam</v>
      </c>
      <c r="H17" s="26" t="b">
        <v>0</v>
      </c>
    </row>
    <row r="18" hidden="1">
      <c r="A18" s="26" t="str">
        <f>VLOOKUP(B18,'2020 SRED (JIRA) - Issues and l'!$B:$C,2,FALSE)</f>
        <v>portal-builder</v>
      </c>
      <c r="B18" s="27" t="str">
        <f>IFERROR(__xludf.DUMMYFUNCTION("""COMPUTED_VALUE"""),"IV2-147")</f>
        <v>IV2-147</v>
      </c>
      <c r="C18" s="26" t="str">
        <f>IFERROR(__xludf.DUMMYFUNCTION("""COMPUTED_VALUE"""),"Add files to pages in the Portal Builder")</f>
        <v>Add files to pages in the Portal Builder</v>
      </c>
      <c r="D18" s="28">
        <f>IFERROR(__xludf.DUMMYFUNCTION("""COMPUTED_VALUE"""),0.483333333333333)</f>
        <v>0.4833333333</v>
      </c>
      <c r="E18" s="29">
        <f>IFERROR(__xludf.DUMMYFUNCTION("""COMPUTED_VALUE"""),43840.0)</f>
        <v>43840</v>
      </c>
      <c r="F18" s="26" t="str">
        <f>IFERROR(__xludf.DUMMYFUNCTION("""COMPUTED_VALUE"""),"557058:f55c62b5-dc7e-41e5-b0f8-231ca9f23470")</f>
        <v>557058:f55c62b5-dc7e-41e5-b0f8-231ca9f23470</v>
      </c>
      <c r="G18" s="26" t="str">
        <f>IFERROR(__xludf.DUMMYFUNCTION("""COMPUTED_VALUE"""),"Holly Lam")</f>
        <v>Holly Lam</v>
      </c>
      <c r="H18" s="26" t="b">
        <v>0</v>
      </c>
    </row>
    <row r="19" hidden="1">
      <c r="A19" s="26" t="str">
        <f>VLOOKUP(B19,'2020 SRED (JIRA) - Issues and l'!$B:$C,2,FALSE)</f>
        <v>portal-builder</v>
      </c>
      <c r="B19" s="27" t="str">
        <f>IFERROR(__xludf.DUMMYFUNCTION("""COMPUTED_VALUE"""),"IV2-187")</f>
        <v>IV2-187</v>
      </c>
      <c r="C19" s="26" t="str">
        <f>IFERROR(__xludf.DUMMYFUNCTION("""COMPUTED_VALUE"""),"Customize the Portal Builder delete user popup")</f>
        <v>Customize the Portal Builder delete user popup</v>
      </c>
      <c r="D19" s="28">
        <f>IFERROR(__xludf.DUMMYFUNCTION("""COMPUTED_VALUE"""),0.166666666666666)</f>
        <v>0.1666666667</v>
      </c>
      <c r="E19" s="29">
        <f>IFERROR(__xludf.DUMMYFUNCTION("""COMPUTED_VALUE"""),43843.0)</f>
        <v>43843</v>
      </c>
      <c r="F19" s="26" t="str">
        <f>IFERROR(__xludf.DUMMYFUNCTION("""COMPUTED_VALUE"""),"557058:3124a1f0-e92a-405c-93f2-c1d4e621bc77")</f>
        <v>557058:3124a1f0-e92a-405c-93f2-c1d4e621bc77</v>
      </c>
      <c r="G19" s="26" t="str">
        <f>IFERROR(__xludf.DUMMYFUNCTION("""COMPUTED_VALUE"""),"Trevor Coehoorn")</f>
        <v>Trevor Coehoorn</v>
      </c>
      <c r="H19" s="26" t="b">
        <v>0</v>
      </c>
    </row>
    <row r="20" hidden="1">
      <c r="A20" s="26" t="str">
        <f>VLOOKUP(B20,'2020 SRED (JIRA) - Issues and l'!$B:$C,2,FALSE)</f>
        <v>portal-builder</v>
      </c>
      <c r="B20" s="27" t="str">
        <f>IFERROR(__xludf.DUMMYFUNCTION("""COMPUTED_VALUE"""),"IV2-186")</f>
        <v>IV2-186</v>
      </c>
      <c r="C20" s="26" t="str">
        <f>IFERROR(__xludf.DUMMYFUNCTION("""COMPUTED_VALUE"""),"Allow users to upload images when they create content in the Portal Builder")</f>
        <v>Allow users to upload images when they create content in the Portal Builder</v>
      </c>
      <c r="D20" s="28">
        <f>IFERROR(__xludf.DUMMYFUNCTION("""COMPUTED_VALUE"""),0.0333333333333333)</f>
        <v>0.03333333333</v>
      </c>
      <c r="E20" s="29">
        <f>IFERROR(__xludf.DUMMYFUNCTION("""COMPUTED_VALUE"""),43843.0)</f>
        <v>43843</v>
      </c>
      <c r="F20" s="26" t="str">
        <f>IFERROR(__xludf.DUMMYFUNCTION("""COMPUTED_VALUE"""),"557058:3124a1f0-e92a-405c-93f2-c1d4e621bc77")</f>
        <v>557058:3124a1f0-e92a-405c-93f2-c1d4e621bc77</v>
      </c>
      <c r="G20" s="26" t="str">
        <f>IFERROR(__xludf.DUMMYFUNCTION("""COMPUTED_VALUE"""),"Trevor Coehoorn")</f>
        <v>Trevor Coehoorn</v>
      </c>
      <c r="H20" s="26" t="b">
        <v>0</v>
      </c>
    </row>
    <row r="21" hidden="1">
      <c r="A21" s="26" t="str">
        <f>VLOOKUP(B21,'2020 SRED (JIRA) - Issues and l'!$B:$C,2,FALSE)</f>
        <v>portal-builder</v>
      </c>
      <c r="B21" s="27" t="str">
        <f>IFERROR(__xludf.DUMMYFUNCTION("""COMPUTED_VALUE"""),"IV2-184")</f>
        <v>IV2-184</v>
      </c>
      <c r="C21" s="26" t="str">
        <f>IFERROR(__xludf.DUMMYFUNCTION("""COMPUTED_VALUE"""),"Add internal team and advisor descriptions to Participants tab")</f>
        <v>Add internal team and advisor descriptions to Participants tab</v>
      </c>
      <c r="D21" s="28">
        <f>IFERROR(__xludf.DUMMYFUNCTION("""COMPUTED_VALUE"""),0.0166666666666666)</f>
        <v>0.01666666667</v>
      </c>
      <c r="E21" s="29">
        <f>IFERROR(__xludf.DUMMYFUNCTION("""COMPUTED_VALUE"""),43843.0)</f>
        <v>43843</v>
      </c>
      <c r="F21" s="26" t="str">
        <f>IFERROR(__xludf.DUMMYFUNCTION("""COMPUTED_VALUE"""),"557058:3124a1f0-e92a-405c-93f2-c1d4e621bc77")</f>
        <v>557058:3124a1f0-e92a-405c-93f2-c1d4e621bc77</v>
      </c>
      <c r="G21" s="26" t="str">
        <f>IFERROR(__xludf.DUMMYFUNCTION("""COMPUTED_VALUE"""),"Trevor Coehoorn")</f>
        <v>Trevor Coehoorn</v>
      </c>
      <c r="H21" s="26" t="b">
        <v>0</v>
      </c>
    </row>
    <row r="22" hidden="1">
      <c r="A22" s="26" t="str">
        <f>VLOOKUP(B22,'2020 SRED (JIRA) - Issues and l'!$B:$C,2,FALSE)</f>
        <v>portal-builder</v>
      </c>
      <c r="B22" s="27" t="str">
        <f>IFERROR(__xludf.DUMMYFUNCTION("""COMPUTED_VALUE"""),"IV2-155")</f>
        <v>IV2-155</v>
      </c>
      <c r="C22" s="26" t="str">
        <f>IFERROR(__xludf.DUMMYFUNCTION("""COMPUTED_VALUE"""),"Add touchpoint link to portal builder after a touchpoint has been launched")</f>
        <v>Add touchpoint link to portal builder after a touchpoint has been launched</v>
      </c>
      <c r="D22" s="28">
        <f>IFERROR(__xludf.DUMMYFUNCTION("""COMPUTED_VALUE"""),0.0166666666666666)</f>
        <v>0.01666666667</v>
      </c>
      <c r="E22" s="29">
        <f>IFERROR(__xludf.DUMMYFUNCTION("""COMPUTED_VALUE"""),43843.0)</f>
        <v>43843</v>
      </c>
      <c r="F22" s="26" t="str">
        <f>IFERROR(__xludf.DUMMYFUNCTION("""COMPUTED_VALUE"""),"557058:3124a1f0-e92a-405c-93f2-c1d4e621bc77")</f>
        <v>557058:3124a1f0-e92a-405c-93f2-c1d4e621bc77</v>
      </c>
      <c r="G22" s="26" t="str">
        <f>IFERROR(__xludf.DUMMYFUNCTION("""COMPUTED_VALUE"""),"Trevor Coehoorn")</f>
        <v>Trevor Coehoorn</v>
      </c>
      <c r="H22" s="26" t="b">
        <v>0</v>
      </c>
    </row>
    <row r="23" hidden="1">
      <c r="A23" s="26" t="str">
        <f>VLOOKUP(B23,'2020 SRED (JIRA) - Issues and l'!$B:$C,2,FALSE)</f>
        <v>portal-builder</v>
      </c>
      <c r="B23" s="27" t="str">
        <f>IFERROR(__xludf.DUMMYFUNCTION("""COMPUTED_VALUE"""),"IV2-147")</f>
        <v>IV2-147</v>
      </c>
      <c r="C23" s="26" t="str">
        <f>IFERROR(__xludf.DUMMYFUNCTION("""COMPUTED_VALUE"""),"Add files to pages in the Portal Builder")</f>
        <v>Add files to pages in the Portal Builder</v>
      </c>
      <c r="D23" s="28">
        <f>IFERROR(__xludf.DUMMYFUNCTION("""COMPUTED_VALUE"""),0.516666666666666)</f>
        <v>0.5166666667</v>
      </c>
      <c r="E23" s="29">
        <f>IFERROR(__xludf.DUMMYFUNCTION("""COMPUTED_VALUE"""),43843.0)</f>
        <v>43843</v>
      </c>
      <c r="F23" s="26" t="str">
        <f>IFERROR(__xludf.DUMMYFUNCTION("""COMPUTED_VALUE"""),"557058:3124a1f0-e92a-405c-93f2-c1d4e621bc77")</f>
        <v>557058:3124a1f0-e92a-405c-93f2-c1d4e621bc77</v>
      </c>
      <c r="G23" s="26" t="str">
        <f>IFERROR(__xludf.DUMMYFUNCTION("""COMPUTED_VALUE"""),"Trevor Coehoorn")</f>
        <v>Trevor Coehoorn</v>
      </c>
      <c r="H23" s="26" t="b">
        <v>0</v>
      </c>
    </row>
    <row r="24" hidden="1">
      <c r="A24" s="26" t="str">
        <f>VLOOKUP(B24,'2020 SRED (JIRA) - Issues and l'!$B:$C,2,FALSE)</f>
        <v>portal-builder</v>
      </c>
      <c r="B24" s="27" t="str">
        <f>IFERROR(__xludf.DUMMYFUNCTION("""COMPUTED_VALUE"""),"IV2-31")</f>
        <v>IV2-31</v>
      </c>
      <c r="C24" s="26" t="str">
        <f>IFERROR(__xludf.DUMMYFUNCTION("""COMPUTED_VALUE"""),"V2 Status Meetings")</f>
        <v>V2 Status Meetings</v>
      </c>
      <c r="D24" s="28">
        <f>IFERROR(__xludf.DUMMYFUNCTION("""COMPUTED_VALUE"""),0.183333333333333)</f>
        <v>0.1833333333</v>
      </c>
      <c r="E24" s="29">
        <f>IFERROR(__xludf.DUMMYFUNCTION("""COMPUTED_VALUE"""),43843.0)</f>
        <v>43843</v>
      </c>
      <c r="F24" s="26" t="str">
        <f>IFERROR(__xludf.DUMMYFUNCTION("""COMPUTED_VALUE"""),"557058:3124a1f0-e92a-405c-93f2-c1d4e621bc77")</f>
        <v>557058:3124a1f0-e92a-405c-93f2-c1d4e621bc77</v>
      </c>
      <c r="G24" s="26" t="str">
        <f>IFERROR(__xludf.DUMMYFUNCTION("""COMPUTED_VALUE"""),"Trevor Coehoorn")</f>
        <v>Trevor Coehoorn</v>
      </c>
      <c r="H24" s="26" t="b">
        <v>0</v>
      </c>
    </row>
    <row r="25" hidden="1">
      <c r="A25" s="26" t="str">
        <f>VLOOKUP(B25,'2020 SRED (JIRA) - Issues and l'!$B:$C,2,FALSE)</f>
        <v>portal-builder-SRED</v>
      </c>
      <c r="B25" s="27" t="str">
        <f>IFERROR(__xludf.DUMMYFUNCTION("""COMPUTED_VALUE"""),"IV2-202")</f>
        <v>IV2-202</v>
      </c>
      <c r="C25" s="26" t="str">
        <f>IFERROR(__xludf.DUMMYFUNCTION("""COMPUTED_VALUE"""),"Portal Builder Surveyor Questions")</f>
        <v>Portal Builder Surveyor Questions</v>
      </c>
      <c r="D25" s="28">
        <f>IFERROR(__xludf.DUMMYFUNCTION("""COMPUTED_VALUE"""),2.93333333333333)</f>
        <v>2.933333333</v>
      </c>
      <c r="E25" s="29">
        <f>IFERROR(__xludf.DUMMYFUNCTION("""COMPUTED_VALUE"""),43843.0)</f>
        <v>43843</v>
      </c>
      <c r="F25" s="26" t="str">
        <f>IFERROR(__xludf.DUMMYFUNCTION("""COMPUTED_VALUE"""),"557058:3124a1f0-e92a-405c-93f2-c1d4e621bc77")</f>
        <v>557058:3124a1f0-e92a-405c-93f2-c1d4e621bc77</v>
      </c>
      <c r="G25" s="26" t="str">
        <f>IFERROR(__xludf.DUMMYFUNCTION("""COMPUTED_VALUE"""),"Trevor Coehoorn")</f>
        <v>Trevor Coehoorn</v>
      </c>
      <c r="H25" s="26" t="b">
        <v>0</v>
      </c>
    </row>
    <row r="26" hidden="1">
      <c r="A26" s="26" t="str">
        <f>VLOOKUP(B26,'2020 SRED (JIRA) - Issues and l'!$B:$C,2,FALSE)</f>
        <v>portal-builder</v>
      </c>
      <c r="B26" s="27" t="str">
        <f>IFERROR(__xludf.DUMMYFUNCTION("""COMPUTED_VALUE"""),"IV2-198")</f>
        <v>IV2-198</v>
      </c>
      <c r="C26" s="26" t="str">
        <f>IFERROR(__xludf.DUMMYFUNCTION("""COMPUTED_VALUE"""),"Add webform layout box components using the Touchpoint Builder")</f>
        <v>Add webform layout box components using the Touchpoint Builder</v>
      </c>
      <c r="D26" s="28">
        <f>IFERROR(__xludf.DUMMYFUNCTION("""COMPUTED_VALUE"""),0.133333333333333)</f>
        <v>0.1333333333</v>
      </c>
      <c r="E26" s="29">
        <f>IFERROR(__xludf.DUMMYFUNCTION("""COMPUTED_VALUE"""),43843.0)</f>
        <v>43843</v>
      </c>
      <c r="F26" s="26" t="str">
        <f>IFERROR(__xludf.DUMMYFUNCTION("""COMPUTED_VALUE"""),"557058:3124a1f0-e92a-405c-93f2-c1d4e621bc77")</f>
        <v>557058:3124a1f0-e92a-405c-93f2-c1d4e621bc77</v>
      </c>
      <c r="G26" s="26" t="str">
        <f>IFERROR(__xludf.DUMMYFUNCTION("""COMPUTED_VALUE"""),"Trevor Coehoorn")</f>
        <v>Trevor Coehoorn</v>
      </c>
      <c r="H26" s="26" t="b">
        <v>0</v>
      </c>
    </row>
    <row r="27" hidden="1">
      <c r="A27" s="26" t="str">
        <f>VLOOKUP(B27,'2020 SRED (JIRA) - Issues and l'!$B:$C,2,FALSE)</f>
        <v>portal-builder</v>
      </c>
      <c r="B27" s="27" t="str">
        <f>IFERROR(__xludf.DUMMYFUNCTION("""COMPUTED_VALUE"""),"IV2-201")</f>
        <v>IV2-201</v>
      </c>
      <c r="C27" s="26" t="str">
        <f>IFERROR(__xludf.DUMMYFUNCTION("""COMPUTED_VALUE"""),"Create Touchpoint Intake Form in Demo Portal")</f>
        <v>Create Touchpoint Intake Form in Demo Portal</v>
      </c>
      <c r="D27" s="28">
        <f>IFERROR(__xludf.DUMMYFUNCTION("""COMPUTED_VALUE"""),0.166666666666666)</f>
        <v>0.1666666667</v>
      </c>
      <c r="E27" s="29">
        <f>IFERROR(__xludf.DUMMYFUNCTION("""COMPUTED_VALUE"""),43843.0)</f>
        <v>43843</v>
      </c>
      <c r="F27" s="26" t="str">
        <f>IFERROR(__xludf.DUMMYFUNCTION("""COMPUTED_VALUE"""),"557058:436d074a-0c49-48c8-8e0d-e42f14c37c66")</f>
        <v>557058:436d074a-0c49-48c8-8e0d-e42f14c37c66</v>
      </c>
      <c r="G27" s="26" t="str">
        <f>IFERROR(__xludf.DUMMYFUNCTION("""COMPUTED_VALUE"""),"Linda Perfetto")</f>
        <v>Linda Perfetto</v>
      </c>
      <c r="H27" s="26" t="b">
        <v>0</v>
      </c>
    </row>
    <row r="28" hidden="1">
      <c r="A28" s="26" t="str">
        <f>VLOOKUP(B28,'2020 SRED (JIRA) - Issues and l'!$B:$C,2,FALSE)</f>
        <v>automated-summary-reports</v>
      </c>
      <c r="B28" s="27" t="str">
        <f>IFERROR(__xludf.DUMMYFUNCTION("""COMPUTED_VALUE"""),"IV2-164")</f>
        <v>IV2-164</v>
      </c>
      <c r="C28" s="26" t="str">
        <f>IFERROR(__xludf.DUMMYFUNCTION("""COMPUTED_VALUE"""),"Revamp Webinar Analysis Charts/ Graphs")</f>
        <v>Revamp Webinar Analysis Charts/ Graphs</v>
      </c>
      <c r="D28" s="28">
        <f>IFERROR(__xludf.DUMMYFUNCTION("""COMPUTED_VALUE"""),0.416666666666666)</f>
        <v>0.4166666667</v>
      </c>
      <c r="E28" s="29">
        <f>IFERROR(__xludf.DUMMYFUNCTION("""COMPUTED_VALUE"""),43843.0)</f>
        <v>43843</v>
      </c>
      <c r="F28" s="26" t="str">
        <f>IFERROR(__xludf.DUMMYFUNCTION("""COMPUTED_VALUE"""),"557058:f55c62b5-dc7e-41e5-b0f8-231ca9f23470")</f>
        <v>557058:f55c62b5-dc7e-41e5-b0f8-231ca9f23470</v>
      </c>
      <c r="G28" s="26" t="str">
        <f>IFERROR(__xludf.DUMMYFUNCTION("""COMPUTED_VALUE"""),"Holly Lam")</f>
        <v>Holly Lam</v>
      </c>
      <c r="H28" s="26" t="b">
        <v>0</v>
      </c>
    </row>
    <row r="29" hidden="1">
      <c r="A29" s="26" t="str">
        <f>VLOOKUP(B29,'2020 SRED (JIRA) - Issues and l'!$B:$C,2,FALSE)</f>
        <v>automated-summary-reports</v>
      </c>
      <c r="B29" s="27" t="str">
        <f>IFERROR(__xludf.DUMMYFUNCTION("""COMPUTED_VALUE"""),"IV2-164")</f>
        <v>IV2-164</v>
      </c>
      <c r="C29" s="26" t="str">
        <f>IFERROR(__xludf.DUMMYFUNCTION("""COMPUTED_VALUE"""),"Revamp Webinar Analysis Charts/ Graphs")</f>
        <v>Revamp Webinar Analysis Charts/ Graphs</v>
      </c>
      <c r="D29" s="28">
        <f>IFERROR(__xludf.DUMMYFUNCTION("""COMPUTED_VALUE"""),2.91666666666666)</f>
        <v>2.916666667</v>
      </c>
      <c r="E29" s="29">
        <f>IFERROR(__xludf.DUMMYFUNCTION("""COMPUTED_VALUE"""),43844.0)</f>
        <v>43844</v>
      </c>
      <c r="F29" s="26" t="str">
        <f>IFERROR(__xludf.DUMMYFUNCTION("""COMPUTED_VALUE"""),"557058:3124a1f0-e92a-405c-93f2-c1d4e621bc77")</f>
        <v>557058:3124a1f0-e92a-405c-93f2-c1d4e621bc77</v>
      </c>
      <c r="G29" s="26" t="str">
        <f>IFERROR(__xludf.DUMMYFUNCTION("""COMPUTED_VALUE"""),"Trevor Coehoorn")</f>
        <v>Trevor Coehoorn</v>
      </c>
      <c r="H29" s="26" t="b">
        <v>0</v>
      </c>
    </row>
    <row r="30" hidden="1">
      <c r="A30" s="26" t="str">
        <f>VLOOKUP(B30,'2020 SRED (JIRA) - Issues and l'!$B:$C,2,FALSE)</f>
        <v>portal-builder</v>
      </c>
      <c r="B30" s="27" t="str">
        <f>IFERROR(__xludf.DUMMYFUNCTION("""COMPUTED_VALUE"""),"IV2-147")</f>
        <v>IV2-147</v>
      </c>
      <c r="C30" s="26" t="str">
        <f>IFERROR(__xludf.DUMMYFUNCTION("""COMPUTED_VALUE"""),"Add files to pages in the Portal Builder")</f>
        <v>Add files to pages in the Portal Builder</v>
      </c>
      <c r="D30" s="28">
        <f>IFERROR(__xludf.DUMMYFUNCTION("""COMPUTED_VALUE"""),0.25)</f>
        <v>0.25</v>
      </c>
      <c r="E30" s="29">
        <f>IFERROR(__xludf.DUMMYFUNCTION("""COMPUTED_VALUE"""),43844.0)</f>
        <v>43844</v>
      </c>
      <c r="F30" s="26" t="str">
        <f>IFERROR(__xludf.DUMMYFUNCTION("""COMPUTED_VALUE"""),"557058:f55c62b5-dc7e-41e5-b0f8-231ca9f23470")</f>
        <v>557058:f55c62b5-dc7e-41e5-b0f8-231ca9f23470</v>
      </c>
      <c r="G30" s="26" t="str">
        <f>IFERROR(__xludf.DUMMYFUNCTION("""COMPUTED_VALUE"""),"Holly Lam")</f>
        <v>Holly Lam</v>
      </c>
      <c r="H30" s="26" t="b">
        <v>0</v>
      </c>
    </row>
    <row r="31" hidden="1">
      <c r="A31" s="26" t="str">
        <f>VLOOKUP(B31,'2020 SRED (JIRA) - Issues and l'!$B:$C,2,FALSE)</f>
        <v>portal-builder</v>
      </c>
      <c r="B31" s="27" t="str">
        <f>IFERROR(__xludf.DUMMYFUNCTION("""COMPUTED_VALUE"""),"IV2-155")</f>
        <v>IV2-155</v>
      </c>
      <c r="C31" s="26" t="str">
        <f>IFERROR(__xludf.DUMMYFUNCTION("""COMPUTED_VALUE"""),"Add touchpoint link to portal builder after a touchpoint has been launched")</f>
        <v>Add touchpoint link to portal builder after a touchpoint has been launched</v>
      </c>
      <c r="D31" s="28">
        <f>IFERROR(__xludf.DUMMYFUNCTION("""COMPUTED_VALUE"""),0.833333333333333)</f>
        <v>0.8333333333</v>
      </c>
      <c r="E31" s="29">
        <f>IFERROR(__xludf.DUMMYFUNCTION("""COMPUTED_VALUE"""),43845.0)</f>
        <v>43845</v>
      </c>
      <c r="F31" s="26" t="str">
        <f>IFERROR(__xludf.DUMMYFUNCTION("""COMPUTED_VALUE"""),"557058:3124a1f0-e92a-405c-93f2-c1d4e621bc77")</f>
        <v>557058:3124a1f0-e92a-405c-93f2-c1d4e621bc77</v>
      </c>
      <c r="G31" s="26" t="str">
        <f>IFERROR(__xludf.DUMMYFUNCTION("""COMPUTED_VALUE"""),"Trevor Coehoorn")</f>
        <v>Trevor Coehoorn</v>
      </c>
      <c r="H31" s="26" t="b">
        <v>0</v>
      </c>
    </row>
    <row r="32" hidden="1">
      <c r="A32" s="26" t="str">
        <f>VLOOKUP(B32,'2020 SRED (JIRA) - Issues and l'!$B:$C,2,FALSE)</f>
        <v>portal-builder-SRED</v>
      </c>
      <c r="B32" s="27" t="str">
        <f>IFERROR(__xludf.DUMMYFUNCTION("""COMPUTED_VALUE"""),"IV2-202")</f>
        <v>IV2-202</v>
      </c>
      <c r="C32" s="26" t="str">
        <f>IFERROR(__xludf.DUMMYFUNCTION("""COMPUTED_VALUE"""),"Portal Builder Surveyor Questions")</f>
        <v>Portal Builder Surveyor Questions</v>
      </c>
      <c r="D32" s="28">
        <f>IFERROR(__xludf.DUMMYFUNCTION("""COMPUTED_VALUE"""),4.7)</f>
        <v>4.7</v>
      </c>
      <c r="E32" s="29">
        <f>IFERROR(__xludf.DUMMYFUNCTION("""COMPUTED_VALUE"""),43845.0)</f>
        <v>43845</v>
      </c>
      <c r="F32" s="26" t="str">
        <f>IFERROR(__xludf.DUMMYFUNCTION("""COMPUTED_VALUE"""),"557058:3124a1f0-e92a-405c-93f2-c1d4e621bc77")</f>
        <v>557058:3124a1f0-e92a-405c-93f2-c1d4e621bc77</v>
      </c>
      <c r="G32" s="26" t="str">
        <f>IFERROR(__xludf.DUMMYFUNCTION("""COMPUTED_VALUE"""),"Trevor Coehoorn")</f>
        <v>Trevor Coehoorn</v>
      </c>
      <c r="H32" s="26" t="b">
        <v>0</v>
      </c>
    </row>
    <row r="33" hidden="1">
      <c r="A33" s="26" t="str">
        <f>VLOOKUP(B33,'2020 SRED (JIRA) - Issues and l'!$B:$C,2,FALSE)</f>
        <v>automated-summary-reports</v>
      </c>
      <c r="B33" s="27" t="str">
        <f>IFERROR(__xludf.DUMMYFUNCTION("""COMPUTED_VALUE"""),"IV2-164")</f>
        <v>IV2-164</v>
      </c>
      <c r="C33" s="26" t="str">
        <f>IFERROR(__xludf.DUMMYFUNCTION("""COMPUTED_VALUE"""),"Revamp Webinar Analysis Charts/ Graphs")</f>
        <v>Revamp Webinar Analysis Charts/ Graphs</v>
      </c>
      <c r="D33" s="28">
        <f>IFERROR(__xludf.DUMMYFUNCTION("""COMPUTED_VALUE"""),1.93333333333333)</f>
        <v>1.933333333</v>
      </c>
      <c r="E33" s="29">
        <f>IFERROR(__xludf.DUMMYFUNCTION("""COMPUTED_VALUE"""),43845.0)</f>
        <v>43845</v>
      </c>
      <c r="F33" s="26" t="str">
        <f>IFERROR(__xludf.DUMMYFUNCTION("""COMPUTED_VALUE"""),"557058:3124a1f0-e92a-405c-93f2-c1d4e621bc77")</f>
        <v>557058:3124a1f0-e92a-405c-93f2-c1d4e621bc77</v>
      </c>
      <c r="G33" s="26" t="str">
        <f>IFERROR(__xludf.DUMMYFUNCTION("""COMPUTED_VALUE"""),"Trevor Coehoorn")</f>
        <v>Trevor Coehoorn</v>
      </c>
      <c r="H33" s="26" t="b">
        <v>0</v>
      </c>
    </row>
    <row r="34" hidden="1">
      <c r="A34" s="26" t="str">
        <f>VLOOKUP(B34,'2020 SRED (JIRA) - Issues and l'!$B:$C,2,FALSE)</f>
        <v>portal-builder</v>
      </c>
      <c r="B34" s="27" t="str">
        <f>IFERROR(__xludf.DUMMYFUNCTION("""COMPUTED_VALUE"""),"IV2-147")</f>
        <v>IV2-147</v>
      </c>
      <c r="C34" s="26" t="str">
        <f>IFERROR(__xludf.DUMMYFUNCTION("""COMPUTED_VALUE"""),"Add files to pages in the Portal Builder")</f>
        <v>Add files to pages in the Portal Builder</v>
      </c>
      <c r="D34" s="28">
        <f>IFERROR(__xludf.DUMMYFUNCTION("""COMPUTED_VALUE"""),1.08333333333333)</f>
        <v>1.083333333</v>
      </c>
      <c r="E34" s="29">
        <f>IFERROR(__xludf.DUMMYFUNCTION("""COMPUTED_VALUE"""),43846.0)</f>
        <v>43846</v>
      </c>
      <c r="F34" s="26" t="str">
        <f>IFERROR(__xludf.DUMMYFUNCTION("""COMPUTED_VALUE"""),"557058:3124a1f0-e92a-405c-93f2-c1d4e621bc77")</f>
        <v>557058:3124a1f0-e92a-405c-93f2-c1d4e621bc77</v>
      </c>
      <c r="G34" s="26" t="str">
        <f>IFERROR(__xludf.DUMMYFUNCTION("""COMPUTED_VALUE"""),"Trevor Coehoorn")</f>
        <v>Trevor Coehoorn</v>
      </c>
      <c r="H34" s="26" t="b">
        <v>0</v>
      </c>
    </row>
    <row r="35" hidden="1">
      <c r="A35" s="26" t="str">
        <f>VLOOKUP(B35,'2020 SRED (JIRA) - Issues and l'!$B:$C,2,FALSE)</f>
        <v>portal-builder</v>
      </c>
      <c r="B35" s="27" t="str">
        <f>IFERROR(__xludf.DUMMYFUNCTION("""COMPUTED_VALUE"""),"IV2-155")</f>
        <v>IV2-155</v>
      </c>
      <c r="C35" s="26" t="str">
        <f>IFERROR(__xludf.DUMMYFUNCTION("""COMPUTED_VALUE"""),"Add touchpoint link to portal builder after a touchpoint has been launched")</f>
        <v>Add touchpoint link to portal builder after a touchpoint has been launched</v>
      </c>
      <c r="D35" s="28">
        <f>IFERROR(__xludf.DUMMYFUNCTION("""COMPUTED_VALUE"""),0.216666666666666)</f>
        <v>0.2166666667</v>
      </c>
      <c r="E35" s="29">
        <f>IFERROR(__xludf.DUMMYFUNCTION("""COMPUTED_VALUE"""),43846.0)</f>
        <v>43846</v>
      </c>
      <c r="F35" s="26" t="str">
        <f>IFERROR(__xludf.DUMMYFUNCTION("""COMPUTED_VALUE"""),"557058:3124a1f0-e92a-405c-93f2-c1d4e621bc77")</f>
        <v>557058:3124a1f0-e92a-405c-93f2-c1d4e621bc77</v>
      </c>
      <c r="G35" s="26" t="str">
        <f>IFERROR(__xludf.DUMMYFUNCTION("""COMPUTED_VALUE"""),"Trevor Coehoorn")</f>
        <v>Trevor Coehoorn</v>
      </c>
      <c r="H35" s="26" t="b">
        <v>0</v>
      </c>
    </row>
    <row r="36" hidden="1">
      <c r="A36" s="26" t="str">
        <f>VLOOKUP(B36,'2020 SRED (JIRA) - Issues and l'!$B:$C,2,FALSE)</f>
        <v>portal-builder</v>
      </c>
      <c r="B36" s="27" t="str">
        <f>IFERROR(__xludf.DUMMYFUNCTION("""COMPUTED_VALUE"""),"IV2-184")</f>
        <v>IV2-184</v>
      </c>
      <c r="C36" s="26" t="str">
        <f>IFERROR(__xludf.DUMMYFUNCTION("""COMPUTED_VALUE"""),"Add internal team and advisor descriptions to Participants tab")</f>
        <v>Add internal team and advisor descriptions to Participants tab</v>
      </c>
      <c r="D36" s="28">
        <f>IFERROR(__xludf.DUMMYFUNCTION("""COMPUTED_VALUE"""),0.733333333333333)</f>
        <v>0.7333333333</v>
      </c>
      <c r="E36" s="29">
        <f>IFERROR(__xludf.DUMMYFUNCTION("""COMPUTED_VALUE"""),43846.0)</f>
        <v>43846</v>
      </c>
      <c r="F36" s="26" t="str">
        <f>IFERROR(__xludf.DUMMYFUNCTION("""COMPUTED_VALUE"""),"557058:3124a1f0-e92a-405c-93f2-c1d4e621bc77")</f>
        <v>557058:3124a1f0-e92a-405c-93f2-c1d4e621bc77</v>
      </c>
      <c r="G36" s="26" t="str">
        <f>IFERROR(__xludf.DUMMYFUNCTION("""COMPUTED_VALUE"""),"Trevor Coehoorn")</f>
        <v>Trevor Coehoorn</v>
      </c>
      <c r="H36" s="26" t="b">
        <v>0</v>
      </c>
    </row>
    <row r="37" hidden="1">
      <c r="A37" s="26" t="str">
        <f>VLOOKUP(B37,'2020 SRED (JIRA) - Issues and l'!$B:$C,2,FALSE)</f>
        <v>portal-builder-SRED</v>
      </c>
      <c r="B37" s="27" t="str">
        <f>IFERROR(__xludf.DUMMYFUNCTION("""COMPUTED_VALUE"""),"IV2-202")</f>
        <v>IV2-202</v>
      </c>
      <c r="C37" s="26" t="str">
        <f>IFERROR(__xludf.DUMMYFUNCTION("""COMPUTED_VALUE"""),"Portal Builder Surveyor Questions")</f>
        <v>Portal Builder Surveyor Questions</v>
      </c>
      <c r="D37" s="28">
        <f>IFERROR(__xludf.DUMMYFUNCTION("""COMPUTED_VALUE"""),0.0666666666666666)</f>
        <v>0.06666666667</v>
      </c>
      <c r="E37" s="29">
        <f>IFERROR(__xludf.DUMMYFUNCTION("""COMPUTED_VALUE"""),43846.0)</f>
        <v>43846</v>
      </c>
      <c r="F37" s="26" t="str">
        <f>IFERROR(__xludf.DUMMYFUNCTION("""COMPUTED_VALUE"""),"557058:3124a1f0-e92a-405c-93f2-c1d4e621bc77")</f>
        <v>557058:3124a1f0-e92a-405c-93f2-c1d4e621bc77</v>
      </c>
      <c r="G37" s="26" t="str">
        <f>IFERROR(__xludf.DUMMYFUNCTION("""COMPUTED_VALUE"""),"Trevor Coehoorn")</f>
        <v>Trevor Coehoorn</v>
      </c>
      <c r="H37" s="26" t="b">
        <v>0</v>
      </c>
    </row>
    <row r="38" hidden="1">
      <c r="A38" s="26" t="str">
        <f>VLOOKUP(B38,'2020 SRED (JIRA) - Issues and l'!$B:$C,2,FALSE)</f>
        <v>portal-builder</v>
      </c>
      <c r="B38" s="27" t="str">
        <f>IFERROR(__xludf.DUMMYFUNCTION("""COMPUTED_VALUE"""),"IV2-198")</f>
        <v>IV2-198</v>
      </c>
      <c r="C38" s="26" t="str">
        <f>IFERROR(__xludf.DUMMYFUNCTION("""COMPUTED_VALUE"""),"Add webform layout box components using the Touchpoint Builder")</f>
        <v>Add webform layout box components using the Touchpoint Builder</v>
      </c>
      <c r="D38" s="28">
        <f>IFERROR(__xludf.DUMMYFUNCTION("""COMPUTED_VALUE"""),1.36666666666666)</f>
        <v>1.366666667</v>
      </c>
      <c r="E38" s="29">
        <f>IFERROR(__xludf.DUMMYFUNCTION("""COMPUTED_VALUE"""),43846.0)</f>
        <v>43846</v>
      </c>
      <c r="F38" s="26" t="str">
        <f>IFERROR(__xludf.DUMMYFUNCTION("""COMPUTED_VALUE"""),"557058:3124a1f0-e92a-405c-93f2-c1d4e621bc77")</f>
        <v>557058:3124a1f0-e92a-405c-93f2-c1d4e621bc77</v>
      </c>
      <c r="G38" s="26" t="str">
        <f>IFERROR(__xludf.DUMMYFUNCTION("""COMPUTED_VALUE"""),"Trevor Coehoorn")</f>
        <v>Trevor Coehoorn</v>
      </c>
      <c r="H38" s="26" t="b">
        <v>0</v>
      </c>
    </row>
    <row r="39" hidden="1">
      <c r="A39" s="26" t="str">
        <f>VLOOKUP(B39,'2020 SRED (JIRA) - Issues and l'!$B:$C,2,FALSE)</f>
        <v>automated-summary-reports</v>
      </c>
      <c r="B39" s="27" t="str">
        <f>IFERROR(__xludf.DUMMYFUNCTION("""COMPUTED_VALUE"""),"IV2-164")</f>
        <v>IV2-164</v>
      </c>
      <c r="C39" s="26" t="str">
        <f>IFERROR(__xludf.DUMMYFUNCTION("""COMPUTED_VALUE"""),"Revamp Webinar Analysis Charts/ Graphs")</f>
        <v>Revamp Webinar Analysis Charts/ Graphs</v>
      </c>
      <c r="D39" s="28">
        <f>IFERROR(__xludf.DUMMYFUNCTION("""COMPUTED_VALUE"""),2.55)</f>
        <v>2.55</v>
      </c>
      <c r="E39" s="29">
        <f>IFERROR(__xludf.DUMMYFUNCTION("""COMPUTED_VALUE"""),43846.0)</f>
        <v>43846</v>
      </c>
      <c r="F39" s="26" t="str">
        <f>IFERROR(__xludf.DUMMYFUNCTION("""COMPUTED_VALUE"""),"557058:3124a1f0-e92a-405c-93f2-c1d4e621bc77")</f>
        <v>557058:3124a1f0-e92a-405c-93f2-c1d4e621bc77</v>
      </c>
      <c r="G39" s="26" t="str">
        <f>IFERROR(__xludf.DUMMYFUNCTION("""COMPUTED_VALUE"""),"Trevor Coehoorn")</f>
        <v>Trevor Coehoorn</v>
      </c>
      <c r="H39" s="26" t="b">
        <v>0</v>
      </c>
    </row>
    <row r="40" hidden="1">
      <c r="A40" s="26" t="str">
        <f>VLOOKUP(B40,'2020 SRED (JIRA) - Issues and l'!$B:$C,2,FALSE)</f>
        <v>portal-builder-SRED</v>
      </c>
      <c r="B40" s="27" t="str">
        <f>IFERROR(__xludf.DUMMYFUNCTION("""COMPUTED_VALUE"""),"ITP-1795")</f>
        <v>ITP-1795</v>
      </c>
      <c r="C40" s="26" t="str">
        <f>IFERROR(__xludf.DUMMYFUNCTION("""COMPUTED_VALUE"""),"Enable speech to text by default")</f>
        <v>Enable speech to text by default</v>
      </c>
      <c r="D40" s="28">
        <f>IFERROR(__xludf.DUMMYFUNCTION("""COMPUTED_VALUE"""),0.183333333333333)</f>
        <v>0.1833333333</v>
      </c>
      <c r="E40" s="29">
        <f>IFERROR(__xludf.DUMMYFUNCTION("""COMPUTED_VALUE"""),43846.0)</f>
        <v>43846</v>
      </c>
      <c r="F40" s="26" t="str">
        <f>IFERROR(__xludf.DUMMYFUNCTION("""COMPUTED_VALUE"""),"557058:3124a1f0-e92a-405c-93f2-c1d4e621bc77")</f>
        <v>557058:3124a1f0-e92a-405c-93f2-c1d4e621bc77</v>
      </c>
      <c r="G40" s="26" t="str">
        <f>IFERROR(__xludf.DUMMYFUNCTION("""COMPUTED_VALUE"""),"Trevor Coehoorn")</f>
        <v>Trevor Coehoorn</v>
      </c>
      <c r="H40" s="26" t="b">
        <v>0</v>
      </c>
    </row>
    <row r="41" hidden="1">
      <c r="A41" s="26" t="str">
        <f>VLOOKUP(B41,'2020 SRED (JIRA) - Issues and l'!$B:$C,2,FALSE)</f>
        <v>portal-builder-SRED</v>
      </c>
      <c r="B41" s="27" t="str">
        <f>IFERROR(__xludf.DUMMYFUNCTION("""COMPUTED_VALUE"""),"IV2-199")</f>
        <v>IV2-199</v>
      </c>
      <c r="C41" s="26" t="str">
        <f>IFERROR(__xludf.DUMMYFUNCTION("""COMPUTED_VALUE"""),"Add webform fieldset components using the Touchpoint Builder")</f>
        <v>Add webform fieldset components using the Touchpoint Builder</v>
      </c>
      <c r="D41" s="28">
        <f>IFERROR(__xludf.DUMMYFUNCTION("""COMPUTED_VALUE"""),0.5)</f>
        <v>0.5</v>
      </c>
      <c r="E41" s="29">
        <f>IFERROR(__xludf.DUMMYFUNCTION("""COMPUTED_VALUE"""),43846.0)</f>
        <v>43846</v>
      </c>
      <c r="F41" s="26" t="str">
        <f>IFERROR(__xludf.DUMMYFUNCTION("""COMPUTED_VALUE"""),"557058:73c9cac1-5a92-492c-86e8-838810ee0dde")</f>
        <v>557058:73c9cac1-5a92-492c-86e8-838810ee0dde</v>
      </c>
      <c r="G41" s="26" t="str">
        <f>IFERROR(__xludf.DUMMYFUNCTION("""COMPUTED_VALUE"""),"Dan Wells")</f>
        <v>Dan Wells</v>
      </c>
      <c r="H41" s="26" t="b">
        <v>0</v>
      </c>
    </row>
    <row r="42" hidden="1">
      <c r="A42" s="26" t="str">
        <f>VLOOKUP(B42,'2020 SRED (JIRA) - Issues and l'!$B:$C,2,FALSE)</f>
        <v>portal-builder</v>
      </c>
      <c r="B42" s="27" t="str">
        <f>IFERROR(__xludf.DUMMYFUNCTION("""COMPUTED_VALUE"""),"IV2-198")</f>
        <v>IV2-198</v>
      </c>
      <c r="C42" s="26" t="str">
        <f>IFERROR(__xludf.DUMMYFUNCTION("""COMPUTED_VALUE"""),"Add webform layout box components using the Touchpoint Builder")</f>
        <v>Add webform layout box components using the Touchpoint Builder</v>
      </c>
      <c r="D42" s="28">
        <f>IFERROR(__xludf.DUMMYFUNCTION("""COMPUTED_VALUE"""),1.0)</f>
        <v>1</v>
      </c>
      <c r="E42" s="29">
        <f>IFERROR(__xludf.DUMMYFUNCTION("""COMPUTED_VALUE"""),43846.0)</f>
        <v>43846</v>
      </c>
      <c r="F42" s="26" t="str">
        <f>IFERROR(__xludf.DUMMYFUNCTION("""COMPUTED_VALUE"""),"557058:73c9cac1-5a92-492c-86e8-838810ee0dde")</f>
        <v>557058:73c9cac1-5a92-492c-86e8-838810ee0dde</v>
      </c>
      <c r="G42" s="26" t="str">
        <f>IFERROR(__xludf.DUMMYFUNCTION("""COMPUTED_VALUE"""),"Dan Wells")</f>
        <v>Dan Wells</v>
      </c>
      <c r="H42" s="26" t="b">
        <v>0</v>
      </c>
    </row>
    <row r="43" hidden="1">
      <c r="A43" s="26" t="str">
        <f>VLOOKUP(B43,'2020 SRED (JIRA) - Issues and l'!$B:$C,2,FALSE)</f>
        <v>portal-builder</v>
      </c>
      <c r="B43" s="27" t="str">
        <f>IFERROR(__xludf.DUMMYFUNCTION("""COMPUTED_VALUE"""),"IV2-192")</f>
        <v>IV2-192</v>
      </c>
      <c r="C43" s="26" t="str">
        <f>IFERROR(__xludf.DUMMYFUNCTION("""COMPUTED_VALUE"""),"Portal Builder Copy Writing")</f>
        <v>Portal Builder Copy Writing</v>
      </c>
      <c r="D43" s="28">
        <f>IFERROR(__xludf.DUMMYFUNCTION("""COMPUTED_VALUE"""),2.18333333333333)</f>
        <v>2.183333333</v>
      </c>
      <c r="E43" s="29">
        <f>IFERROR(__xludf.DUMMYFUNCTION("""COMPUTED_VALUE"""),43846.0)</f>
        <v>43846</v>
      </c>
      <c r="F43" s="26" t="str">
        <f>IFERROR(__xludf.DUMMYFUNCTION("""COMPUTED_VALUE"""),"557058:f55c62b5-dc7e-41e5-b0f8-231ca9f23470")</f>
        <v>557058:f55c62b5-dc7e-41e5-b0f8-231ca9f23470</v>
      </c>
      <c r="G43" s="26" t="str">
        <f>IFERROR(__xludf.DUMMYFUNCTION("""COMPUTED_VALUE"""),"Holly Lam")</f>
        <v>Holly Lam</v>
      </c>
      <c r="H43" s="26" t="b">
        <v>0</v>
      </c>
    </row>
    <row r="44" hidden="1">
      <c r="A44" s="26" t="str">
        <f>VLOOKUP(B44,'2020 SRED (JIRA) - Issues and l'!$B:$C,2,FALSE)</f>
        <v>portal-builder-SRED</v>
      </c>
      <c r="B44" s="27" t="str">
        <f>IFERROR(__xludf.DUMMYFUNCTION("""COMPUTED_VALUE"""),"ITP-1795")</f>
        <v>ITP-1795</v>
      </c>
      <c r="C44" s="26" t="str">
        <f>IFERROR(__xludf.DUMMYFUNCTION("""COMPUTED_VALUE"""),"Enable speech to text by default")</f>
        <v>Enable speech to text by default</v>
      </c>
      <c r="D44" s="28">
        <f>IFERROR(__xludf.DUMMYFUNCTION("""COMPUTED_VALUE"""),0.766666666666666)</f>
        <v>0.7666666667</v>
      </c>
      <c r="E44" s="29">
        <f>IFERROR(__xludf.DUMMYFUNCTION("""COMPUTED_VALUE"""),43847.0)</f>
        <v>43847</v>
      </c>
      <c r="F44" s="26" t="str">
        <f>IFERROR(__xludf.DUMMYFUNCTION("""COMPUTED_VALUE"""),"557058:3124a1f0-e92a-405c-93f2-c1d4e621bc77")</f>
        <v>557058:3124a1f0-e92a-405c-93f2-c1d4e621bc77</v>
      </c>
      <c r="G44" s="26" t="str">
        <f>IFERROR(__xludf.DUMMYFUNCTION("""COMPUTED_VALUE"""),"Trevor Coehoorn")</f>
        <v>Trevor Coehoorn</v>
      </c>
      <c r="H44" s="26" t="b">
        <v>0</v>
      </c>
    </row>
    <row r="45" hidden="1">
      <c r="A45" s="26" t="str">
        <f>VLOOKUP(B45,'2020 SRED (JIRA) - Issues and l'!$B:$C,2,FALSE)</f>
        <v>portal-builder-SRED</v>
      </c>
      <c r="B45" s="27" t="str">
        <f>IFERROR(__xludf.DUMMYFUNCTION("""COMPUTED_VALUE"""),"IV2-199")</f>
        <v>IV2-199</v>
      </c>
      <c r="C45" s="26" t="str">
        <f>IFERROR(__xludf.DUMMYFUNCTION("""COMPUTED_VALUE"""),"Add webform fieldset components using the Touchpoint Builder")</f>
        <v>Add webform fieldset components using the Touchpoint Builder</v>
      </c>
      <c r="D45" s="28">
        <f>IFERROR(__xludf.DUMMYFUNCTION("""COMPUTED_VALUE"""),0.616666666666666)</f>
        <v>0.6166666667</v>
      </c>
      <c r="E45" s="29">
        <f>IFERROR(__xludf.DUMMYFUNCTION("""COMPUTED_VALUE"""),43847.0)</f>
        <v>43847</v>
      </c>
      <c r="F45" s="26" t="str">
        <f>IFERROR(__xludf.DUMMYFUNCTION("""COMPUTED_VALUE"""),"557058:3124a1f0-e92a-405c-93f2-c1d4e621bc77")</f>
        <v>557058:3124a1f0-e92a-405c-93f2-c1d4e621bc77</v>
      </c>
      <c r="G45" s="26" t="str">
        <f>IFERROR(__xludf.DUMMYFUNCTION("""COMPUTED_VALUE"""),"Trevor Coehoorn")</f>
        <v>Trevor Coehoorn</v>
      </c>
      <c r="H45" s="26" t="b">
        <v>0</v>
      </c>
    </row>
    <row r="46" hidden="1">
      <c r="A46" s="26" t="str">
        <f>VLOOKUP(B46,'2020 SRED (JIRA) - Issues and l'!$B:$C,2,FALSE)</f>
        <v>portal-builder</v>
      </c>
      <c r="B46" s="27" t="str">
        <f>IFERROR(__xludf.DUMMYFUNCTION("""COMPUTED_VALUE"""),"IV2-147")</f>
        <v>IV2-147</v>
      </c>
      <c r="C46" s="26" t="str">
        <f>IFERROR(__xludf.DUMMYFUNCTION("""COMPUTED_VALUE"""),"Add files to pages in the Portal Builder")</f>
        <v>Add files to pages in the Portal Builder</v>
      </c>
      <c r="D46" s="28">
        <f>IFERROR(__xludf.DUMMYFUNCTION("""COMPUTED_VALUE"""),2.26666666666666)</f>
        <v>2.266666667</v>
      </c>
      <c r="E46" s="29">
        <f>IFERROR(__xludf.DUMMYFUNCTION("""COMPUTED_VALUE"""),43847.0)</f>
        <v>43847</v>
      </c>
      <c r="F46" s="26" t="str">
        <f>IFERROR(__xludf.DUMMYFUNCTION("""COMPUTED_VALUE"""),"557058:3124a1f0-e92a-405c-93f2-c1d4e621bc77")</f>
        <v>557058:3124a1f0-e92a-405c-93f2-c1d4e621bc77</v>
      </c>
      <c r="G46" s="26" t="str">
        <f>IFERROR(__xludf.DUMMYFUNCTION("""COMPUTED_VALUE"""),"Trevor Coehoorn")</f>
        <v>Trevor Coehoorn</v>
      </c>
      <c r="H46" s="26" t="b">
        <v>0</v>
      </c>
    </row>
    <row r="47" hidden="1">
      <c r="A47" s="26" t="str">
        <f>VLOOKUP(B47,'2020 SRED (JIRA) - Issues and l'!$B:$C,2,FALSE)</f>
        <v>portal-builder</v>
      </c>
      <c r="B47" s="27" t="str">
        <f>IFERROR(__xludf.DUMMYFUNCTION("""COMPUTED_VALUE"""),"IV2-186")</f>
        <v>IV2-186</v>
      </c>
      <c r="C47" s="26" t="str">
        <f>IFERROR(__xludf.DUMMYFUNCTION("""COMPUTED_VALUE"""),"Allow users to upload images when they create content in the Portal Builder")</f>
        <v>Allow users to upload images when they create content in the Portal Builder</v>
      </c>
      <c r="D47" s="28">
        <f>IFERROR(__xludf.DUMMYFUNCTION("""COMPUTED_VALUE"""),0.466666666666666)</f>
        <v>0.4666666667</v>
      </c>
      <c r="E47" s="29">
        <f>IFERROR(__xludf.DUMMYFUNCTION("""COMPUTED_VALUE"""),43847.0)</f>
        <v>43847</v>
      </c>
      <c r="F47" s="26" t="str">
        <f>IFERROR(__xludf.DUMMYFUNCTION("""COMPUTED_VALUE"""),"557058:3124a1f0-e92a-405c-93f2-c1d4e621bc77")</f>
        <v>557058:3124a1f0-e92a-405c-93f2-c1d4e621bc77</v>
      </c>
      <c r="G47" s="26" t="str">
        <f>IFERROR(__xludf.DUMMYFUNCTION("""COMPUTED_VALUE"""),"Trevor Coehoorn")</f>
        <v>Trevor Coehoorn</v>
      </c>
      <c r="H47" s="26" t="b">
        <v>0</v>
      </c>
    </row>
    <row r="48" hidden="1">
      <c r="A48" s="26" t="str">
        <f>VLOOKUP(B48,'2020 SRED (JIRA) - Issues and l'!$B:$C,2,FALSE)</f>
        <v>portal-builder</v>
      </c>
      <c r="B48" s="27" t="str">
        <f>IFERROR(__xludf.DUMMYFUNCTION("""COMPUTED_VALUE"""),"IV2-155")</f>
        <v>IV2-155</v>
      </c>
      <c r="C48" s="26" t="str">
        <f>IFERROR(__xludf.DUMMYFUNCTION("""COMPUTED_VALUE"""),"Add touchpoint link to portal builder after a touchpoint has been launched")</f>
        <v>Add touchpoint link to portal builder after a touchpoint has been launched</v>
      </c>
      <c r="D48" s="28">
        <f>IFERROR(__xludf.DUMMYFUNCTION("""COMPUTED_VALUE"""),1.28333333333333)</f>
        <v>1.283333333</v>
      </c>
      <c r="E48" s="29">
        <f>IFERROR(__xludf.DUMMYFUNCTION("""COMPUTED_VALUE"""),43847.0)</f>
        <v>43847</v>
      </c>
      <c r="F48" s="26" t="str">
        <f>IFERROR(__xludf.DUMMYFUNCTION("""COMPUTED_VALUE"""),"557058:3124a1f0-e92a-405c-93f2-c1d4e621bc77")</f>
        <v>557058:3124a1f0-e92a-405c-93f2-c1d4e621bc77</v>
      </c>
      <c r="G48" s="26" t="str">
        <f>IFERROR(__xludf.DUMMYFUNCTION("""COMPUTED_VALUE"""),"Trevor Coehoorn")</f>
        <v>Trevor Coehoorn</v>
      </c>
      <c r="H48" s="26" t="b">
        <v>0</v>
      </c>
    </row>
    <row r="49" hidden="1">
      <c r="A49" s="26" t="str">
        <f>VLOOKUP(B49,'2020 SRED (JIRA) - Issues and l'!$B:$C,2,FALSE)</f>
        <v>automated-summary-reports</v>
      </c>
      <c r="B49" s="27" t="str">
        <f>IFERROR(__xludf.DUMMYFUNCTION("""COMPUTED_VALUE"""),"IV2-164")</f>
        <v>IV2-164</v>
      </c>
      <c r="C49" s="26" t="str">
        <f>IFERROR(__xludf.DUMMYFUNCTION("""COMPUTED_VALUE"""),"Revamp Webinar Analysis Charts/ Graphs")</f>
        <v>Revamp Webinar Analysis Charts/ Graphs</v>
      </c>
      <c r="D49" s="28">
        <f>IFERROR(__xludf.DUMMYFUNCTION("""COMPUTED_VALUE"""),1.15)</f>
        <v>1.15</v>
      </c>
      <c r="E49" s="29">
        <f>IFERROR(__xludf.DUMMYFUNCTION("""COMPUTED_VALUE"""),43847.0)</f>
        <v>43847</v>
      </c>
      <c r="F49" s="26" t="str">
        <f>IFERROR(__xludf.DUMMYFUNCTION("""COMPUTED_VALUE"""),"557058:3124a1f0-e92a-405c-93f2-c1d4e621bc77")</f>
        <v>557058:3124a1f0-e92a-405c-93f2-c1d4e621bc77</v>
      </c>
      <c r="G49" s="26" t="str">
        <f>IFERROR(__xludf.DUMMYFUNCTION("""COMPUTED_VALUE"""),"Trevor Coehoorn")</f>
        <v>Trevor Coehoorn</v>
      </c>
      <c r="H49" s="26" t="b">
        <v>0</v>
      </c>
    </row>
    <row r="50" hidden="1">
      <c r="A50" s="26" t="str">
        <f>VLOOKUP(B50,'2020 SRED (JIRA) - Issues and l'!$B:$C,2,FALSE)</f>
        <v>portal-builder</v>
      </c>
      <c r="B50" s="27" t="str">
        <f>IFERROR(__xludf.DUMMYFUNCTION("""COMPUTED_VALUE"""),"IV2-192")</f>
        <v>IV2-192</v>
      </c>
      <c r="C50" s="26" t="str">
        <f>IFERROR(__xludf.DUMMYFUNCTION("""COMPUTED_VALUE"""),"Portal Builder Copy Writing")</f>
        <v>Portal Builder Copy Writing</v>
      </c>
      <c r="D50" s="28">
        <f>IFERROR(__xludf.DUMMYFUNCTION("""COMPUTED_VALUE"""),1.56666666666666)</f>
        <v>1.566666667</v>
      </c>
      <c r="E50" s="29">
        <f>IFERROR(__xludf.DUMMYFUNCTION("""COMPUTED_VALUE"""),43847.0)</f>
        <v>43847</v>
      </c>
      <c r="F50" s="26" t="str">
        <f>IFERROR(__xludf.DUMMYFUNCTION("""COMPUTED_VALUE"""),"557058:f55c62b5-dc7e-41e5-b0f8-231ca9f23470")</f>
        <v>557058:f55c62b5-dc7e-41e5-b0f8-231ca9f23470</v>
      </c>
      <c r="G50" s="26" t="str">
        <f>IFERROR(__xludf.DUMMYFUNCTION("""COMPUTED_VALUE"""),"Holly Lam")</f>
        <v>Holly Lam</v>
      </c>
      <c r="H50" s="26" t="b">
        <v>0</v>
      </c>
    </row>
    <row r="51" hidden="1">
      <c r="A51" s="26" t="str">
        <f>VLOOKUP(B51,'2020 SRED (JIRA) - Issues and l'!$B:$C,2,FALSE)</f>
        <v>portal-builder</v>
      </c>
      <c r="B51" s="27" t="str">
        <f>IFERROR(__xludf.DUMMYFUNCTION("""COMPUTED_VALUE"""),"IV2-192")</f>
        <v>IV2-192</v>
      </c>
      <c r="C51" s="26" t="str">
        <f>IFERROR(__xludf.DUMMYFUNCTION("""COMPUTED_VALUE"""),"Portal Builder Copy Writing")</f>
        <v>Portal Builder Copy Writing</v>
      </c>
      <c r="D51" s="28">
        <f>IFERROR(__xludf.DUMMYFUNCTION("""COMPUTED_VALUE"""),2.0)</f>
        <v>2</v>
      </c>
      <c r="E51" s="29">
        <f>IFERROR(__xludf.DUMMYFUNCTION("""COMPUTED_VALUE"""),43847.0)</f>
        <v>43847</v>
      </c>
      <c r="F51" s="26" t="str">
        <f>IFERROR(__xludf.DUMMYFUNCTION("""COMPUTED_VALUE"""),"557058:f55c62b5-dc7e-41e5-b0f8-231ca9f23470")</f>
        <v>557058:f55c62b5-dc7e-41e5-b0f8-231ca9f23470</v>
      </c>
      <c r="G51" s="26" t="str">
        <f>IFERROR(__xludf.DUMMYFUNCTION("""COMPUTED_VALUE"""),"Holly Lam")</f>
        <v>Holly Lam</v>
      </c>
      <c r="H51" s="26" t="b">
        <v>0</v>
      </c>
    </row>
    <row r="52" hidden="1">
      <c r="A52" s="26" t="str">
        <f>VLOOKUP(B52,'2020 SRED (JIRA) - Issues and l'!$B:$C,2,FALSE)</f>
        <v>portal-builder</v>
      </c>
      <c r="B52" s="27" t="str">
        <f>IFERROR(__xludf.DUMMYFUNCTION("""COMPUTED_VALUE"""),"IV2-155")</f>
        <v>IV2-155</v>
      </c>
      <c r="C52" s="26" t="str">
        <f>IFERROR(__xludf.DUMMYFUNCTION("""COMPUTED_VALUE"""),"Add touchpoint link to portal builder after a touchpoint has been launched")</f>
        <v>Add touchpoint link to portal builder after a touchpoint has been launched</v>
      </c>
      <c r="D52" s="28">
        <f>IFERROR(__xludf.DUMMYFUNCTION("""COMPUTED_VALUE"""),0.05)</f>
        <v>0.05</v>
      </c>
      <c r="E52" s="29">
        <f>IFERROR(__xludf.DUMMYFUNCTION("""COMPUTED_VALUE"""),43847.0)</f>
        <v>43847</v>
      </c>
      <c r="F52" s="26" t="str">
        <f>IFERROR(__xludf.DUMMYFUNCTION("""COMPUTED_VALUE"""),"557058:f55c62b5-dc7e-41e5-b0f8-231ca9f23470")</f>
        <v>557058:f55c62b5-dc7e-41e5-b0f8-231ca9f23470</v>
      </c>
      <c r="G52" s="26" t="str">
        <f>IFERROR(__xludf.DUMMYFUNCTION("""COMPUTED_VALUE"""),"Holly Lam")</f>
        <v>Holly Lam</v>
      </c>
      <c r="H52" s="26" t="b">
        <v>0</v>
      </c>
    </row>
    <row r="53" hidden="1">
      <c r="A53" s="26" t="str">
        <f>VLOOKUP(B53,'2020 SRED (JIRA) - Issues and l'!$B:$C,2,FALSE)</f>
        <v>portal-builder-SRED</v>
      </c>
      <c r="B53" s="27" t="str">
        <f>IFERROR(__xludf.DUMMYFUNCTION("""COMPUTED_VALUE"""),"IV2-202")</f>
        <v>IV2-202</v>
      </c>
      <c r="C53" s="26" t="str">
        <f>IFERROR(__xludf.DUMMYFUNCTION("""COMPUTED_VALUE"""),"Portal Builder Surveyor Questions")</f>
        <v>Portal Builder Surveyor Questions</v>
      </c>
      <c r="D53" s="28">
        <f>IFERROR(__xludf.DUMMYFUNCTION("""COMPUTED_VALUE"""),1.51666666666666)</f>
        <v>1.516666667</v>
      </c>
      <c r="E53" s="29">
        <f>IFERROR(__xludf.DUMMYFUNCTION("""COMPUTED_VALUE"""),43850.0)</f>
        <v>43850</v>
      </c>
      <c r="F53" s="26" t="str">
        <f>IFERROR(__xludf.DUMMYFUNCTION("""COMPUTED_VALUE"""),"557058:3124a1f0-e92a-405c-93f2-c1d4e621bc77")</f>
        <v>557058:3124a1f0-e92a-405c-93f2-c1d4e621bc77</v>
      </c>
      <c r="G53" s="26" t="str">
        <f>IFERROR(__xludf.DUMMYFUNCTION("""COMPUTED_VALUE"""),"Trevor Coehoorn")</f>
        <v>Trevor Coehoorn</v>
      </c>
      <c r="H53" s="26" t="b">
        <v>0</v>
      </c>
    </row>
    <row r="54" hidden="1">
      <c r="A54" s="26" t="str">
        <f>VLOOKUP(B54,'2020 SRED (JIRA) - Issues and l'!$B:$C,2,FALSE)</f>
        <v>automated-summary-reports</v>
      </c>
      <c r="B54" s="27" t="str">
        <f>IFERROR(__xludf.DUMMYFUNCTION("""COMPUTED_VALUE"""),"IV2-164")</f>
        <v>IV2-164</v>
      </c>
      <c r="C54" s="26" t="str">
        <f>IFERROR(__xludf.DUMMYFUNCTION("""COMPUTED_VALUE"""),"Revamp Webinar Analysis Charts/ Graphs")</f>
        <v>Revamp Webinar Analysis Charts/ Graphs</v>
      </c>
      <c r="D54" s="28">
        <f>IFERROR(__xludf.DUMMYFUNCTION("""COMPUTED_VALUE"""),0.0666666666666666)</f>
        <v>0.06666666667</v>
      </c>
      <c r="E54" s="29">
        <f>IFERROR(__xludf.DUMMYFUNCTION("""COMPUTED_VALUE"""),43850.0)</f>
        <v>43850</v>
      </c>
      <c r="F54" s="26" t="str">
        <f>IFERROR(__xludf.DUMMYFUNCTION("""COMPUTED_VALUE"""),"557058:3124a1f0-e92a-405c-93f2-c1d4e621bc77")</f>
        <v>557058:3124a1f0-e92a-405c-93f2-c1d4e621bc77</v>
      </c>
      <c r="G54" s="26" t="str">
        <f>IFERROR(__xludf.DUMMYFUNCTION("""COMPUTED_VALUE"""),"Trevor Coehoorn")</f>
        <v>Trevor Coehoorn</v>
      </c>
      <c r="H54" s="26" t="b">
        <v>0</v>
      </c>
    </row>
    <row r="55" hidden="1">
      <c r="A55" s="26" t="str">
        <f>VLOOKUP(B55,'2020 SRED (JIRA) - Issues and l'!$B:$C,2,FALSE)</f>
        <v>portal-builder</v>
      </c>
      <c r="B55" s="27" t="str">
        <f>IFERROR(__xludf.DUMMYFUNCTION("""COMPUTED_VALUE"""),"IV2-147")</f>
        <v>IV2-147</v>
      </c>
      <c r="C55" s="26" t="str">
        <f>IFERROR(__xludf.DUMMYFUNCTION("""COMPUTED_VALUE"""),"Add files to pages in the Portal Builder")</f>
        <v>Add files to pages in the Portal Builder</v>
      </c>
      <c r="D55" s="28">
        <f>IFERROR(__xludf.DUMMYFUNCTION("""COMPUTED_VALUE"""),1.16666666666666)</f>
        <v>1.166666667</v>
      </c>
      <c r="E55" s="29">
        <f>IFERROR(__xludf.DUMMYFUNCTION("""COMPUTED_VALUE"""),43850.0)</f>
        <v>43850</v>
      </c>
      <c r="F55" s="26" t="str">
        <f>IFERROR(__xludf.DUMMYFUNCTION("""COMPUTED_VALUE"""),"557058:3124a1f0-e92a-405c-93f2-c1d4e621bc77")</f>
        <v>557058:3124a1f0-e92a-405c-93f2-c1d4e621bc77</v>
      </c>
      <c r="G55" s="26" t="str">
        <f>IFERROR(__xludf.DUMMYFUNCTION("""COMPUTED_VALUE"""),"Trevor Coehoorn")</f>
        <v>Trevor Coehoorn</v>
      </c>
      <c r="H55" s="26" t="b">
        <v>0</v>
      </c>
    </row>
    <row r="56" hidden="1">
      <c r="A56" s="26" t="str">
        <f>VLOOKUP(B56,'2020 SRED (JIRA) - Issues and l'!$B:$C,2,FALSE)</f>
        <v>portal-builder</v>
      </c>
      <c r="B56" s="27" t="str">
        <f>IFERROR(__xludf.DUMMYFUNCTION("""COMPUTED_VALUE"""),"IV2-135")</f>
        <v>IV2-135</v>
      </c>
      <c r="C56" s="26" t="str">
        <f>IFERROR(__xludf.DUMMYFUNCTION("""COMPUTED_VALUE"""),"Add webform support to the Touchpoint Report Builder")</f>
        <v>Add webform support to the Touchpoint Report Builder</v>
      </c>
      <c r="D56" s="28">
        <f>IFERROR(__xludf.DUMMYFUNCTION("""COMPUTED_VALUE"""),1.43333333333333)</f>
        <v>1.433333333</v>
      </c>
      <c r="E56" s="29">
        <f>IFERROR(__xludf.DUMMYFUNCTION("""COMPUTED_VALUE"""),43850.0)</f>
        <v>43850</v>
      </c>
      <c r="F56" s="26" t="str">
        <f>IFERROR(__xludf.DUMMYFUNCTION("""COMPUTED_VALUE"""),"557058:3124a1f0-e92a-405c-93f2-c1d4e621bc77")</f>
        <v>557058:3124a1f0-e92a-405c-93f2-c1d4e621bc77</v>
      </c>
      <c r="G56" s="26" t="str">
        <f>IFERROR(__xludf.DUMMYFUNCTION("""COMPUTED_VALUE"""),"Trevor Coehoorn")</f>
        <v>Trevor Coehoorn</v>
      </c>
      <c r="H56" s="26" t="b">
        <v>0</v>
      </c>
    </row>
    <row r="57" hidden="1">
      <c r="A57" s="26" t="str">
        <f>VLOOKUP(B57,'2020 SRED (JIRA) - Issues and l'!$B:$C,2,FALSE)</f>
        <v>portal-builder</v>
      </c>
      <c r="B57" s="27" t="str">
        <f>IFERROR(__xludf.DUMMYFUNCTION("""COMPUTED_VALUE"""),"IV2-31")</f>
        <v>IV2-31</v>
      </c>
      <c r="C57" s="26" t="str">
        <f>IFERROR(__xludf.DUMMYFUNCTION("""COMPUTED_VALUE"""),"V2 Status Meetings")</f>
        <v>V2 Status Meetings</v>
      </c>
      <c r="D57" s="28">
        <f>IFERROR(__xludf.DUMMYFUNCTION("""COMPUTED_VALUE"""),0.416666666666666)</f>
        <v>0.4166666667</v>
      </c>
      <c r="E57" s="29">
        <f>IFERROR(__xludf.DUMMYFUNCTION("""COMPUTED_VALUE"""),43850.0)</f>
        <v>43850</v>
      </c>
      <c r="F57" s="26" t="str">
        <f>IFERROR(__xludf.DUMMYFUNCTION("""COMPUTED_VALUE"""),"557058:3124a1f0-e92a-405c-93f2-c1d4e621bc77")</f>
        <v>557058:3124a1f0-e92a-405c-93f2-c1d4e621bc77</v>
      </c>
      <c r="G57" s="26" t="str">
        <f>IFERROR(__xludf.DUMMYFUNCTION("""COMPUTED_VALUE"""),"Trevor Coehoorn")</f>
        <v>Trevor Coehoorn</v>
      </c>
      <c r="H57" s="26" t="b">
        <v>0</v>
      </c>
    </row>
    <row r="58" hidden="1">
      <c r="A58" s="26" t="str">
        <f>VLOOKUP(B58,'2020 SRED (JIRA) - Issues and l'!$B:$C,2,FALSE)</f>
        <v>portal-builder-SRED</v>
      </c>
      <c r="B58" s="27" t="str">
        <f>IFERROR(__xludf.DUMMYFUNCTION("""COMPUTED_VALUE"""),"IV2-199")</f>
        <v>IV2-199</v>
      </c>
      <c r="C58" s="26" t="str">
        <f>IFERROR(__xludf.DUMMYFUNCTION("""COMPUTED_VALUE"""),"Add webform fieldset components using the Touchpoint Builder")</f>
        <v>Add webform fieldset components using the Touchpoint Builder</v>
      </c>
      <c r="D58" s="28">
        <f>IFERROR(__xludf.DUMMYFUNCTION("""COMPUTED_VALUE"""),1.48333333333333)</f>
        <v>1.483333333</v>
      </c>
      <c r="E58" s="29">
        <f>IFERROR(__xludf.DUMMYFUNCTION("""COMPUTED_VALUE"""),43850.0)</f>
        <v>43850</v>
      </c>
      <c r="F58" s="26" t="str">
        <f>IFERROR(__xludf.DUMMYFUNCTION("""COMPUTED_VALUE"""),"557058:3124a1f0-e92a-405c-93f2-c1d4e621bc77")</f>
        <v>557058:3124a1f0-e92a-405c-93f2-c1d4e621bc77</v>
      </c>
      <c r="G58" s="26" t="str">
        <f>IFERROR(__xludf.DUMMYFUNCTION("""COMPUTED_VALUE"""),"Trevor Coehoorn")</f>
        <v>Trevor Coehoorn</v>
      </c>
      <c r="H58" s="26" t="b">
        <v>0</v>
      </c>
    </row>
    <row r="59" hidden="1">
      <c r="A59" s="26" t="str">
        <f>VLOOKUP(B59,'2020 SRED (JIRA) - Issues and l'!$B:$C,2,FALSE)</f>
        <v>portal-builder-SRED</v>
      </c>
      <c r="B59" s="27" t="str">
        <f>IFERROR(__xludf.DUMMYFUNCTION("""COMPUTED_VALUE"""),"ITP-1795")</f>
        <v>ITP-1795</v>
      </c>
      <c r="C59" s="26" t="str">
        <f>IFERROR(__xludf.DUMMYFUNCTION("""COMPUTED_VALUE"""),"Enable speech to text by default")</f>
        <v>Enable speech to text by default</v>
      </c>
      <c r="D59" s="28">
        <f>IFERROR(__xludf.DUMMYFUNCTION("""COMPUTED_VALUE"""),1.03333333333333)</f>
        <v>1.033333333</v>
      </c>
      <c r="E59" s="29">
        <f>IFERROR(__xludf.DUMMYFUNCTION("""COMPUTED_VALUE"""),43850.0)</f>
        <v>43850</v>
      </c>
      <c r="F59" s="26" t="str">
        <f>IFERROR(__xludf.DUMMYFUNCTION("""COMPUTED_VALUE"""),"557058:3124a1f0-e92a-405c-93f2-c1d4e621bc77")</f>
        <v>557058:3124a1f0-e92a-405c-93f2-c1d4e621bc77</v>
      </c>
      <c r="G59" s="26" t="str">
        <f>IFERROR(__xludf.DUMMYFUNCTION("""COMPUTED_VALUE"""),"Trevor Coehoorn")</f>
        <v>Trevor Coehoorn</v>
      </c>
      <c r="H59" s="26" t="b">
        <v>0</v>
      </c>
    </row>
    <row r="60" hidden="1">
      <c r="A60" s="26" t="str">
        <f>VLOOKUP(B60,'2020 SRED (JIRA) - Issues and l'!$B:$C,2,FALSE)</f>
        <v>portal-builder</v>
      </c>
      <c r="B60" s="27" t="str">
        <f>IFERROR(__xludf.DUMMYFUNCTION("""COMPUTED_VALUE"""),"IV2-147")</f>
        <v>IV2-147</v>
      </c>
      <c r="C60" s="26" t="str">
        <f>IFERROR(__xludf.DUMMYFUNCTION("""COMPUTED_VALUE"""),"Add files to pages in the Portal Builder")</f>
        <v>Add files to pages in the Portal Builder</v>
      </c>
      <c r="D60" s="28">
        <f>IFERROR(__xludf.DUMMYFUNCTION("""COMPUTED_VALUE"""),0.25)</f>
        <v>0.25</v>
      </c>
      <c r="E60" s="29">
        <f>IFERROR(__xludf.DUMMYFUNCTION("""COMPUTED_VALUE"""),43850.0)</f>
        <v>43850</v>
      </c>
      <c r="F60" s="26" t="str">
        <f>IFERROR(__xludf.DUMMYFUNCTION("""COMPUTED_VALUE"""),"557058:f55c62b5-dc7e-41e5-b0f8-231ca9f23470")</f>
        <v>557058:f55c62b5-dc7e-41e5-b0f8-231ca9f23470</v>
      </c>
      <c r="G60" s="26" t="str">
        <f>IFERROR(__xludf.DUMMYFUNCTION("""COMPUTED_VALUE"""),"Holly Lam")</f>
        <v>Holly Lam</v>
      </c>
      <c r="H60" s="26" t="b">
        <v>0</v>
      </c>
    </row>
    <row r="61" hidden="1">
      <c r="A61" s="26" t="str">
        <f>VLOOKUP(B61,'2020 SRED (JIRA) - Issues and l'!$B:$C,2,FALSE)</f>
        <v>portal-builder</v>
      </c>
      <c r="B61" s="27" t="str">
        <f>IFERROR(__xludf.DUMMYFUNCTION("""COMPUTED_VALUE"""),"IV2-192")</f>
        <v>IV2-192</v>
      </c>
      <c r="C61" s="26" t="str">
        <f>IFERROR(__xludf.DUMMYFUNCTION("""COMPUTED_VALUE"""),"Portal Builder Copy Writing")</f>
        <v>Portal Builder Copy Writing</v>
      </c>
      <c r="D61" s="28">
        <f>IFERROR(__xludf.DUMMYFUNCTION("""COMPUTED_VALUE"""),2.08333333333333)</f>
        <v>2.083333333</v>
      </c>
      <c r="E61" s="29">
        <f>IFERROR(__xludf.DUMMYFUNCTION("""COMPUTED_VALUE"""),43850.0)</f>
        <v>43850</v>
      </c>
      <c r="F61" s="26" t="str">
        <f>IFERROR(__xludf.DUMMYFUNCTION("""COMPUTED_VALUE"""),"557058:f55c62b5-dc7e-41e5-b0f8-231ca9f23470")</f>
        <v>557058:f55c62b5-dc7e-41e5-b0f8-231ca9f23470</v>
      </c>
      <c r="G61" s="26" t="str">
        <f>IFERROR(__xludf.DUMMYFUNCTION("""COMPUTED_VALUE"""),"Holly Lam")</f>
        <v>Holly Lam</v>
      </c>
      <c r="H61" s="26" t="b">
        <v>0</v>
      </c>
    </row>
    <row r="62" hidden="1">
      <c r="A62" s="26" t="str">
        <f>VLOOKUP(B62,'2020 SRED (JIRA) - Issues and l'!$B:$C,2,FALSE)</f>
        <v>portal-builder</v>
      </c>
      <c r="B62" s="27" t="str">
        <f>IFERROR(__xludf.DUMMYFUNCTION("""COMPUTED_VALUE"""),"IV2-135")</f>
        <v>IV2-135</v>
      </c>
      <c r="C62" s="26" t="str">
        <f>IFERROR(__xludf.DUMMYFUNCTION("""COMPUTED_VALUE"""),"Add webform support to the Touchpoint Report Builder")</f>
        <v>Add webform support to the Touchpoint Report Builder</v>
      </c>
      <c r="D62" s="28">
        <f>IFERROR(__xludf.DUMMYFUNCTION("""COMPUTED_VALUE"""),0.166666666666666)</f>
        <v>0.1666666667</v>
      </c>
      <c r="E62" s="29">
        <f>IFERROR(__xludf.DUMMYFUNCTION("""COMPUTED_VALUE"""),43851.0)</f>
        <v>43851</v>
      </c>
      <c r="F62" s="26" t="str">
        <f>IFERROR(__xludf.DUMMYFUNCTION("""COMPUTED_VALUE"""),"557058:3124a1f0-e92a-405c-93f2-c1d4e621bc77")</f>
        <v>557058:3124a1f0-e92a-405c-93f2-c1d4e621bc77</v>
      </c>
      <c r="G62" s="26" t="str">
        <f>IFERROR(__xludf.DUMMYFUNCTION("""COMPUTED_VALUE"""),"Trevor Coehoorn")</f>
        <v>Trevor Coehoorn</v>
      </c>
      <c r="H62" s="26" t="b">
        <v>0</v>
      </c>
    </row>
    <row r="63" hidden="1">
      <c r="A63" s="26" t="str">
        <f>VLOOKUP(B63,'2020 SRED (JIRA) - Issues and l'!$B:$C,2,FALSE)</f>
        <v>portal-builder</v>
      </c>
      <c r="B63" s="27" t="str">
        <f>IFERROR(__xludf.DUMMYFUNCTION("""COMPUTED_VALUE"""),"IV2-147")</f>
        <v>IV2-147</v>
      </c>
      <c r="C63" s="26" t="str">
        <f>IFERROR(__xludf.DUMMYFUNCTION("""COMPUTED_VALUE"""),"Add files to pages in the Portal Builder")</f>
        <v>Add files to pages in the Portal Builder</v>
      </c>
      <c r="D63" s="28">
        <f>IFERROR(__xludf.DUMMYFUNCTION("""COMPUTED_VALUE"""),0.0833333333333333)</f>
        <v>0.08333333333</v>
      </c>
      <c r="E63" s="29">
        <f>IFERROR(__xludf.DUMMYFUNCTION("""COMPUTED_VALUE"""),43851.0)</f>
        <v>43851</v>
      </c>
      <c r="F63" s="26" t="str">
        <f>IFERROR(__xludf.DUMMYFUNCTION("""COMPUTED_VALUE"""),"557058:3124a1f0-e92a-405c-93f2-c1d4e621bc77")</f>
        <v>557058:3124a1f0-e92a-405c-93f2-c1d4e621bc77</v>
      </c>
      <c r="G63" s="26" t="str">
        <f>IFERROR(__xludf.DUMMYFUNCTION("""COMPUTED_VALUE"""),"Trevor Coehoorn")</f>
        <v>Trevor Coehoorn</v>
      </c>
      <c r="H63" s="26" t="b">
        <v>0</v>
      </c>
    </row>
    <row r="64" hidden="1">
      <c r="A64" s="26" t="str">
        <f>VLOOKUP(B64,'2020 SRED (JIRA) - Issues and l'!$B:$C,2,FALSE)</f>
        <v>portal-builder</v>
      </c>
      <c r="B64" s="27" t="str">
        <f>IFERROR(__xludf.DUMMYFUNCTION("""COMPUTED_VALUE"""),"IV2-198")</f>
        <v>IV2-198</v>
      </c>
      <c r="C64" s="26" t="str">
        <f>IFERROR(__xludf.DUMMYFUNCTION("""COMPUTED_VALUE"""),"Add webform layout box components using the Touchpoint Builder")</f>
        <v>Add webform layout box components using the Touchpoint Builder</v>
      </c>
      <c r="D64" s="28">
        <f>IFERROR(__xludf.DUMMYFUNCTION("""COMPUTED_VALUE"""),0.05)</f>
        <v>0.05</v>
      </c>
      <c r="E64" s="29">
        <f>IFERROR(__xludf.DUMMYFUNCTION("""COMPUTED_VALUE"""),43851.0)</f>
        <v>43851</v>
      </c>
      <c r="F64" s="26" t="str">
        <f>IFERROR(__xludf.DUMMYFUNCTION("""COMPUTED_VALUE"""),"557058:3124a1f0-e92a-405c-93f2-c1d4e621bc77")</f>
        <v>557058:3124a1f0-e92a-405c-93f2-c1d4e621bc77</v>
      </c>
      <c r="G64" s="26" t="str">
        <f>IFERROR(__xludf.DUMMYFUNCTION("""COMPUTED_VALUE"""),"Trevor Coehoorn")</f>
        <v>Trevor Coehoorn</v>
      </c>
      <c r="H64" s="26" t="b">
        <v>0</v>
      </c>
    </row>
    <row r="65" hidden="1">
      <c r="A65" s="26" t="str">
        <f>VLOOKUP(B65,'2020 SRED (JIRA) - Issues and l'!$B:$C,2,FALSE)</f>
        <v>automated-summary-reports</v>
      </c>
      <c r="B65" s="27" t="str">
        <f>IFERROR(__xludf.DUMMYFUNCTION("""COMPUTED_VALUE"""),"IV2-164")</f>
        <v>IV2-164</v>
      </c>
      <c r="C65" s="26" t="str">
        <f>IFERROR(__xludf.DUMMYFUNCTION("""COMPUTED_VALUE"""),"Revamp Webinar Analysis Charts/ Graphs")</f>
        <v>Revamp Webinar Analysis Charts/ Graphs</v>
      </c>
      <c r="D65" s="28">
        <f>IFERROR(__xludf.DUMMYFUNCTION("""COMPUTED_VALUE"""),0.116666666666666)</f>
        <v>0.1166666667</v>
      </c>
      <c r="E65" s="29">
        <f>IFERROR(__xludf.DUMMYFUNCTION("""COMPUTED_VALUE"""),43851.0)</f>
        <v>43851</v>
      </c>
      <c r="F65" s="26" t="str">
        <f>IFERROR(__xludf.DUMMYFUNCTION("""COMPUTED_VALUE"""),"557058:3124a1f0-e92a-405c-93f2-c1d4e621bc77")</f>
        <v>557058:3124a1f0-e92a-405c-93f2-c1d4e621bc77</v>
      </c>
      <c r="G65" s="26" t="str">
        <f>IFERROR(__xludf.DUMMYFUNCTION("""COMPUTED_VALUE"""),"Trevor Coehoorn")</f>
        <v>Trevor Coehoorn</v>
      </c>
      <c r="H65" s="26" t="b">
        <v>0</v>
      </c>
    </row>
    <row r="66" hidden="1">
      <c r="A66" s="26" t="str">
        <f>VLOOKUP(B66,'2020 SRED (JIRA) - Issues and l'!$B:$C,2,FALSE)</f>
        <v>portal-builder-SRED</v>
      </c>
      <c r="B66" s="27" t="str">
        <f>IFERROR(__xludf.DUMMYFUNCTION("""COMPUTED_VALUE"""),"IV2-199")</f>
        <v>IV2-199</v>
      </c>
      <c r="C66" s="26" t="str">
        <f>IFERROR(__xludf.DUMMYFUNCTION("""COMPUTED_VALUE"""),"Add webform fieldset components using the Touchpoint Builder")</f>
        <v>Add webform fieldset components using the Touchpoint Builder</v>
      </c>
      <c r="D66" s="28">
        <f>IFERROR(__xludf.DUMMYFUNCTION("""COMPUTED_VALUE"""),1.36666666666666)</f>
        <v>1.366666667</v>
      </c>
      <c r="E66" s="29">
        <f>IFERROR(__xludf.DUMMYFUNCTION("""COMPUTED_VALUE"""),43851.0)</f>
        <v>43851</v>
      </c>
      <c r="F66" s="26" t="str">
        <f>IFERROR(__xludf.DUMMYFUNCTION("""COMPUTED_VALUE"""),"557058:3124a1f0-e92a-405c-93f2-c1d4e621bc77")</f>
        <v>557058:3124a1f0-e92a-405c-93f2-c1d4e621bc77</v>
      </c>
      <c r="G66" s="26" t="str">
        <f>IFERROR(__xludf.DUMMYFUNCTION("""COMPUTED_VALUE"""),"Trevor Coehoorn")</f>
        <v>Trevor Coehoorn</v>
      </c>
      <c r="H66" s="26" t="b">
        <v>0</v>
      </c>
    </row>
    <row r="67" hidden="1">
      <c r="A67" s="26" t="str">
        <f>VLOOKUP(B67,'2020 SRED (JIRA) - Issues and l'!$B:$C,2,FALSE)</f>
        <v>portal-builder-SRED</v>
      </c>
      <c r="B67" s="27" t="str">
        <f>IFERROR(__xludf.DUMMYFUNCTION("""COMPUTED_VALUE"""),"IV2-202")</f>
        <v>IV2-202</v>
      </c>
      <c r="C67" s="26" t="str">
        <f>IFERROR(__xludf.DUMMYFUNCTION("""COMPUTED_VALUE"""),"Portal Builder Surveyor Questions")</f>
        <v>Portal Builder Surveyor Questions</v>
      </c>
      <c r="D67" s="28">
        <f>IFERROR(__xludf.DUMMYFUNCTION("""COMPUTED_VALUE"""),4.75)</f>
        <v>4.75</v>
      </c>
      <c r="E67" s="29">
        <f>IFERROR(__xludf.DUMMYFUNCTION("""COMPUTED_VALUE"""),43851.0)</f>
        <v>43851</v>
      </c>
      <c r="F67" s="26" t="str">
        <f>IFERROR(__xludf.DUMMYFUNCTION("""COMPUTED_VALUE"""),"557058:3124a1f0-e92a-405c-93f2-c1d4e621bc77")</f>
        <v>557058:3124a1f0-e92a-405c-93f2-c1d4e621bc77</v>
      </c>
      <c r="G67" s="26" t="str">
        <f>IFERROR(__xludf.DUMMYFUNCTION("""COMPUTED_VALUE"""),"Trevor Coehoorn")</f>
        <v>Trevor Coehoorn</v>
      </c>
      <c r="H67" s="26" t="b">
        <v>0</v>
      </c>
    </row>
    <row r="68" hidden="1">
      <c r="A68" s="26" t="str">
        <f>VLOOKUP(B68,'2020 SRED (JIRA) - Issues and l'!$B:$C,2,FALSE)</f>
        <v>portal-builder</v>
      </c>
      <c r="B68" s="27" t="str">
        <f>IFERROR(__xludf.DUMMYFUNCTION("""COMPUTED_VALUE"""),"IV2-147")</f>
        <v>IV2-147</v>
      </c>
      <c r="C68" s="26" t="str">
        <f>IFERROR(__xludf.DUMMYFUNCTION("""COMPUTED_VALUE"""),"Add files to pages in the Portal Builder")</f>
        <v>Add files to pages in the Portal Builder</v>
      </c>
      <c r="D68" s="28">
        <f>IFERROR(__xludf.DUMMYFUNCTION("""COMPUTED_VALUE"""),0.166666666666666)</f>
        <v>0.1666666667</v>
      </c>
      <c r="E68" s="29">
        <f>IFERROR(__xludf.DUMMYFUNCTION("""COMPUTED_VALUE"""),43851.0)</f>
        <v>43851</v>
      </c>
      <c r="F68" s="26" t="str">
        <f>IFERROR(__xludf.DUMMYFUNCTION("""COMPUTED_VALUE"""),"557058:f55c62b5-dc7e-41e5-b0f8-231ca9f23470")</f>
        <v>557058:f55c62b5-dc7e-41e5-b0f8-231ca9f23470</v>
      </c>
      <c r="G68" s="26" t="str">
        <f>IFERROR(__xludf.DUMMYFUNCTION("""COMPUTED_VALUE"""),"Holly Lam")</f>
        <v>Holly Lam</v>
      </c>
      <c r="H68" s="26" t="b">
        <v>0</v>
      </c>
    </row>
    <row r="69" hidden="1">
      <c r="A69" s="26" t="str">
        <f>VLOOKUP(B69,'2020 SRED (JIRA) - Issues and l'!$B:$C,2,FALSE)</f>
        <v>portal-builder-SRED</v>
      </c>
      <c r="B69" s="27" t="str">
        <f>IFERROR(__xludf.DUMMYFUNCTION("""COMPUTED_VALUE"""),"IV2-202")</f>
        <v>IV2-202</v>
      </c>
      <c r="C69" s="26" t="str">
        <f>IFERROR(__xludf.DUMMYFUNCTION("""COMPUTED_VALUE"""),"Portal Builder Surveyor Questions")</f>
        <v>Portal Builder Surveyor Questions</v>
      </c>
      <c r="D69" s="28">
        <f>IFERROR(__xludf.DUMMYFUNCTION("""COMPUTED_VALUE"""),3.85)</f>
        <v>3.85</v>
      </c>
      <c r="E69" s="29">
        <f>IFERROR(__xludf.DUMMYFUNCTION("""COMPUTED_VALUE"""),43852.0)</f>
        <v>43852</v>
      </c>
      <c r="F69" s="26" t="str">
        <f>IFERROR(__xludf.DUMMYFUNCTION("""COMPUTED_VALUE"""),"557058:3124a1f0-e92a-405c-93f2-c1d4e621bc77")</f>
        <v>557058:3124a1f0-e92a-405c-93f2-c1d4e621bc77</v>
      </c>
      <c r="G69" s="26" t="str">
        <f>IFERROR(__xludf.DUMMYFUNCTION("""COMPUTED_VALUE"""),"Trevor Coehoorn")</f>
        <v>Trevor Coehoorn</v>
      </c>
      <c r="H69" s="26" t="b">
        <v>0</v>
      </c>
    </row>
    <row r="70" hidden="1">
      <c r="A70" s="26" t="str">
        <f>VLOOKUP(B70,'2020 SRED (JIRA) - Issues and l'!$B:$C,2,FALSE)</f>
        <v>portal-builder</v>
      </c>
      <c r="B70" s="27" t="str">
        <f>IFERROR(__xludf.DUMMYFUNCTION("""COMPUTED_VALUE"""),"IV2-135")</f>
        <v>IV2-135</v>
      </c>
      <c r="C70" s="26" t="str">
        <f>IFERROR(__xludf.DUMMYFUNCTION("""COMPUTED_VALUE"""),"Add webform support to the Touchpoint Report Builder")</f>
        <v>Add webform support to the Touchpoint Report Builder</v>
      </c>
      <c r="D70" s="28">
        <f>IFERROR(__xludf.DUMMYFUNCTION("""COMPUTED_VALUE"""),0.25)</f>
        <v>0.25</v>
      </c>
      <c r="E70" s="29">
        <f>IFERROR(__xludf.DUMMYFUNCTION("""COMPUTED_VALUE"""),43852.0)</f>
        <v>43852</v>
      </c>
      <c r="F70" s="26" t="str">
        <f>IFERROR(__xludf.DUMMYFUNCTION("""COMPUTED_VALUE"""),"557058:3124a1f0-e92a-405c-93f2-c1d4e621bc77")</f>
        <v>557058:3124a1f0-e92a-405c-93f2-c1d4e621bc77</v>
      </c>
      <c r="G70" s="26" t="str">
        <f>IFERROR(__xludf.DUMMYFUNCTION("""COMPUTED_VALUE"""),"Trevor Coehoorn")</f>
        <v>Trevor Coehoorn</v>
      </c>
      <c r="H70" s="26" t="b">
        <v>0</v>
      </c>
    </row>
    <row r="71" hidden="1">
      <c r="A71" s="26" t="str">
        <f>VLOOKUP(B71,'2020 SRED (JIRA) - Issues and l'!$B:$C,2,FALSE)</f>
        <v>portal-builder-SRED</v>
      </c>
      <c r="B71" s="27" t="str">
        <f>IFERROR(__xludf.DUMMYFUNCTION("""COMPUTED_VALUE"""),"ITP-1795")</f>
        <v>ITP-1795</v>
      </c>
      <c r="C71" s="26" t="str">
        <f>IFERROR(__xludf.DUMMYFUNCTION("""COMPUTED_VALUE"""),"Enable speech to text by default")</f>
        <v>Enable speech to text by default</v>
      </c>
      <c r="D71" s="28">
        <f>IFERROR(__xludf.DUMMYFUNCTION("""COMPUTED_VALUE"""),0.0833333333333333)</f>
        <v>0.08333333333</v>
      </c>
      <c r="E71" s="29">
        <f>IFERROR(__xludf.DUMMYFUNCTION("""COMPUTED_VALUE"""),43853.0)</f>
        <v>43853</v>
      </c>
      <c r="F71" s="26" t="str">
        <f>IFERROR(__xludf.DUMMYFUNCTION("""COMPUTED_VALUE"""),"557058:3124a1f0-e92a-405c-93f2-c1d4e621bc77")</f>
        <v>557058:3124a1f0-e92a-405c-93f2-c1d4e621bc77</v>
      </c>
      <c r="G71" s="26" t="str">
        <f>IFERROR(__xludf.DUMMYFUNCTION("""COMPUTED_VALUE"""),"Trevor Coehoorn")</f>
        <v>Trevor Coehoorn</v>
      </c>
      <c r="H71" s="26" t="b">
        <v>0</v>
      </c>
    </row>
    <row r="72" hidden="1">
      <c r="A72" s="26" t="str">
        <f>VLOOKUP(B72,'2020 SRED (JIRA) - Issues and l'!$B:$C,2,FALSE)</f>
        <v>portal-builder-SRED</v>
      </c>
      <c r="B72" s="27" t="str">
        <f>IFERROR(__xludf.DUMMYFUNCTION("""COMPUTED_VALUE"""),"IV2-202")</f>
        <v>IV2-202</v>
      </c>
      <c r="C72" s="26" t="str">
        <f>IFERROR(__xludf.DUMMYFUNCTION("""COMPUTED_VALUE"""),"Portal Builder Surveyor Questions")</f>
        <v>Portal Builder Surveyor Questions</v>
      </c>
      <c r="D72" s="28">
        <f>IFERROR(__xludf.DUMMYFUNCTION("""COMPUTED_VALUE"""),1.8)</f>
        <v>1.8</v>
      </c>
      <c r="E72" s="29">
        <f>IFERROR(__xludf.DUMMYFUNCTION("""COMPUTED_VALUE"""),43853.0)</f>
        <v>43853</v>
      </c>
      <c r="F72" s="26" t="str">
        <f>IFERROR(__xludf.DUMMYFUNCTION("""COMPUTED_VALUE"""),"557058:3124a1f0-e92a-405c-93f2-c1d4e621bc77")</f>
        <v>557058:3124a1f0-e92a-405c-93f2-c1d4e621bc77</v>
      </c>
      <c r="G72" s="26" t="str">
        <f>IFERROR(__xludf.DUMMYFUNCTION("""COMPUTED_VALUE"""),"Trevor Coehoorn")</f>
        <v>Trevor Coehoorn</v>
      </c>
      <c r="H72" s="26" t="b">
        <v>0</v>
      </c>
    </row>
    <row r="73" hidden="1">
      <c r="A73" s="26" t="str">
        <f>VLOOKUP(B73,'2020 SRED (JIRA) - Issues and l'!$B:$C,2,FALSE)</f>
        <v>portal-builder-SRED</v>
      </c>
      <c r="B73" s="27" t="str">
        <f>IFERROR(__xludf.DUMMYFUNCTION("""COMPUTED_VALUE"""),"ITP-1797")</f>
        <v>ITP-1797</v>
      </c>
      <c r="C73" s="26" t="str">
        <f>IFERROR(__xludf.DUMMYFUNCTION("""COMPUTED_VALUE"""),"Automate customized Friday digest")</f>
        <v>Automate customized Friday digest</v>
      </c>
      <c r="D73" s="28">
        <f>IFERROR(__xludf.DUMMYFUNCTION("""COMPUTED_VALUE"""),0.366666666666666)</f>
        <v>0.3666666667</v>
      </c>
      <c r="E73" s="29">
        <f>IFERROR(__xludf.DUMMYFUNCTION("""COMPUTED_VALUE"""),43853.0)</f>
        <v>43853</v>
      </c>
      <c r="F73" s="26" t="str">
        <f>IFERROR(__xludf.DUMMYFUNCTION("""COMPUTED_VALUE"""),"557058:3124a1f0-e92a-405c-93f2-c1d4e621bc77")</f>
        <v>557058:3124a1f0-e92a-405c-93f2-c1d4e621bc77</v>
      </c>
      <c r="G73" s="26" t="str">
        <f>IFERROR(__xludf.DUMMYFUNCTION("""COMPUTED_VALUE"""),"Trevor Coehoorn")</f>
        <v>Trevor Coehoorn</v>
      </c>
      <c r="H73" s="26" t="b">
        <v>0</v>
      </c>
    </row>
    <row r="74" hidden="1">
      <c r="A74" s="26" t="str">
        <f>VLOOKUP(B74,'2020 SRED (JIRA) - Issues and l'!$B:$C,2,FALSE)</f>
        <v>portal-builder</v>
      </c>
      <c r="B74" s="27" t="str">
        <f>IFERROR(__xludf.DUMMYFUNCTION("""COMPUTED_VALUE"""),"IV2-201")</f>
        <v>IV2-201</v>
      </c>
      <c r="C74" s="26" t="str">
        <f>IFERROR(__xludf.DUMMYFUNCTION("""COMPUTED_VALUE"""),"Create Touchpoint Intake Form in Demo Portal")</f>
        <v>Create Touchpoint Intake Form in Demo Portal</v>
      </c>
      <c r="D74" s="28">
        <f>IFERROR(__xludf.DUMMYFUNCTION("""COMPUTED_VALUE"""),0.0833333333333333)</f>
        <v>0.08333333333</v>
      </c>
      <c r="E74" s="29">
        <f>IFERROR(__xludf.DUMMYFUNCTION("""COMPUTED_VALUE"""),43853.0)</f>
        <v>43853</v>
      </c>
      <c r="F74" s="26" t="str">
        <f>IFERROR(__xludf.DUMMYFUNCTION("""COMPUTED_VALUE"""),"557058:436d074a-0c49-48c8-8e0d-e42f14c37c66")</f>
        <v>557058:436d074a-0c49-48c8-8e0d-e42f14c37c66</v>
      </c>
      <c r="G74" s="26" t="str">
        <f>IFERROR(__xludf.DUMMYFUNCTION("""COMPUTED_VALUE"""),"Linda Perfetto")</f>
        <v>Linda Perfetto</v>
      </c>
      <c r="H74" s="26" t="b">
        <v>0</v>
      </c>
    </row>
    <row r="75" hidden="1">
      <c r="A75" s="26" t="str">
        <f>VLOOKUP(B75,'2020 SRED (JIRA) - Issues and l'!$B:$C,2,FALSE)</f>
        <v>portal-builder-SRED</v>
      </c>
      <c r="B75" s="27" t="str">
        <f>IFERROR(__xludf.DUMMYFUNCTION("""COMPUTED_VALUE"""),"ITP-1795")</f>
        <v>ITP-1795</v>
      </c>
      <c r="C75" s="26" t="str">
        <f>IFERROR(__xludf.DUMMYFUNCTION("""COMPUTED_VALUE"""),"Enable speech to text by default")</f>
        <v>Enable speech to text by default</v>
      </c>
      <c r="D75" s="28">
        <f>IFERROR(__xludf.DUMMYFUNCTION("""COMPUTED_VALUE"""),1.0)</f>
        <v>1</v>
      </c>
      <c r="E75" s="29">
        <f>IFERROR(__xludf.DUMMYFUNCTION("""COMPUTED_VALUE"""),43853.0)</f>
        <v>43853</v>
      </c>
      <c r="F75" s="26" t="str">
        <f>IFERROR(__xludf.DUMMYFUNCTION("""COMPUTED_VALUE"""),"557058:73c9cac1-5a92-492c-86e8-838810ee0dde")</f>
        <v>557058:73c9cac1-5a92-492c-86e8-838810ee0dde</v>
      </c>
      <c r="G75" s="26" t="str">
        <f>IFERROR(__xludf.DUMMYFUNCTION("""COMPUTED_VALUE"""),"Dan Wells")</f>
        <v>Dan Wells</v>
      </c>
      <c r="H75" s="26" t="b">
        <v>0</v>
      </c>
    </row>
    <row r="76" hidden="1">
      <c r="A76" s="26" t="str">
        <f>VLOOKUP(B76,'2020 SRED (JIRA) - Issues and l'!$B:$C,2,FALSE)</f>
        <v>portal-builder</v>
      </c>
      <c r="B76" s="27" t="str">
        <f>IFERROR(__xludf.DUMMYFUNCTION("""COMPUTED_VALUE"""),"IV2-192")</f>
        <v>IV2-192</v>
      </c>
      <c r="C76" s="26" t="str">
        <f>IFERROR(__xludf.DUMMYFUNCTION("""COMPUTED_VALUE"""),"Portal Builder Copy Writing")</f>
        <v>Portal Builder Copy Writing</v>
      </c>
      <c r="D76" s="28">
        <f>IFERROR(__xludf.DUMMYFUNCTION("""COMPUTED_VALUE"""),4.0)</f>
        <v>4</v>
      </c>
      <c r="E76" s="29">
        <f>IFERROR(__xludf.DUMMYFUNCTION("""COMPUTED_VALUE"""),43853.0)</f>
        <v>43853</v>
      </c>
      <c r="F76" s="26" t="str">
        <f>IFERROR(__xludf.DUMMYFUNCTION("""COMPUTED_VALUE"""),"557058:f55c62b5-dc7e-41e5-b0f8-231ca9f23470")</f>
        <v>557058:f55c62b5-dc7e-41e5-b0f8-231ca9f23470</v>
      </c>
      <c r="G76" s="26" t="str">
        <f>IFERROR(__xludf.DUMMYFUNCTION("""COMPUTED_VALUE"""),"Holly Lam")</f>
        <v>Holly Lam</v>
      </c>
      <c r="H76" s="26" t="b">
        <v>0</v>
      </c>
    </row>
    <row r="77" hidden="1">
      <c r="A77" s="26" t="str">
        <f>VLOOKUP(B77,'2020 SRED (JIRA) - Issues and l'!$B:$C,2,FALSE)</f>
        <v>portal-builder-SRED</v>
      </c>
      <c r="B77" s="27" t="str">
        <f>IFERROR(__xludf.DUMMYFUNCTION("""COMPUTED_VALUE"""),"ITP-1795")</f>
        <v>ITP-1795</v>
      </c>
      <c r="C77" s="26" t="str">
        <f>IFERROR(__xludf.DUMMYFUNCTION("""COMPUTED_VALUE"""),"Enable speech to text by default")</f>
        <v>Enable speech to text by default</v>
      </c>
      <c r="D77" s="28">
        <f>IFERROR(__xludf.DUMMYFUNCTION("""COMPUTED_VALUE"""),0.866666666666666)</f>
        <v>0.8666666667</v>
      </c>
      <c r="E77" s="29">
        <f>IFERROR(__xludf.DUMMYFUNCTION("""COMPUTED_VALUE"""),43854.0)</f>
        <v>43854</v>
      </c>
      <c r="F77" s="26" t="str">
        <f>IFERROR(__xludf.DUMMYFUNCTION("""COMPUTED_VALUE"""),"557058:3124a1f0-e92a-405c-93f2-c1d4e621bc77")</f>
        <v>557058:3124a1f0-e92a-405c-93f2-c1d4e621bc77</v>
      </c>
      <c r="G77" s="26" t="str">
        <f>IFERROR(__xludf.DUMMYFUNCTION("""COMPUTED_VALUE"""),"Trevor Coehoorn")</f>
        <v>Trevor Coehoorn</v>
      </c>
      <c r="H77" s="26" t="b">
        <v>0</v>
      </c>
    </row>
    <row r="78" hidden="1">
      <c r="A78" s="26" t="str">
        <f>VLOOKUP(B78,'2020 SRED (JIRA) - Issues and l'!$B:$C,2,FALSE)</f>
        <v>portal-builder</v>
      </c>
      <c r="B78" s="27" t="str">
        <f>IFERROR(__xludf.DUMMYFUNCTION("""COMPUTED_VALUE"""),"IV2-192")</f>
        <v>IV2-192</v>
      </c>
      <c r="C78" s="26" t="str">
        <f>IFERROR(__xludf.DUMMYFUNCTION("""COMPUTED_VALUE"""),"Portal Builder Copy Writing")</f>
        <v>Portal Builder Copy Writing</v>
      </c>
      <c r="D78" s="28">
        <f>IFERROR(__xludf.DUMMYFUNCTION("""COMPUTED_VALUE"""),2.0)</f>
        <v>2</v>
      </c>
      <c r="E78" s="29">
        <f>IFERROR(__xludf.DUMMYFUNCTION("""COMPUTED_VALUE"""),43854.0)</f>
        <v>43854</v>
      </c>
      <c r="F78" s="26" t="str">
        <f>IFERROR(__xludf.DUMMYFUNCTION("""COMPUTED_VALUE"""),"557058:73c9cac1-5a92-492c-86e8-838810ee0dde")</f>
        <v>557058:73c9cac1-5a92-492c-86e8-838810ee0dde</v>
      </c>
      <c r="G78" s="26" t="str">
        <f>IFERROR(__xludf.DUMMYFUNCTION("""COMPUTED_VALUE"""),"Dan Wells")</f>
        <v>Dan Wells</v>
      </c>
      <c r="H78" s="26" t="b">
        <v>0</v>
      </c>
    </row>
    <row r="79" hidden="1">
      <c r="A79" s="26" t="str">
        <f>VLOOKUP(B79,'2020 SRED (JIRA) - Issues and l'!$B:$C,2,FALSE)</f>
        <v>portal-builder</v>
      </c>
      <c r="B79" s="27" t="str">
        <f>IFERROR(__xludf.DUMMYFUNCTION("""COMPUTED_VALUE"""),"IV2-192")</f>
        <v>IV2-192</v>
      </c>
      <c r="C79" s="26" t="str">
        <f>IFERROR(__xludf.DUMMYFUNCTION("""COMPUTED_VALUE"""),"Portal Builder Copy Writing")</f>
        <v>Portal Builder Copy Writing</v>
      </c>
      <c r="D79" s="28">
        <f>IFERROR(__xludf.DUMMYFUNCTION("""COMPUTED_VALUE"""),2.0)</f>
        <v>2</v>
      </c>
      <c r="E79" s="29">
        <f>IFERROR(__xludf.DUMMYFUNCTION("""COMPUTED_VALUE"""),43854.0)</f>
        <v>43854</v>
      </c>
      <c r="F79" s="26" t="str">
        <f>IFERROR(__xludf.DUMMYFUNCTION("""COMPUTED_VALUE"""),"557058:73c9cac1-5a92-492c-86e8-838810ee0dde")</f>
        <v>557058:73c9cac1-5a92-492c-86e8-838810ee0dde</v>
      </c>
      <c r="G79" s="26" t="str">
        <f>IFERROR(__xludf.DUMMYFUNCTION("""COMPUTED_VALUE"""),"Dan Wells")</f>
        <v>Dan Wells</v>
      </c>
      <c r="H79" s="26" t="b">
        <v>0</v>
      </c>
    </row>
    <row r="80" hidden="1">
      <c r="A80" s="26" t="str">
        <f>VLOOKUP(B80,'2020 SRED (JIRA) - Issues and l'!$B:$C,2,FALSE)</f>
        <v>portal-builder</v>
      </c>
      <c r="B80" s="27" t="str">
        <f>IFERROR(__xludf.DUMMYFUNCTION("""COMPUTED_VALUE"""),"IV2-192")</f>
        <v>IV2-192</v>
      </c>
      <c r="C80" s="26" t="str">
        <f>IFERROR(__xludf.DUMMYFUNCTION("""COMPUTED_VALUE"""),"Portal Builder Copy Writing")</f>
        <v>Portal Builder Copy Writing</v>
      </c>
      <c r="D80" s="28">
        <f>IFERROR(__xludf.DUMMYFUNCTION("""COMPUTED_VALUE"""),0.75)</f>
        <v>0.75</v>
      </c>
      <c r="E80" s="29">
        <f>IFERROR(__xludf.DUMMYFUNCTION("""COMPUTED_VALUE"""),43854.0)</f>
        <v>43854</v>
      </c>
      <c r="F80" s="26" t="str">
        <f>IFERROR(__xludf.DUMMYFUNCTION("""COMPUTED_VALUE"""),"557058:f55c62b5-dc7e-41e5-b0f8-231ca9f23470")</f>
        <v>557058:f55c62b5-dc7e-41e5-b0f8-231ca9f23470</v>
      </c>
      <c r="G80" s="26" t="str">
        <f>IFERROR(__xludf.DUMMYFUNCTION("""COMPUTED_VALUE"""),"Holly Lam")</f>
        <v>Holly Lam</v>
      </c>
      <c r="H80" s="26" t="b">
        <v>0</v>
      </c>
    </row>
    <row r="81" hidden="1">
      <c r="A81" s="26" t="str">
        <f>VLOOKUP(B81,'2020 SRED (JIRA) - Issues and l'!$B:$C,2,FALSE)</f>
        <v>portal-builder</v>
      </c>
      <c r="B81" s="27" t="str">
        <f>IFERROR(__xludf.DUMMYFUNCTION("""COMPUTED_VALUE"""),"IV2-192")</f>
        <v>IV2-192</v>
      </c>
      <c r="C81" s="26" t="str">
        <f>IFERROR(__xludf.DUMMYFUNCTION("""COMPUTED_VALUE"""),"Portal Builder Copy Writing")</f>
        <v>Portal Builder Copy Writing</v>
      </c>
      <c r="D81" s="28">
        <f>IFERROR(__xludf.DUMMYFUNCTION("""COMPUTED_VALUE"""),1.16666666666666)</f>
        <v>1.166666667</v>
      </c>
      <c r="E81" s="29">
        <f>IFERROR(__xludf.DUMMYFUNCTION("""COMPUTED_VALUE"""),43854.0)</f>
        <v>43854</v>
      </c>
      <c r="F81" s="26" t="str">
        <f>IFERROR(__xludf.DUMMYFUNCTION("""COMPUTED_VALUE"""),"557058:f55c62b5-dc7e-41e5-b0f8-231ca9f23470")</f>
        <v>557058:f55c62b5-dc7e-41e5-b0f8-231ca9f23470</v>
      </c>
      <c r="G81" s="26" t="str">
        <f>IFERROR(__xludf.DUMMYFUNCTION("""COMPUTED_VALUE"""),"Holly Lam")</f>
        <v>Holly Lam</v>
      </c>
      <c r="H81" s="26" t="b">
        <v>0</v>
      </c>
    </row>
    <row r="82" hidden="1">
      <c r="A82" s="26" t="str">
        <f>VLOOKUP(B82,'2020 SRED (JIRA) - Issues and l'!$B:$C,2,FALSE)</f>
        <v>portal-builder</v>
      </c>
      <c r="B82" s="27" t="str">
        <f>IFERROR(__xludf.DUMMYFUNCTION("""COMPUTED_VALUE"""),"IV2-201")</f>
        <v>IV2-201</v>
      </c>
      <c r="C82" s="26" t="str">
        <f>IFERROR(__xludf.DUMMYFUNCTION("""COMPUTED_VALUE"""),"Create Touchpoint Intake Form in Demo Portal")</f>
        <v>Create Touchpoint Intake Form in Demo Portal</v>
      </c>
      <c r="D82" s="28">
        <f>IFERROR(__xludf.DUMMYFUNCTION("""COMPUTED_VALUE"""),3.0)</f>
        <v>3</v>
      </c>
      <c r="E82" s="29">
        <f>IFERROR(__xludf.DUMMYFUNCTION("""COMPUTED_VALUE"""),43857.0)</f>
        <v>43857</v>
      </c>
      <c r="F82" s="26" t="str">
        <f>IFERROR(__xludf.DUMMYFUNCTION("""COMPUTED_VALUE"""),"557058:73c9cac1-5a92-492c-86e8-838810ee0dde")</f>
        <v>557058:73c9cac1-5a92-492c-86e8-838810ee0dde</v>
      </c>
      <c r="G82" s="26" t="str">
        <f>IFERROR(__xludf.DUMMYFUNCTION("""COMPUTED_VALUE"""),"Dan Wells")</f>
        <v>Dan Wells</v>
      </c>
      <c r="H82" s="26" t="b">
        <v>0</v>
      </c>
    </row>
    <row r="83" hidden="1">
      <c r="A83" s="26" t="str">
        <f>VLOOKUP(B83,'2020 SRED (JIRA) - Issues and l'!$B:$C,2,FALSE)</f>
        <v>portal-builder</v>
      </c>
      <c r="B83" s="27" t="str">
        <f>IFERROR(__xludf.DUMMYFUNCTION("""COMPUTED_VALUE"""),"IV2-192")</f>
        <v>IV2-192</v>
      </c>
      <c r="C83" s="26" t="str">
        <f>IFERROR(__xludf.DUMMYFUNCTION("""COMPUTED_VALUE"""),"Portal Builder Copy Writing")</f>
        <v>Portal Builder Copy Writing</v>
      </c>
      <c r="D83" s="28">
        <f>IFERROR(__xludf.DUMMYFUNCTION("""COMPUTED_VALUE"""),0.5)</f>
        <v>0.5</v>
      </c>
      <c r="E83" s="29">
        <f>IFERROR(__xludf.DUMMYFUNCTION("""COMPUTED_VALUE"""),43857.0)</f>
        <v>43857</v>
      </c>
      <c r="F83" s="26" t="str">
        <f>IFERROR(__xludf.DUMMYFUNCTION("""COMPUTED_VALUE"""),"557058:f55c62b5-dc7e-41e5-b0f8-231ca9f23470")</f>
        <v>557058:f55c62b5-dc7e-41e5-b0f8-231ca9f23470</v>
      </c>
      <c r="G83" s="26" t="str">
        <f>IFERROR(__xludf.DUMMYFUNCTION("""COMPUTED_VALUE"""),"Holly Lam")</f>
        <v>Holly Lam</v>
      </c>
      <c r="H83" s="26" t="b">
        <v>0</v>
      </c>
    </row>
    <row r="84" hidden="1">
      <c r="A84" s="26" t="str">
        <f>VLOOKUP(B84,'2020 SRED (JIRA) - Issues and l'!$B:$C,2,FALSE)</f>
        <v>portal-builder-SRED</v>
      </c>
      <c r="B84" s="27" t="str">
        <f>IFERROR(__xludf.DUMMYFUNCTION("""COMPUTED_VALUE"""),"ITP-1795")</f>
        <v>ITP-1795</v>
      </c>
      <c r="C84" s="26" t="str">
        <f>IFERROR(__xludf.DUMMYFUNCTION("""COMPUTED_VALUE"""),"Enable speech to text by default")</f>
        <v>Enable speech to text by default</v>
      </c>
      <c r="D84" s="28">
        <f>IFERROR(__xludf.DUMMYFUNCTION("""COMPUTED_VALUE"""),2.05)</f>
        <v>2.05</v>
      </c>
      <c r="E84" s="29">
        <f>IFERROR(__xludf.DUMMYFUNCTION("""COMPUTED_VALUE"""),43858.0)</f>
        <v>43858</v>
      </c>
      <c r="F84" s="26" t="str">
        <f>IFERROR(__xludf.DUMMYFUNCTION("""COMPUTED_VALUE"""),"557058:3124a1f0-e92a-405c-93f2-c1d4e621bc77")</f>
        <v>557058:3124a1f0-e92a-405c-93f2-c1d4e621bc77</v>
      </c>
      <c r="G84" s="26" t="str">
        <f>IFERROR(__xludf.DUMMYFUNCTION("""COMPUTED_VALUE"""),"Trevor Coehoorn")</f>
        <v>Trevor Coehoorn</v>
      </c>
      <c r="H84" s="26" t="b">
        <v>0</v>
      </c>
    </row>
    <row r="85" hidden="1">
      <c r="A85" s="26" t="str">
        <f>VLOOKUP(B85,'2020 SRED (JIRA) - Issues and l'!$B:$C,2,FALSE)</f>
        <v>portal-builder</v>
      </c>
      <c r="B85" s="27" t="str">
        <f>IFERROR(__xludf.DUMMYFUNCTION("""COMPUTED_VALUE"""),"IV2-31")</f>
        <v>IV2-31</v>
      </c>
      <c r="C85" s="26" t="str">
        <f>IFERROR(__xludf.DUMMYFUNCTION("""COMPUTED_VALUE"""),"V2 Status Meetings")</f>
        <v>V2 Status Meetings</v>
      </c>
      <c r="D85" s="28">
        <f>IFERROR(__xludf.DUMMYFUNCTION("""COMPUTED_VALUE"""),0.25)</f>
        <v>0.25</v>
      </c>
      <c r="E85" s="29">
        <f>IFERROR(__xludf.DUMMYFUNCTION("""COMPUTED_VALUE"""),43858.0)</f>
        <v>43858</v>
      </c>
      <c r="F85" s="26" t="str">
        <f>IFERROR(__xludf.DUMMYFUNCTION("""COMPUTED_VALUE"""),"557058:3124a1f0-e92a-405c-93f2-c1d4e621bc77")</f>
        <v>557058:3124a1f0-e92a-405c-93f2-c1d4e621bc77</v>
      </c>
      <c r="G85" s="26" t="str">
        <f>IFERROR(__xludf.DUMMYFUNCTION("""COMPUTED_VALUE"""),"Trevor Coehoorn")</f>
        <v>Trevor Coehoorn</v>
      </c>
      <c r="H85" s="26" t="b">
        <v>0</v>
      </c>
    </row>
    <row r="86" hidden="1">
      <c r="A86" s="26" t="str">
        <f>VLOOKUP(B86,'2020 SRED (JIRA) - Issues and l'!$B:$C,2,FALSE)</f>
        <v>portal-builder</v>
      </c>
      <c r="B86" s="27" t="str">
        <f>IFERROR(__xludf.DUMMYFUNCTION("""COMPUTED_VALUE"""),"IV2-201")</f>
        <v>IV2-201</v>
      </c>
      <c r="C86" s="26" t="str">
        <f>IFERROR(__xludf.DUMMYFUNCTION("""COMPUTED_VALUE"""),"Create Touchpoint Intake Form in Demo Portal")</f>
        <v>Create Touchpoint Intake Form in Demo Portal</v>
      </c>
      <c r="D86" s="28">
        <f>IFERROR(__xludf.DUMMYFUNCTION("""COMPUTED_VALUE"""),3.0)</f>
        <v>3</v>
      </c>
      <c r="E86" s="29">
        <f>IFERROR(__xludf.DUMMYFUNCTION("""COMPUTED_VALUE"""),43858.0)</f>
        <v>43858</v>
      </c>
      <c r="F86" s="26" t="str">
        <f>IFERROR(__xludf.DUMMYFUNCTION("""COMPUTED_VALUE"""),"557058:73c9cac1-5a92-492c-86e8-838810ee0dde")</f>
        <v>557058:73c9cac1-5a92-492c-86e8-838810ee0dde</v>
      </c>
      <c r="G86" s="26" t="str">
        <f>IFERROR(__xludf.DUMMYFUNCTION("""COMPUTED_VALUE"""),"Dan Wells")</f>
        <v>Dan Wells</v>
      </c>
      <c r="H86" s="26" t="b">
        <v>0</v>
      </c>
    </row>
    <row r="87" hidden="1">
      <c r="A87" s="26" t="str">
        <f>VLOOKUP(B87,'2020 SRED (JIRA) - Issues and l'!$B:$C,2,FALSE)</f>
        <v>portal-builder-SRED</v>
      </c>
      <c r="B87" s="27" t="str">
        <f>IFERROR(__xludf.DUMMYFUNCTION("""COMPUTED_VALUE"""),"IV2-202")</f>
        <v>IV2-202</v>
      </c>
      <c r="C87" s="26" t="str">
        <f>IFERROR(__xludf.DUMMYFUNCTION("""COMPUTED_VALUE"""),"Portal Builder Surveyor Questions")</f>
        <v>Portal Builder Surveyor Questions</v>
      </c>
      <c r="D87" s="28">
        <f>IFERROR(__xludf.DUMMYFUNCTION("""COMPUTED_VALUE"""),4.85)</f>
        <v>4.85</v>
      </c>
      <c r="E87" s="29">
        <f>IFERROR(__xludf.DUMMYFUNCTION("""COMPUTED_VALUE"""),43859.0)</f>
        <v>43859</v>
      </c>
      <c r="F87" s="26" t="str">
        <f>IFERROR(__xludf.DUMMYFUNCTION("""COMPUTED_VALUE"""),"557058:3124a1f0-e92a-405c-93f2-c1d4e621bc77")</f>
        <v>557058:3124a1f0-e92a-405c-93f2-c1d4e621bc77</v>
      </c>
      <c r="G87" s="26" t="str">
        <f>IFERROR(__xludf.DUMMYFUNCTION("""COMPUTED_VALUE"""),"Trevor Coehoorn")</f>
        <v>Trevor Coehoorn</v>
      </c>
      <c r="H87" s="26" t="b">
        <v>0</v>
      </c>
    </row>
    <row r="88" hidden="1">
      <c r="A88" s="26" t="str">
        <f>VLOOKUP(B88,'2020 SRED (JIRA) - Issues and l'!$B:$C,2,FALSE)</f>
        <v>portal-builder-SRED</v>
      </c>
      <c r="B88" s="27" t="str">
        <f>IFERROR(__xludf.DUMMYFUNCTION("""COMPUTED_VALUE"""),"ITP-1795")</f>
        <v>ITP-1795</v>
      </c>
      <c r="C88" s="26" t="str">
        <f>IFERROR(__xludf.DUMMYFUNCTION("""COMPUTED_VALUE"""),"Enable speech to text by default")</f>
        <v>Enable speech to text by default</v>
      </c>
      <c r="D88" s="28">
        <f>IFERROR(__xludf.DUMMYFUNCTION("""COMPUTED_VALUE"""),0.533333333333333)</f>
        <v>0.5333333333</v>
      </c>
      <c r="E88" s="29">
        <f>IFERROR(__xludf.DUMMYFUNCTION("""COMPUTED_VALUE"""),43859.0)</f>
        <v>43859</v>
      </c>
      <c r="F88" s="26" t="str">
        <f>IFERROR(__xludf.DUMMYFUNCTION("""COMPUTED_VALUE"""),"557058:3124a1f0-e92a-405c-93f2-c1d4e621bc77")</f>
        <v>557058:3124a1f0-e92a-405c-93f2-c1d4e621bc77</v>
      </c>
      <c r="G88" s="26" t="str">
        <f>IFERROR(__xludf.DUMMYFUNCTION("""COMPUTED_VALUE"""),"Trevor Coehoorn")</f>
        <v>Trevor Coehoorn</v>
      </c>
      <c r="H88" s="26" t="b">
        <v>0</v>
      </c>
    </row>
    <row r="89" hidden="1">
      <c r="A89" s="26" t="str">
        <f>VLOOKUP(B89,'2020 SRED (JIRA) - Issues and l'!$B:$C,2,FALSE)</f>
        <v>portal-builder</v>
      </c>
      <c r="B89" s="27" t="str">
        <f>IFERROR(__xludf.DUMMYFUNCTION("""COMPUTED_VALUE"""),"IV2-201")</f>
        <v>IV2-201</v>
      </c>
      <c r="C89" s="26" t="str">
        <f>IFERROR(__xludf.DUMMYFUNCTION("""COMPUTED_VALUE"""),"Create Touchpoint Intake Form in Demo Portal")</f>
        <v>Create Touchpoint Intake Form in Demo Portal</v>
      </c>
      <c r="D89" s="28">
        <f>IFERROR(__xludf.DUMMYFUNCTION("""COMPUTED_VALUE"""),3.0)</f>
        <v>3</v>
      </c>
      <c r="E89" s="29">
        <f>IFERROR(__xludf.DUMMYFUNCTION("""COMPUTED_VALUE"""),43859.0)</f>
        <v>43859</v>
      </c>
      <c r="F89" s="26" t="str">
        <f>IFERROR(__xludf.DUMMYFUNCTION("""COMPUTED_VALUE"""),"557058:73c9cac1-5a92-492c-86e8-838810ee0dde")</f>
        <v>557058:73c9cac1-5a92-492c-86e8-838810ee0dde</v>
      </c>
      <c r="G89" s="26" t="str">
        <f>IFERROR(__xludf.DUMMYFUNCTION("""COMPUTED_VALUE"""),"Dan Wells")</f>
        <v>Dan Wells</v>
      </c>
      <c r="H89" s="26" t="b">
        <v>0</v>
      </c>
    </row>
    <row r="90" hidden="1">
      <c r="A90" s="26" t="str">
        <f>VLOOKUP(B90,'2020 SRED (JIRA) - Issues and l'!$B:$C,2,FALSE)</f>
        <v>portal-builder</v>
      </c>
      <c r="B90" s="27" t="str">
        <f>IFERROR(__xludf.DUMMYFUNCTION("""COMPUTED_VALUE"""),"IV2-135")</f>
        <v>IV2-135</v>
      </c>
      <c r="C90" s="26" t="str">
        <f>IFERROR(__xludf.DUMMYFUNCTION("""COMPUTED_VALUE"""),"Add webform support to the Touchpoint Report Builder")</f>
        <v>Add webform support to the Touchpoint Report Builder</v>
      </c>
      <c r="D90" s="28">
        <f>IFERROR(__xludf.DUMMYFUNCTION("""COMPUTED_VALUE"""),1.25)</f>
        <v>1.25</v>
      </c>
      <c r="E90" s="29">
        <f>IFERROR(__xludf.DUMMYFUNCTION("""COMPUTED_VALUE"""),43860.0)</f>
        <v>43860</v>
      </c>
      <c r="F90" s="26" t="str">
        <f>IFERROR(__xludf.DUMMYFUNCTION("""COMPUTED_VALUE"""),"557058:3124a1f0-e92a-405c-93f2-c1d4e621bc77")</f>
        <v>557058:3124a1f0-e92a-405c-93f2-c1d4e621bc77</v>
      </c>
      <c r="G90" s="26" t="str">
        <f>IFERROR(__xludf.DUMMYFUNCTION("""COMPUTED_VALUE"""),"Trevor Coehoorn")</f>
        <v>Trevor Coehoorn</v>
      </c>
      <c r="H90" s="26" t="b">
        <v>0</v>
      </c>
    </row>
    <row r="91" hidden="1">
      <c r="A91" s="26" t="str">
        <f>VLOOKUP(B91,'2020 SRED (JIRA) - Issues and l'!$B:$C,2,FALSE)</f>
        <v>portal-builder-SRED</v>
      </c>
      <c r="B91" s="27" t="str">
        <f>IFERROR(__xludf.DUMMYFUNCTION("""COMPUTED_VALUE"""),"IV2-202")</f>
        <v>IV2-202</v>
      </c>
      <c r="C91" s="26" t="str">
        <f>IFERROR(__xludf.DUMMYFUNCTION("""COMPUTED_VALUE"""),"Portal Builder Surveyor Questions")</f>
        <v>Portal Builder Surveyor Questions</v>
      </c>
      <c r="D91" s="28">
        <f>IFERROR(__xludf.DUMMYFUNCTION("""COMPUTED_VALUE"""),4.0)</f>
        <v>4</v>
      </c>
      <c r="E91" s="29">
        <f>IFERROR(__xludf.DUMMYFUNCTION("""COMPUTED_VALUE"""),43860.0)</f>
        <v>43860</v>
      </c>
      <c r="F91" s="26" t="str">
        <f>IFERROR(__xludf.DUMMYFUNCTION("""COMPUTED_VALUE"""),"557058:3124a1f0-e92a-405c-93f2-c1d4e621bc77")</f>
        <v>557058:3124a1f0-e92a-405c-93f2-c1d4e621bc77</v>
      </c>
      <c r="G91" s="26" t="str">
        <f>IFERROR(__xludf.DUMMYFUNCTION("""COMPUTED_VALUE"""),"Trevor Coehoorn")</f>
        <v>Trevor Coehoorn</v>
      </c>
      <c r="H91" s="26" t="b">
        <v>0</v>
      </c>
    </row>
    <row r="92" hidden="1">
      <c r="A92" s="26" t="str">
        <f>VLOOKUP(B92,'2020 SRED (JIRA) - Issues and l'!$B:$C,2,FALSE)</f>
        <v>portal-builder-SRED</v>
      </c>
      <c r="B92" s="27" t="str">
        <f>IFERROR(__xludf.DUMMYFUNCTION("""COMPUTED_VALUE"""),"ITP-1795")</f>
        <v>ITP-1795</v>
      </c>
      <c r="C92" s="26" t="str">
        <f>IFERROR(__xludf.DUMMYFUNCTION("""COMPUTED_VALUE"""),"Enable speech to text by default")</f>
        <v>Enable speech to text by default</v>
      </c>
      <c r="D92" s="28">
        <f>IFERROR(__xludf.DUMMYFUNCTION("""COMPUTED_VALUE"""),0.516666666666666)</f>
        <v>0.5166666667</v>
      </c>
      <c r="E92" s="29">
        <f>IFERROR(__xludf.DUMMYFUNCTION("""COMPUTED_VALUE"""),43861.0)</f>
        <v>43861</v>
      </c>
      <c r="F92" s="26" t="str">
        <f>IFERROR(__xludf.DUMMYFUNCTION("""COMPUTED_VALUE"""),"557058:3124a1f0-e92a-405c-93f2-c1d4e621bc77")</f>
        <v>557058:3124a1f0-e92a-405c-93f2-c1d4e621bc77</v>
      </c>
      <c r="G92" s="26" t="str">
        <f>IFERROR(__xludf.DUMMYFUNCTION("""COMPUTED_VALUE"""),"Trevor Coehoorn")</f>
        <v>Trevor Coehoorn</v>
      </c>
      <c r="H92" s="26" t="b">
        <v>0</v>
      </c>
    </row>
    <row r="93" hidden="1">
      <c r="A93" s="26" t="str">
        <f>VLOOKUP(B93,'2020 SRED (JIRA) - Issues and l'!$B:$C,2,FALSE)</f>
        <v>portal-builder</v>
      </c>
      <c r="B93" s="27" t="str">
        <f>IFERROR(__xludf.DUMMYFUNCTION("""COMPUTED_VALUE"""),"IV2-135")</f>
        <v>IV2-135</v>
      </c>
      <c r="C93" s="26" t="str">
        <f>IFERROR(__xludf.DUMMYFUNCTION("""COMPUTED_VALUE"""),"Add webform support to the Touchpoint Report Builder")</f>
        <v>Add webform support to the Touchpoint Report Builder</v>
      </c>
      <c r="D93" s="28">
        <f>IFERROR(__xludf.DUMMYFUNCTION("""COMPUTED_VALUE"""),6.61666666666666)</f>
        <v>6.616666667</v>
      </c>
      <c r="E93" s="29">
        <f>IFERROR(__xludf.DUMMYFUNCTION("""COMPUTED_VALUE"""),43861.0)</f>
        <v>43861</v>
      </c>
      <c r="F93" s="26" t="str">
        <f>IFERROR(__xludf.DUMMYFUNCTION("""COMPUTED_VALUE"""),"557058:3124a1f0-e92a-405c-93f2-c1d4e621bc77")</f>
        <v>557058:3124a1f0-e92a-405c-93f2-c1d4e621bc77</v>
      </c>
      <c r="G93" s="26" t="str">
        <f>IFERROR(__xludf.DUMMYFUNCTION("""COMPUTED_VALUE"""),"Trevor Coehoorn")</f>
        <v>Trevor Coehoorn</v>
      </c>
      <c r="H93" s="26" t="b">
        <v>0</v>
      </c>
    </row>
    <row r="94" hidden="1">
      <c r="A94" s="26" t="str">
        <f>VLOOKUP(B94,'2020 SRED (JIRA) - Issues and l'!$B:$C,2,FALSE)</f>
        <v>portal-builder</v>
      </c>
      <c r="B94" s="27" t="str">
        <f>IFERROR(__xludf.DUMMYFUNCTION("""COMPUTED_VALUE"""),"IV2-31")</f>
        <v>IV2-31</v>
      </c>
      <c r="C94" s="26" t="str">
        <f>IFERROR(__xludf.DUMMYFUNCTION("""COMPUTED_VALUE"""),"V2 Status Meetings")</f>
        <v>V2 Status Meetings</v>
      </c>
      <c r="D94" s="28">
        <f>IFERROR(__xludf.DUMMYFUNCTION("""COMPUTED_VALUE"""),0.783333333333333)</f>
        <v>0.7833333333</v>
      </c>
      <c r="E94" s="29">
        <f>IFERROR(__xludf.DUMMYFUNCTION("""COMPUTED_VALUE"""),43864.0)</f>
        <v>43864</v>
      </c>
      <c r="F94" s="26" t="str">
        <f>IFERROR(__xludf.DUMMYFUNCTION("""COMPUTED_VALUE"""),"557058:3124a1f0-e92a-405c-93f2-c1d4e621bc77")</f>
        <v>557058:3124a1f0-e92a-405c-93f2-c1d4e621bc77</v>
      </c>
      <c r="G94" s="26" t="str">
        <f>IFERROR(__xludf.DUMMYFUNCTION("""COMPUTED_VALUE"""),"Trevor Coehoorn")</f>
        <v>Trevor Coehoorn</v>
      </c>
      <c r="H94" s="26" t="b">
        <v>0</v>
      </c>
    </row>
    <row r="95" hidden="1">
      <c r="A95" s="26" t="str">
        <f>VLOOKUP(B95,'2020 SRED (JIRA) - Issues and l'!$B:$C,2,FALSE)</f>
        <v>portal-builder</v>
      </c>
      <c r="B95" s="27" t="str">
        <f>IFERROR(__xludf.DUMMYFUNCTION("""COMPUTED_VALUE"""),"IV2-201")</f>
        <v>IV2-201</v>
      </c>
      <c r="C95" s="26" t="str">
        <f>IFERROR(__xludf.DUMMYFUNCTION("""COMPUTED_VALUE"""),"Create Touchpoint Intake Form in Demo Portal")</f>
        <v>Create Touchpoint Intake Form in Demo Portal</v>
      </c>
      <c r="D95" s="28">
        <f>IFERROR(__xludf.DUMMYFUNCTION("""COMPUTED_VALUE"""),5.0)</f>
        <v>5</v>
      </c>
      <c r="E95" s="29">
        <f>IFERROR(__xludf.DUMMYFUNCTION("""COMPUTED_VALUE"""),43865.0)</f>
        <v>43865</v>
      </c>
      <c r="F95" s="26" t="str">
        <f>IFERROR(__xludf.DUMMYFUNCTION("""COMPUTED_VALUE"""),"557058:73c9cac1-5a92-492c-86e8-838810ee0dde")</f>
        <v>557058:73c9cac1-5a92-492c-86e8-838810ee0dde</v>
      </c>
      <c r="G95" s="26" t="str">
        <f>IFERROR(__xludf.DUMMYFUNCTION("""COMPUTED_VALUE"""),"Dan Wells")</f>
        <v>Dan Wells</v>
      </c>
      <c r="H95" s="26" t="b">
        <v>0</v>
      </c>
    </row>
    <row r="96" hidden="1">
      <c r="A96" s="26" t="str">
        <f>VLOOKUP(B96,'2020 SRED (JIRA) - Issues and l'!$B:$C,2,FALSE)</f>
        <v>portal-builder</v>
      </c>
      <c r="B96" s="27" t="str">
        <f>IFERROR(__xludf.DUMMYFUNCTION("""COMPUTED_VALUE"""),"IV2-135")</f>
        <v>IV2-135</v>
      </c>
      <c r="C96" s="26" t="str">
        <f>IFERROR(__xludf.DUMMYFUNCTION("""COMPUTED_VALUE"""),"Add webform support to the Touchpoint Report Builder")</f>
        <v>Add webform support to the Touchpoint Report Builder</v>
      </c>
      <c r="D96" s="28">
        <f>IFERROR(__xludf.DUMMYFUNCTION("""COMPUTED_VALUE"""),1.73333333333333)</f>
        <v>1.733333333</v>
      </c>
      <c r="E96" s="29">
        <f>IFERROR(__xludf.DUMMYFUNCTION("""COMPUTED_VALUE"""),43866.0)</f>
        <v>43866</v>
      </c>
      <c r="F96" s="26" t="str">
        <f>IFERROR(__xludf.DUMMYFUNCTION("""COMPUTED_VALUE"""),"557058:3124a1f0-e92a-405c-93f2-c1d4e621bc77")</f>
        <v>557058:3124a1f0-e92a-405c-93f2-c1d4e621bc77</v>
      </c>
      <c r="G96" s="26" t="str">
        <f>IFERROR(__xludf.DUMMYFUNCTION("""COMPUTED_VALUE"""),"Trevor Coehoorn")</f>
        <v>Trevor Coehoorn</v>
      </c>
      <c r="H96" s="26" t="b">
        <v>0</v>
      </c>
    </row>
    <row r="97" hidden="1">
      <c r="A97" s="26" t="str">
        <f>VLOOKUP(B97,'2020 SRED (JIRA) - Issues and l'!$B:$C,2,FALSE)</f>
        <v>portal-builder</v>
      </c>
      <c r="B97" s="27" t="str">
        <f>IFERROR(__xludf.DUMMYFUNCTION("""COMPUTED_VALUE"""),"IV2-201")</f>
        <v>IV2-201</v>
      </c>
      <c r="C97" s="26" t="str">
        <f>IFERROR(__xludf.DUMMYFUNCTION("""COMPUTED_VALUE"""),"Create Touchpoint Intake Form in Demo Portal")</f>
        <v>Create Touchpoint Intake Form in Demo Portal</v>
      </c>
      <c r="D97" s="28">
        <f>IFERROR(__xludf.DUMMYFUNCTION("""COMPUTED_VALUE"""),3.0)</f>
        <v>3</v>
      </c>
      <c r="E97" s="29">
        <f>IFERROR(__xludf.DUMMYFUNCTION("""COMPUTED_VALUE"""),43866.0)</f>
        <v>43866</v>
      </c>
      <c r="F97" s="26" t="str">
        <f>IFERROR(__xludf.DUMMYFUNCTION("""COMPUTED_VALUE"""),"557058:73c9cac1-5a92-492c-86e8-838810ee0dde")</f>
        <v>557058:73c9cac1-5a92-492c-86e8-838810ee0dde</v>
      </c>
      <c r="G97" s="26" t="str">
        <f>IFERROR(__xludf.DUMMYFUNCTION("""COMPUTED_VALUE"""),"Dan Wells")</f>
        <v>Dan Wells</v>
      </c>
      <c r="H97" s="26" t="b">
        <v>0</v>
      </c>
    </row>
    <row r="98" hidden="1">
      <c r="A98" s="26" t="str">
        <f>VLOOKUP(B98,'2020 SRED (JIRA) - Issues and l'!$B:$C,2,FALSE)</f>
        <v>portal-builder</v>
      </c>
      <c r="B98" s="27" t="str">
        <f>IFERROR(__xludf.DUMMYFUNCTION("""COMPUTED_VALUE"""),"IV2-135")</f>
        <v>IV2-135</v>
      </c>
      <c r="C98" s="26" t="str">
        <f>IFERROR(__xludf.DUMMYFUNCTION("""COMPUTED_VALUE"""),"Add webform support to the Touchpoint Report Builder")</f>
        <v>Add webform support to the Touchpoint Report Builder</v>
      </c>
      <c r="D98" s="28">
        <f>IFERROR(__xludf.DUMMYFUNCTION("""COMPUTED_VALUE"""),5.9)</f>
        <v>5.9</v>
      </c>
      <c r="E98" s="29">
        <f>IFERROR(__xludf.DUMMYFUNCTION("""COMPUTED_VALUE"""),43867.0)</f>
        <v>43867</v>
      </c>
      <c r="F98" s="26" t="str">
        <f>IFERROR(__xludf.DUMMYFUNCTION("""COMPUTED_VALUE"""),"557058:3124a1f0-e92a-405c-93f2-c1d4e621bc77")</f>
        <v>557058:3124a1f0-e92a-405c-93f2-c1d4e621bc77</v>
      </c>
      <c r="G98" s="26" t="str">
        <f>IFERROR(__xludf.DUMMYFUNCTION("""COMPUTED_VALUE"""),"Trevor Coehoorn")</f>
        <v>Trevor Coehoorn</v>
      </c>
      <c r="H98" s="26" t="b">
        <v>0</v>
      </c>
    </row>
    <row r="99" hidden="1">
      <c r="A99" s="26" t="str">
        <f>VLOOKUP(B99,'2020 SRED (JIRA) - Issues and l'!$B:$C,2,FALSE)</f>
        <v>portal-builder</v>
      </c>
      <c r="B99" s="27" t="str">
        <f>IFERROR(__xludf.DUMMYFUNCTION("""COMPUTED_VALUE"""),"IV2-201")</f>
        <v>IV2-201</v>
      </c>
      <c r="C99" s="26" t="str">
        <f>IFERROR(__xludf.DUMMYFUNCTION("""COMPUTED_VALUE"""),"Create Touchpoint Intake Form in Demo Portal")</f>
        <v>Create Touchpoint Intake Form in Demo Portal</v>
      </c>
      <c r="D99" s="28">
        <f>IFERROR(__xludf.DUMMYFUNCTION("""COMPUTED_VALUE"""),4.0)</f>
        <v>4</v>
      </c>
      <c r="E99" s="29">
        <f>IFERROR(__xludf.DUMMYFUNCTION("""COMPUTED_VALUE"""),43867.0)</f>
        <v>43867</v>
      </c>
      <c r="F99" s="26" t="str">
        <f>IFERROR(__xludf.DUMMYFUNCTION("""COMPUTED_VALUE"""),"557058:73c9cac1-5a92-492c-86e8-838810ee0dde")</f>
        <v>557058:73c9cac1-5a92-492c-86e8-838810ee0dde</v>
      </c>
      <c r="G99" s="26" t="str">
        <f>IFERROR(__xludf.DUMMYFUNCTION("""COMPUTED_VALUE"""),"Dan Wells")</f>
        <v>Dan Wells</v>
      </c>
      <c r="H99" s="26" t="b">
        <v>0</v>
      </c>
    </row>
    <row r="100" hidden="1">
      <c r="A100" s="26" t="str">
        <f>VLOOKUP(B100,'2020 SRED (JIRA) - Issues and l'!$B:$C,2,FALSE)</f>
        <v>portal-builder</v>
      </c>
      <c r="B100" s="27" t="str">
        <f>IFERROR(__xludf.DUMMYFUNCTION("""COMPUTED_VALUE"""),"IV2-135")</f>
        <v>IV2-135</v>
      </c>
      <c r="C100" s="26" t="str">
        <f>IFERROR(__xludf.DUMMYFUNCTION("""COMPUTED_VALUE"""),"Add webform support to the Touchpoint Report Builder")</f>
        <v>Add webform support to the Touchpoint Report Builder</v>
      </c>
      <c r="D100" s="28">
        <f>IFERROR(__xludf.DUMMYFUNCTION("""COMPUTED_VALUE"""),7.75)</f>
        <v>7.75</v>
      </c>
      <c r="E100" s="29">
        <f>IFERROR(__xludf.DUMMYFUNCTION("""COMPUTED_VALUE"""),43868.0)</f>
        <v>43868</v>
      </c>
      <c r="F100" s="26" t="str">
        <f>IFERROR(__xludf.DUMMYFUNCTION("""COMPUTED_VALUE"""),"557058:3124a1f0-e92a-405c-93f2-c1d4e621bc77")</f>
        <v>557058:3124a1f0-e92a-405c-93f2-c1d4e621bc77</v>
      </c>
      <c r="G100" s="26" t="str">
        <f>IFERROR(__xludf.DUMMYFUNCTION("""COMPUTED_VALUE"""),"Trevor Coehoorn")</f>
        <v>Trevor Coehoorn</v>
      </c>
      <c r="H100" s="26" t="b">
        <v>0</v>
      </c>
    </row>
    <row r="101" hidden="1">
      <c r="A101" s="26" t="str">
        <f>VLOOKUP(B101,'2020 SRED (JIRA) - Issues and l'!$B:$C,2,FALSE)</f>
        <v>portal-builder</v>
      </c>
      <c r="B101" s="27" t="str">
        <f>IFERROR(__xludf.DUMMYFUNCTION("""COMPUTED_VALUE"""),"IV2-201")</f>
        <v>IV2-201</v>
      </c>
      <c r="C101" s="26" t="str">
        <f>IFERROR(__xludf.DUMMYFUNCTION("""COMPUTED_VALUE"""),"Create Touchpoint Intake Form in Demo Portal")</f>
        <v>Create Touchpoint Intake Form in Demo Portal</v>
      </c>
      <c r="D101" s="28">
        <f>IFERROR(__xludf.DUMMYFUNCTION("""COMPUTED_VALUE"""),2.0)</f>
        <v>2</v>
      </c>
      <c r="E101" s="29">
        <f>IFERROR(__xludf.DUMMYFUNCTION("""COMPUTED_VALUE"""),43868.0)</f>
        <v>43868</v>
      </c>
      <c r="F101" s="26" t="str">
        <f>IFERROR(__xludf.DUMMYFUNCTION("""COMPUTED_VALUE"""),"557058:73c9cac1-5a92-492c-86e8-838810ee0dde")</f>
        <v>557058:73c9cac1-5a92-492c-86e8-838810ee0dde</v>
      </c>
      <c r="G101" s="26" t="str">
        <f>IFERROR(__xludf.DUMMYFUNCTION("""COMPUTED_VALUE"""),"Dan Wells")</f>
        <v>Dan Wells</v>
      </c>
      <c r="H101" s="26" t="b">
        <v>0</v>
      </c>
    </row>
    <row r="102" hidden="1">
      <c r="A102" s="26" t="str">
        <f>VLOOKUP(B102,'2020 SRED (JIRA) - Issues and l'!$B:$C,2,FALSE)</f>
        <v>portal-builder</v>
      </c>
      <c r="B102" s="27" t="str">
        <f>IFERROR(__xludf.DUMMYFUNCTION("""COMPUTED_VALUE"""),"IV2-201")</f>
        <v>IV2-201</v>
      </c>
      <c r="C102" s="26" t="str">
        <f>IFERROR(__xludf.DUMMYFUNCTION("""COMPUTED_VALUE"""),"Create Touchpoint Intake Form in Demo Portal")</f>
        <v>Create Touchpoint Intake Form in Demo Portal</v>
      </c>
      <c r="D102" s="28">
        <f>IFERROR(__xludf.DUMMYFUNCTION("""COMPUTED_VALUE"""),3.0)</f>
        <v>3</v>
      </c>
      <c r="E102" s="29">
        <f>IFERROR(__xludf.DUMMYFUNCTION("""COMPUTED_VALUE"""),43868.0)</f>
        <v>43868</v>
      </c>
      <c r="F102" s="26" t="str">
        <f>IFERROR(__xludf.DUMMYFUNCTION("""COMPUTED_VALUE"""),"557058:73c9cac1-5a92-492c-86e8-838810ee0dde")</f>
        <v>557058:73c9cac1-5a92-492c-86e8-838810ee0dde</v>
      </c>
      <c r="G102" s="26" t="str">
        <f>IFERROR(__xludf.DUMMYFUNCTION("""COMPUTED_VALUE"""),"Dan Wells")</f>
        <v>Dan Wells</v>
      </c>
      <c r="H102" s="26" t="b">
        <v>0</v>
      </c>
    </row>
    <row r="103" hidden="1">
      <c r="A103" s="26" t="str">
        <f>VLOOKUP(B103,'2020 SRED (JIRA) - Issues and l'!$B:$C,2,FALSE)</f>
        <v>portal-builder</v>
      </c>
      <c r="B103" s="27" t="str">
        <f>IFERROR(__xludf.DUMMYFUNCTION("""COMPUTED_VALUE"""),"IV2-135")</f>
        <v>IV2-135</v>
      </c>
      <c r="C103" s="26" t="str">
        <f>IFERROR(__xludf.DUMMYFUNCTION("""COMPUTED_VALUE"""),"Add webform support to the Touchpoint Report Builder")</f>
        <v>Add webform support to the Touchpoint Report Builder</v>
      </c>
      <c r="D103" s="28">
        <f>IFERROR(__xludf.DUMMYFUNCTION("""COMPUTED_VALUE"""),6.35)</f>
        <v>6.35</v>
      </c>
      <c r="E103" s="29">
        <f>IFERROR(__xludf.DUMMYFUNCTION("""COMPUTED_VALUE"""),43871.0)</f>
        <v>43871</v>
      </c>
      <c r="F103" s="26" t="str">
        <f>IFERROR(__xludf.DUMMYFUNCTION("""COMPUTED_VALUE"""),"557058:3124a1f0-e92a-405c-93f2-c1d4e621bc77")</f>
        <v>557058:3124a1f0-e92a-405c-93f2-c1d4e621bc77</v>
      </c>
      <c r="G103" s="26" t="str">
        <f>IFERROR(__xludf.DUMMYFUNCTION("""COMPUTED_VALUE"""),"Trevor Coehoorn")</f>
        <v>Trevor Coehoorn</v>
      </c>
      <c r="H103" s="26" t="b">
        <v>0</v>
      </c>
    </row>
    <row r="104" hidden="1">
      <c r="A104" s="26" t="str">
        <f>VLOOKUP(B104,'2020 SRED (JIRA) - Issues and l'!$B:$C,2,FALSE)</f>
        <v>portal-builder</v>
      </c>
      <c r="B104" s="27" t="str">
        <f>IFERROR(__xludf.DUMMYFUNCTION("""COMPUTED_VALUE"""),"IV2-201")</f>
        <v>IV2-201</v>
      </c>
      <c r="C104" s="26" t="str">
        <f>IFERROR(__xludf.DUMMYFUNCTION("""COMPUTED_VALUE"""),"Create Touchpoint Intake Form in Demo Portal")</f>
        <v>Create Touchpoint Intake Form in Demo Portal</v>
      </c>
      <c r="D104" s="28">
        <f>IFERROR(__xludf.DUMMYFUNCTION("""COMPUTED_VALUE"""),5.0)</f>
        <v>5</v>
      </c>
      <c r="E104" s="29">
        <f>IFERROR(__xludf.DUMMYFUNCTION("""COMPUTED_VALUE"""),43871.0)</f>
        <v>43871</v>
      </c>
      <c r="F104" s="26" t="str">
        <f>IFERROR(__xludf.DUMMYFUNCTION("""COMPUTED_VALUE"""),"557058:73c9cac1-5a92-492c-86e8-838810ee0dde")</f>
        <v>557058:73c9cac1-5a92-492c-86e8-838810ee0dde</v>
      </c>
      <c r="G104" s="26" t="str">
        <f>IFERROR(__xludf.DUMMYFUNCTION("""COMPUTED_VALUE"""),"Dan Wells")</f>
        <v>Dan Wells</v>
      </c>
      <c r="H104" s="26" t="b">
        <v>0</v>
      </c>
    </row>
    <row r="105" hidden="1">
      <c r="A105" s="26" t="str">
        <f>VLOOKUP(B105,'2020 SRED (JIRA) - Issues and l'!$B:$C,2,FALSE)</f>
        <v>portal-builder</v>
      </c>
      <c r="B105" s="27" t="str">
        <f>IFERROR(__xludf.DUMMYFUNCTION("""COMPUTED_VALUE"""),"IV2-135")</f>
        <v>IV2-135</v>
      </c>
      <c r="C105" s="26" t="str">
        <f>IFERROR(__xludf.DUMMYFUNCTION("""COMPUTED_VALUE"""),"Add webform support to the Touchpoint Report Builder")</f>
        <v>Add webform support to the Touchpoint Report Builder</v>
      </c>
      <c r="D105" s="28">
        <f>IFERROR(__xludf.DUMMYFUNCTION("""COMPUTED_VALUE"""),5.53333333333333)</f>
        <v>5.533333333</v>
      </c>
      <c r="E105" s="29">
        <f>IFERROR(__xludf.DUMMYFUNCTION("""COMPUTED_VALUE"""),43872.0)</f>
        <v>43872</v>
      </c>
      <c r="F105" s="26" t="str">
        <f>IFERROR(__xludf.DUMMYFUNCTION("""COMPUTED_VALUE"""),"557058:3124a1f0-e92a-405c-93f2-c1d4e621bc77")</f>
        <v>557058:3124a1f0-e92a-405c-93f2-c1d4e621bc77</v>
      </c>
      <c r="G105" s="26" t="str">
        <f>IFERROR(__xludf.DUMMYFUNCTION("""COMPUTED_VALUE"""),"Trevor Coehoorn")</f>
        <v>Trevor Coehoorn</v>
      </c>
      <c r="H105" s="26" t="b">
        <v>0</v>
      </c>
    </row>
    <row r="106" hidden="1">
      <c r="A106" s="26" t="str">
        <f>VLOOKUP(B106,'2020 SRED (JIRA) - Issues and l'!$B:$C,2,FALSE)</f>
        <v>portal-builder</v>
      </c>
      <c r="B106" s="27" t="str">
        <f>IFERROR(__xludf.DUMMYFUNCTION("""COMPUTED_VALUE"""),"IV2-201")</f>
        <v>IV2-201</v>
      </c>
      <c r="C106" s="26" t="str">
        <f>IFERROR(__xludf.DUMMYFUNCTION("""COMPUTED_VALUE"""),"Create Touchpoint Intake Form in Demo Portal")</f>
        <v>Create Touchpoint Intake Form in Demo Portal</v>
      </c>
      <c r="D106" s="28">
        <f>IFERROR(__xludf.DUMMYFUNCTION("""COMPUTED_VALUE"""),7.0)</f>
        <v>7</v>
      </c>
      <c r="E106" s="29">
        <f>IFERROR(__xludf.DUMMYFUNCTION("""COMPUTED_VALUE"""),43872.0)</f>
        <v>43872</v>
      </c>
      <c r="F106" s="26" t="str">
        <f>IFERROR(__xludf.DUMMYFUNCTION("""COMPUTED_VALUE"""),"557058:73c9cac1-5a92-492c-86e8-838810ee0dde")</f>
        <v>557058:73c9cac1-5a92-492c-86e8-838810ee0dde</v>
      </c>
      <c r="G106" s="26" t="str">
        <f>IFERROR(__xludf.DUMMYFUNCTION("""COMPUTED_VALUE"""),"Dan Wells")</f>
        <v>Dan Wells</v>
      </c>
      <c r="H106" s="26" t="b">
        <v>0</v>
      </c>
    </row>
    <row r="107" hidden="1">
      <c r="A107" s="26" t="str">
        <f>VLOOKUP(B107,'2020 SRED (JIRA) - Issues and l'!$B:$C,2,FALSE)</f>
        <v>portal-builder</v>
      </c>
      <c r="B107" s="27" t="str">
        <f>IFERROR(__xludf.DUMMYFUNCTION("""COMPUTED_VALUE"""),"IV2-135")</f>
        <v>IV2-135</v>
      </c>
      <c r="C107" s="26" t="str">
        <f>IFERROR(__xludf.DUMMYFUNCTION("""COMPUTED_VALUE"""),"Add webform support to the Touchpoint Report Builder")</f>
        <v>Add webform support to the Touchpoint Report Builder</v>
      </c>
      <c r="D107" s="28">
        <f>IFERROR(__xludf.DUMMYFUNCTION("""COMPUTED_VALUE"""),3.9)</f>
        <v>3.9</v>
      </c>
      <c r="E107" s="29">
        <f>IFERROR(__xludf.DUMMYFUNCTION("""COMPUTED_VALUE"""),43873.0)</f>
        <v>43873</v>
      </c>
      <c r="F107" s="26" t="str">
        <f>IFERROR(__xludf.DUMMYFUNCTION("""COMPUTED_VALUE"""),"557058:3124a1f0-e92a-405c-93f2-c1d4e621bc77")</f>
        <v>557058:3124a1f0-e92a-405c-93f2-c1d4e621bc77</v>
      </c>
      <c r="G107" s="26" t="str">
        <f>IFERROR(__xludf.DUMMYFUNCTION("""COMPUTED_VALUE"""),"Trevor Coehoorn")</f>
        <v>Trevor Coehoorn</v>
      </c>
      <c r="H107" s="26" t="b">
        <v>0</v>
      </c>
    </row>
    <row r="108" hidden="1">
      <c r="A108" s="26" t="str">
        <f>VLOOKUP(B108,'2020 SRED (JIRA) - Issues and l'!$B:$C,2,FALSE)</f>
        <v>portal-builder</v>
      </c>
      <c r="B108" s="27" t="str">
        <f>IFERROR(__xludf.DUMMYFUNCTION("""COMPUTED_VALUE"""),"IV2-137")</f>
        <v>IV2-137</v>
      </c>
      <c r="C108" s="26" t="str">
        <f>IFERROR(__xludf.DUMMYFUNCTION("""COMPUTED_VALUE"""),"Make the Touchpoint Builder webform analysis reports configurable")</f>
        <v>Make the Touchpoint Builder webform analysis reports configurable</v>
      </c>
      <c r="D108" s="28">
        <f>IFERROR(__xludf.DUMMYFUNCTION("""COMPUTED_VALUE"""),6.55)</f>
        <v>6.55</v>
      </c>
      <c r="E108" s="29">
        <f>IFERROR(__xludf.DUMMYFUNCTION("""COMPUTED_VALUE"""),43874.0)</f>
        <v>43874</v>
      </c>
      <c r="F108" s="26" t="str">
        <f>IFERROR(__xludf.DUMMYFUNCTION("""COMPUTED_VALUE"""),"557058:3124a1f0-e92a-405c-93f2-c1d4e621bc77")</f>
        <v>557058:3124a1f0-e92a-405c-93f2-c1d4e621bc77</v>
      </c>
      <c r="G108" s="26" t="str">
        <f>IFERROR(__xludf.DUMMYFUNCTION("""COMPUTED_VALUE"""),"Trevor Coehoorn")</f>
        <v>Trevor Coehoorn</v>
      </c>
      <c r="H108" s="26" t="b">
        <v>0</v>
      </c>
    </row>
    <row r="109" hidden="1">
      <c r="A109" s="26" t="str">
        <f>VLOOKUP(B109,'2020 SRED (JIRA) - Issues and l'!$B:$C,2,FALSE)</f>
        <v>portal-builder</v>
      </c>
      <c r="B109" s="27" t="str">
        <f>IFERROR(__xludf.DUMMYFUNCTION("""COMPUTED_VALUE"""),"IV2-135")</f>
        <v>IV2-135</v>
      </c>
      <c r="C109" s="26" t="str">
        <f>IFERROR(__xludf.DUMMYFUNCTION("""COMPUTED_VALUE"""),"Add webform support to the Touchpoint Report Builder")</f>
        <v>Add webform support to the Touchpoint Report Builder</v>
      </c>
      <c r="D109" s="28">
        <f>IFERROR(__xludf.DUMMYFUNCTION("""COMPUTED_VALUE"""),0.733333333333333)</f>
        <v>0.7333333333</v>
      </c>
      <c r="E109" s="29">
        <f>IFERROR(__xludf.DUMMYFUNCTION("""COMPUTED_VALUE"""),43874.0)</f>
        <v>43874</v>
      </c>
      <c r="F109" s="26" t="str">
        <f>IFERROR(__xludf.DUMMYFUNCTION("""COMPUTED_VALUE"""),"557058:3124a1f0-e92a-405c-93f2-c1d4e621bc77")</f>
        <v>557058:3124a1f0-e92a-405c-93f2-c1d4e621bc77</v>
      </c>
      <c r="G109" s="26" t="str">
        <f>IFERROR(__xludf.DUMMYFUNCTION("""COMPUTED_VALUE"""),"Trevor Coehoorn")</f>
        <v>Trevor Coehoorn</v>
      </c>
      <c r="H109" s="26" t="b">
        <v>0</v>
      </c>
    </row>
    <row r="110" hidden="1">
      <c r="A110" s="26" t="str">
        <f>VLOOKUP(B110,'2020 SRED (JIRA) - Issues and l'!$B:$C,2,FALSE)</f>
        <v>portal-builder</v>
      </c>
      <c r="B110" s="27" t="str">
        <f>IFERROR(__xludf.DUMMYFUNCTION("""COMPUTED_VALUE"""),"IV2-137")</f>
        <v>IV2-137</v>
      </c>
      <c r="C110" s="26" t="str">
        <f>IFERROR(__xludf.DUMMYFUNCTION("""COMPUTED_VALUE"""),"Make the Touchpoint Builder webform analysis reports configurable")</f>
        <v>Make the Touchpoint Builder webform analysis reports configurable</v>
      </c>
      <c r="D110" s="28">
        <f>IFERROR(__xludf.DUMMYFUNCTION("""COMPUTED_VALUE"""),7.23333333333333)</f>
        <v>7.233333333</v>
      </c>
      <c r="E110" s="29">
        <f>IFERROR(__xludf.DUMMYFUNCTION("""COMPUTED_VALUE"""),43875.0)</f>
        <v>43875</v>
      </c>
      <c r="F110" s="26" t="str">
        <f>IFERROR(__xludf.DUMMYFUNCTION("""COMPUTED_VALUE"""),"557058:3124a1f0-e92a-405c-93f2-c1d4e621bc77")</f>
        <v>557058:3124a1f0-e92a-405c-93f2-c1d4e621bc77</v>
      </c>
      <c r="G110" s="26" t="str">
        <f>IFERROR(__xludf.DUMMYFUNCTION("""COMPUTED_VALUE"""),"Trevor Coehoorn")</f>
        <v>Trevor Coehoorn</v>
      </c>
      <c r="H110" s="26" t="b">
        <v>0</v>
      </c>
    </row>
    <row r="111" hidden="1">
      <c r="A111" s="26" t="str">
        <f>VLOOKUP(B111,'2020 SRED (JIRA) - Issues and l'!$B:$C,2,FALSE)</f>
        <v>portal-builder</v>
      </c>
      <c r="B111" s="27" t="str">
        <f>IFERROR(__xludf.DUMMYFUNCTION("""COMPUTED_VALUE"""),"IV2-135")</f>
        <v>IV2-135</v>
      </c>
      <c r="C111" s="26" t="str">
        <f>IFERROR(__xludf.DUMMYFUNCTION("""COMPUTED_VALUE"""),"Add webform support to the Touchpoint Report Builder")</f>
        <v>Add webform support to the Touchpoint Report Builder</v>
      </c>
      <c r="D111" s="28">
        <f>IFERROR(__xludf.DUMMYFUNCTION("""COMPUTED_VALUE"""),0.133333333333333)</f>
        <v>0.1333333333</v>
      </c>
      <c r="E111" s="29">
        <f>IFERROR(__xludf.DUMMYFUNCTION("""COMPUTED_VALUE"""),43879.0)</f>
        <v>43879</v>
      </c>
      <c r="F111" s="26" t="str">
        <f>IFERROR(__xludf.DUMMYFUNCTION("""COMPUTED_VALUE"""),"557058:3124a1f0-e92a-405c-93f2-c1d4e621bc77")</f>
        <v>557058:3124a1f0-e92a-405c-93f2-c1d4e621bc77</v>
      </c>
      <c r="G111" s="26" t="str">
        <f>IFERROR(__xludf.DUMMYFUNCTION("""COMPUTED_VALUE"""),"Trevor Coehoorn")</f>
        <v>Trevor Coehoorn</v>
      </c>
      <c r="H111" s="26" t="b">
        <v>0</v>
      </c>
    </row>
    <row r="112" hidden="1">
      <c r="A112" s="26" t="str">
        <f>VLOOKUP(B112,'2020 SRED (JIRA) - Issues and l'!$B:$C,2,FALSE)</f>
        <v>portal-builder</v>
      </c>
      <c r="B112" s="27" t="str">
        <f>IFERROR(__xludf.DUMMYFUNCTION("""COMPUTED_VALUE"""),"IV2-137")</f>
        <v>IV2-137</v>
      </c>
      <c r="C112" s="26" t="str">
        <f>IFERROR(__xludf.DUMMYFUNCTION("""COMPUTED_VALUE"""),"Make the Touchpoint Builder webform analysis reports configurable")</f>
        <v>Make the Touchpoint Builder webform analysis reports configurable</v>
      </c>
      <c r="D112" s="28">
        <f>IFERROR(__xludf.DUMMYFUNCTION("""COMPUTED_VALUE"""),5.45)</f>
        <v>5.45</v>
      </c>
      <c r="E112" s="29">
        <f>IFERROR(__xludf.DUMMYFUNCTION("""COMPUTED_VALUE"""),43879.0)</f>
        <v>43879</v>
      </c>
      <c r="F112" s="26" t="str">
        <f>IFERROR(__xludf.DUMMYFUNCTION("""COMPUTED_VALUE"""),"557058:3124a1f0-e92a-405c-93f2-c1d4e621bc77")</f>
        <v>557058:3124a1f0-e92a-405c-93f2-c1d4e621bc77</v>
      </c>
      <c r="G112" s="26" t="str">
        <f>IFERROR(__xludf.DUMMYFUNCTION("""COMPUTED_VALUE"""),"Trevor Coehoorn")</f>
        <v>Trevor Coehoorn</v>
      </c>
      <c r="H112" s="26" t="b">
        <v>0</v>
      </c>
    </row>
    <row r="113" hidden="1">
      <c r="A113" s="26" t="str">
        <f>VLOOKUP(B113,'2020 SRED (JIRA) - Issues and l'!$B:$C,2,FALSE)</f>
        <v>portal-builder</v>
      </c>
      <c r="B113" s="27" t="str">
        <f>IFERROR(__xludf.DUMMYFUNCTION("""COMPUTED_VALUE"""),"IV2-135")</f>
        <v>IV2-135</v>
      </c>
      <c r="C113" s="26" t="str">
        <f>IFERROR(__xludf.DUMMYFUNCTION("""COMPUTED_VALUE"""),"Add webform support to the Touchpoint Report Builder")</f>
        <v>Add webform support to the Touchpoint Report Builder</v>
      </c>
      <c r="D113" s="28">
        <f>IFERROR(__xludf.DUMMYFUNCTION("""COMPUTED_VALUE"""),0.5)</f>
        <v>0.5</v>
      </c>
      <c r="E113" s="29">
        <f>IFERROR(__xludf.DUMMYFUNCTION("""COMPUTED_VALUE"""),43879.64583333333)</f>
        <v>43879.64583</v>
      </c>
      <c r="F113" s="26" t="str">
        <f>IFERROR(__xludf.DUMMYFUNCTION("""COMPUTED_VALUE"""),"557058:9827514e-9c5e-4d9d-af37-340b82b8423b")</f>
        <v>557058:9827514e-9c5e-4d9d-af37-340b82b8423b</v>
      </c>
      <c r="G113" s="26" t="str">
        <f>IFERROR(__xludf.DUMMYFUNCTION("""COMPUTED_VALUE"""),"Alyssia Grant")</f>
        <v>Alyssia Grant</v>
      </c>
      <c r="H113" s="26" t="b">
        <v>0</v>
      </c>
    </row>
    <row r="114" hidden="1">
      <c r="A114" s="26" t="str">
        <f>VLOOKUP(B114,'2020 SRED (JIRA) - Issues and l'!$B:$C,2,FALSE)</f>
        <v>portal-builder-SRED</v>
      </c>
      <c r="B114" s="27" t="str">
        <f>IFERROR(__xludf.DUMMYFUNCTION("""COMPUTED_VALUE"""),"ITP-1363")</f>
        <v>ITP-1363</v>
      </c>
      <c r="C114" s="26" t="str">
        <f>IFERROR(__xludf.DUMMYFUNCTION("""COMPUTED_VALUE"""),"Validate webform digital signatures")</f>
        <v>Validate webform digital signatures</v>
      </c>
      <c r="D114" s="28">
        <f>IFERROR(__xludf.DUMMYFUNCTION("""COMPUTED_VALUE"""),0.383333333333333)</f>
        <v>0.3833333333</v>
      </c>
      <c r="E114" s="29">
        <f>IFERROR(__xludf.DUMMYFUNCTION("""COMPUTED_VALUE"""),43880.0)</f>
        <v>43880</v>
      </c>
      <c r="F114" s="26" t="str">
        <f>IFERROR(__xludf.DUMMYFUNCTION("""COMPUTED_VALUE"""),"557058:3124a1f0-e92a-405c-93f2-c1d4e621bc77")</f>
        <v>557058:3124a1f0-e92a-405c-93f2-c1d4e621bc77</v>
      </c>
      <c r="G114" s="26" t="str">
        <f>IFERROR(__xludf.DUMMYFUNCTION("""COMPUTED_VALUE"""),"Trevor Coehoorn")</f>
        <v>Trevor Coehoorn</v>
      </c>
      <c r="H114" s="26" t="b">
        <v>0</v>
      </c>
    </row>
    <row r="115" hidden="1">
      <c r="A115" s="26" t="str">
        <f>VLOOKUP(B115,'2020 SRED (JIRA) - Issues and l'!$B:$C,2,FALSE)</f>
        <v>portal-builder-SRED</v>
      </c>
      <c r="B115" s="27" t="str">
        <f>IFERROR(__xludf.DUMMYFUNCTION("""COMPUTED_VALUE"""),"ITP-1364")</f>
        <v>ITP-1364</v>
      </c>
      <c r="C115" s="26" t="str">
        <f>IFERROR(__xludf.DUMMYFUNCTION("""COMPUTED_VALUE"""),"Add user to a group when a webform is submitted")</f>
        <v>Add user to a group when a webform is submitted</v>
      </c>
      <c r="D115" s="28">
        <f>IFERROR(__xludf.DUMMYFUNCTION("""COMPUTED_VALUE"""),1.66666666666666)</f>
        <v>1.666666667</v>
      </c>
      <c r="E115" s="29">
        <f>IFERROR(__xludf.DUMMYFUNCTION("""COMPUTED_VALUE"""),43880.0)</f>
        <v>43880</v>
      </c>
      <c r="F115" s="26" t="str">
        <f>IFERROR(__xludf.DUMMYFUNCTION("""COMPUTED_VALUE"""),"557058:3124a1f0-e92a-405c-93f2-c1d4e621bc77")</f>
        <v>557058:3124a1f0-e92a-405c-93f2-c1d4e621bc77</v>
      </c>
      <c r="G115" s="26" t="str">
        <f>IFERROR(__xludf.DUMMYFUNCTION("""COMPUTED_VALUE"""),"Trevor Coehoorn")</f>
        <v>Trevor Coehoorn</v>
      </c>
      <c r="H115" s="26" t="b">
        <v>0</v>
      </c>
    </row>
    <row r="116" hidden="1">
      <c r="A116" s="26" t="str">
        <f>VLOOKUP(B116,'2020 SRED (JIRA) - Issues and l'!$B:$C,2,FALSE)</f>
        <v>portal-builder</v>
      </c>
      <c r="B116" s="27" t="str">
        <f>IFERROR(__xludf.DUMMYFUNCTION("""COMPUTED_VALUE"""),"IV2-135")</f>
        <v>IV2-135</v>
      </c>
      <c r="C116" s="26" t="str">
        <f>IFERROR(__xludf.DUMMYFUNCTION("""COMPUTED_VALUE"""),"Add webform support to the Touchpoint Report Builder")</f>
        <v>Add webform support to the Touchpoint Report Builder</v>
      </c>
      <c r="D116" s="28">
        <f>IFERROR(__xludf.DUMMYFUNCTION("""COMPUTED_VALUE"""),2.71666666666666)</f>
        <v>2.716666667</v>
      </c>
      <c r="E116" s="29">
        <f>IFERROR(__xludf.DUMMYFUNCTION("""COMPUTED_VALUE"""),43880.0)</f>
        <v>43880</v>
      </c>
      <c r="F116" s="26" t="str">
        <f>IFERROR(__xludf.DUMMYFUNCTION("""COMPUTED_VALUE"""),"557058:3124a1f0-e92a-405c-93f2-c1d4e621bc77")</f>
        <v>557058:3124a1f0-e92a-405c-93f2-c1d4e621bc77</v>
      </c>
      <c r="G116" s="26" t="str">
        <f>IFERROR(__xludf.DUMMYFUNCTION("""COMPUTED_VALUE"""),"Trevor Coehoorn")</f>
        <v>Trevor Coehoorn</v>
      </c>
      <c r="H116" s="26" t="b">
        <v>0</v>
      </c>
    </row>
    <row r="117" hidden="1">
      <c r="A117" s="26" t="str">
        <f>VLOOKUP(B117,'2020 SRED (JIRA) - Issues and l'!$B:$C,2,FALSE)</f>
        <v>portal-builder-SRED</v>
      </c>
      <c r="B117" s="27" t="str">
        <f>IFERROR(__xludf.DUMMYFUNCTION("""COMPUTED_VALUE"""),"IV2-202")</f>
        <v>IV2-202</v>
      </c>
      <c r="C117" s="26" t="str">
        <f>IFERROR(__xludf.DUMMYFUNCTION("""COMPUTED_VALUE"""),"Portal Builder Surveyor Questions")</f>
        <v>Portal Builder Surveyor Questions</v>
      </c>
      <c r="D117" s="28">
        <f>IFERROR(__xludf.DUMMYFUNCTION("""COMPUTED_VALUE"""),1.78333333333333)</f>
        <v>1.783333333</v>
      </c>
      <c r="E117" s="29">
        <f>IFERROR(__xludf.DUMMYFUNCTION("""COMPUTED_VALUE"""),43881.0)</f>
        <v>43881</v>
      </c>
      <c r="F117" s="26" t="str">
        <f>IFERROR(__xludf.DUMMYFUNCTION("""COMPUTED_VALUE"""),"557058:3124a1f0-e92a-405c-93f2-c1d4e621bc77")</f>
        <v>557058:3124a1f0-e92a-405c-93f2-c1d4e621bc77</v>
      </c>
      <c r="G117" s="26" t="str">
        <f>IFERROR(__xludf.DUMMYFUNCTION("""COMPUTED_VALUE"""),"Trevor Coehoorn")</f>
        <v>Trevor Coehoorn</v>
      </c>
      <c r="H117" s="26" t="b">
        <v>0</v>
      </c>
    </row>
    <row r="118" hidden="1">
      <c r="A118" s="26" t="str">
        <f>VLOOKUP(B118,'2020 SRED (JIRA) - Issues and l'!$B:$C,2,FALSE)</f>
        <v>portal-builder-SRED</v>
      </c>
      <c r="B118" s="27" t="str">
        <f>IFERROR(__xludf.DUMMYFUNCTION("""COMPUTED_VALUE"""),"ITP-1364")</f>
        <v>ITP-1364</v>
      </c>
      <c r="C118" s="26" t="str">
        <f>IFERROR(__xludf.DUMMYFUNCTION("""COMPUTED_VALUE"""),"Add user to a group when a webform is submitted")</f>
        <v>Add user to a group when a webform is submitted</v>
      </c>
      <c r="D118" s="28">
        <f>IFERROR(__xludf.DUMMYFUNCTION("""COMPUTED_VALUE"""),5.16666666666666)</f>
        <v>5.166666667</v>
      </c>
      <c r="E118" s="29">
        <f>IFERROR(__xludf.DUMMYFUNCTION("""COMPUTED_VALUE"""),43881.0)</f>
        <v>43881</v>
      </c>
      <c r="F118" s="26" t="str">
        <f>IFERROR(__xludf.DUMMYFUNCTION("""COMPUTED_VALUE"""),"557058:3124a1f0-e92a-405c-93f2-c1d4e621bc77")</f>
        <v>557058:3124a1f0-e92a-405c-93f2-c1d4e621bc77</v>
      </c>
      <c r="G118" s="26" t="str">
        <f>IFERROR(__xludf.DUMMYFUNCTION("""COMPUTED_VALUE"""),"Trevor Coehoorn")</f>
        <v>Trevor Coehoorn</v>
      </c>
      <c r="H118" s="26" t="b">
        <v>0</v>
      </c>
    </row>
    <row r="119" hidden="1">
      <c r="A119" s="26" t="str">
        <f>VLOOKUP(B119,'2020 SRED (JIRA) - Issues and l'!$B:$C,2,FALSE)</f>
        <v>portal-builder-SRED</v>
      </c>
      <c r="B119" s="27" t="str">
        <f>IFERROR(__xludf.DUMMYFUNCTION("""COMPUTED_VALUE"""),"ITP-1363")</f>
        <v>ITP-1363</v>
      </c>
      <c r="C119" s="26" t="str">
        <f>IFERROR(__xludf.DUMMYFUNCTION("""COMPUTED_VALUE"""),"Validate webform digital signatures")</f>
        <v>Validate webform digital signatures</v>
      </c>
      <c r="D119" s="28">
        <f>IFERROR(__xludf.DUMMYFUNCTION("""COMPUTED_VALUE"""),5.51666666666666)</f>
        <v>5.516666667</v>
      </c>
      <c r="E119" s="29">
        <f>IFERROR(__xludf.DUMMYFUNCTION("""COMPUTED_VALUE"""),43882.0)</f>
        <v>43882</v>
      </c>
      <c r="F119" s="26" t="str">
        <f>IFERROR(__xludf.DUMMYFUNCTION("""COMPUTED_VALUE"""),"557058:3124a1f0-e92a-405c-93f2-c1d4e621bc77")</f>
        <v>557058:3124a1f0-e92a-405c-93f2-c1d4e621bc77</v>
      </c>
      <c r="G119" s="26" t="str">
        <f>IFERROR(__xludf.DUMMYFUNCTION("""COMPUTED_VALUE"""),"Trevor Coehoorn")</f>
        <v>Trevor Coehoorn</v>
      </c>
      <c r="H119" s="26" t="b">
        <v>0</v>
      </c>
    </row>
    <row r="120" hidden="1">
      <c r="A120" s="26" t="str">
        <f>VLOOKUP(B120,'2020 SRED (JIRA) - Issues and l'!$B:$C,2,FALSE)</f>
        <v>portal-builder-SRED</v>
      </c>
      <c r="B120" s="27" t="str">
        <f>IFERROR(__xludf.DUMMYFUNCTION("""COMPUTED_VALUE"""),"ITP-1364")</f>
        <v>ITP-1364</v>
      </c>
      <c r="C120" s="26" t="str">
        <f>IFERROR(__xludf.DUMMYFUNCTION("""COMPUTED_VALUE"""),"Add user to a group when a webform is submitted")</f>
        <v>Add user to a group when a webform is submitted</v>
      </c>
      <c r="D120" s="28">
        <f>IFERROR(__xludf.DUMMYFUNCTION("""COMPUTED_VALUE"""),1.45)</f>
        <v>1.45</v>
      </c>
      <c r="E120" s="29">
        <f>IFERROR(__xludf.DUMMYFUNCTION("""COMPUTED_VALUE"""),43882.0)</f>
        <v>43882</v>
      </c>
      <c r="F120" s="26" t="str">
        <f>IFERROR(__xludf.DUMMYFUNCTION("""COMPUTED_VALUE"""),"557058:3124a1f0-e92a-405c-93f2-c1d4e621bc77")</f>
        <v>557058:3124a1f0-e92a-405c-93f2-c1d4e621bc77</v>
      </c>
      <c r="G120" s="26" t="str">
        <f>IFERROR(__xludf.DUMMYFUNCTION("""COMPUTED_VALUE"""),"Trevor Coehoorn")</f>
        <v>Trevor Coehoorn</v>
      </c>
      <c r="H120" s="26" t="b">
        <v>0</v>
      </c>
    </row>
    <row r="121" hidden="1">
      <c r="A121" s="26" t="str">
        <f>VLOOKUP(B121,'2020 SRED (JIRA) - Issues and l'!$B:$C,2,FALSE)</f>
        <v>portal-builder-SRED</v>
      </c>
      <c r="B121" s="27" t="str">
        <f>IFERROR(__xludf.DUMMYFUNCTION("""COMPUTED_VALUE"""),"ITP-1364")</f>
        <v>ITP-1364</v>
      </c>
      <c r="C121" s="26" t="str">
        <f>IFERROR(__xludf.DUMMYFUNCTION("""COMPUTED_VALUE"""),"Add user to a group when a webform is submitted")</f>
        <v>Add user to a group when a webform is submitted</v>
      </c>
      <c r="D121" s="28">
        <f>IFERROR(__xludf.DUMMYFUNCTION("""COMPUTED_VALUE"""),1.7)</f>
        <v>1.7</v>
      </c>
      <c r="E121" s="29">
        <f>IFERROR(__xludf.DUMMYFUNCTION("""COMPUTED_VALUE"""),43885.0)</f>
        <v>43885</v>
      </c>
      <c r="F121" s="26" t="str">
        <f>IFERROR(__xludf.DUMMYFUNCTION("""COMPUTED_VALUE"""),"557058:3124a1f0-e92a-405c-93f2-c1d4e621bc77")</f>
        <v>557058:3124a1f0-e92a-405c-93f2-c1d4e621bc77</v>
      </c>
      <c r="G121" s="26" t="str">
        <f>IFERROR(__xludf.DUMMYFUNCTION("""COMPUTED_VALUE"""),"Trevor Coehoorn")</f>
        <v>Trevor Coehoorn</v>
      </c>
      <c r="H121" s="26" t="b">
        <v>0</v>
      </c>
    </row>
    <row r="122" hidden="1">
      <c r="A122" s="26" t="str">
        <f>VLOOKUP(B122,'2020 SRED (JIRA) - Issues and l'!$B:$C,2,FALSE)</f>
        <v>portal-builder-SRED</v>
      </c>
      <c r="B122" s="27" t="str">
        <f>IFERROR(__xludf.DUMMYFUNCTION("""COMPUTED_VALUE"""),"ITP-1363")</f>
        <v>ITP-1363</v>
      </c>
      <c r="C122" s="26" t="str">
        <f>IFERROR(__xludf.DUMMYFUNCTION("""COMPUTED_VALUE"""),"Validate webform digital signatures")</f>
        <v>Validate webform digital signatures</v>
      </c>
      <c r="D122" s="28">
        <f>IFERROR(__xludf.DUMMYFUNCTION("""COMPUTED_VALUE"""),0.65)</f>
        <v>0.65</v>
      </c>
      <c r="E122" s="29">
        <f>IFERROR(__xludf.DUMMYFUNCTION("""COMPUTED_VALUE"""),43885.0)</f>
        <v>43885</v>
      </c>
      <c r="F122" s="26" t="str">
        <f>IFERROR(__xludf.DUMMYFUNCTION("""COMPUTED_VALUE"""),"557058:3124a1f0-e92a-405c-93f2-c1d4e621bc77")</f>
        <v>557058:3124a1f0-e92a-405c-93f2-c1d4e621bc77</v>
      </c>
      <c r="G122" s="26" t="str">
        <f>IFERROR(__xludf.DUMMYFUNCTION("""COMPUTED_VALUE"""),"Trevor Coehoorn")</f>
        <v>Trevor Coehoorn</v>
      </c>
      <c r="H122" s="26" t="b">
        <v>0</v>
      </c>
    </row>
    <row r="123" hidden="1">
      <c r="A123" s="26" t="str">
        <f>VLOOKUP(B123,'2020 SRED (JIRA) - Issues and l'!$B:$C,2,FALSE)</f>
        <v>portal-builder</v>
      </c>
      <c r="B123" s="27" t="str">
        <f>IFERROR(__xludf.DUMMYFUNCTION("""COMPUTED_VALUE"""),"IV2-135")</f>
        <v>IV2-135</v>
      </c>
      <c r="C123" s="26" t="str">
        <f>IFERROR(__xludf.DUMMYFUNCTION("""COMPUTED_VALUE"""),"Add webform support to the Touchpoint Report Builder")</f>
        <v>Add webform support to the Touchpoint Report Builder</v>
      </c>
      <c r="D123" s="28">
        <f>IFERROR(__xludf.DUMMYFUNCTION("""COMPUTED_VALUE"""),1.41666666666666)</f>
        <v>1.416666667</v>
      </c>
      <c r="E123" s="29">
        <f>IFERROR(__xludf.DUMMYFUNCTION("""COMPUTED_VALUE"""),43885.0)</f>
        <v>43885</v>
      </c>
      <c r="F123" s="26" t="str">
        <f>IFERROR(__xludf.DUMMYFUNCTION("""COMPUTED_VALUE"""),"557058:3124a1f0-e92a-405c-93f2-c1d4e621bc77")</f>
        <v>557058:3124a1f0-e92a-405c-93f2-c1d4e621bc77</v>
      </c>
      <c r="G123" s="26" t="str">
        <f>IFERROR(__xludf.DUMMYFUNCTION("""COMPUTED_VALUE"""),"Trevor Coehoorn")</f>
        <v>Trevor Coehoorn</v>
      </c>
      <c r="H123" s="26" t="b">
        <v>0</v>
      </c>
    </row>
    <row r="124" hidden="1">
      <c r="A124" s="26" t="str">
        <f>VLOOKUP(B124,'2020 SRED (JIRA) - Issues and l'!$B:$C,2,FALSE)</f>
        <v>portal-builder</v>
      </c>
      <c r="B124" s="27" t="str">
        <f>IFERROR(__xludf.DUMMYFUNCTION("""COMPUTED_VALUE"""),"IV2-31")</f>
        <v>IV2-31</v>
      </c>
      <c r="C124" s="26" t="str">
        <f>IFERROR(__xludf.DUMMYFUNCTION("""COMPUTED_VALUE"""),"V2 Status Meetings")</f>
        <v>V2 Status Meetings</v>
      </c>
      <c r="D124" s="28">
        <f>IFERROR(__xludf.DUMMYFUNCTION("""COMPUTED_VALUE"""),0.166666666666666)</f>
        <v>0.1666666667</v>
      </c>
      <c r="E124" s="29">
        <f>IFERROR(__xludf.DUMMYFUNCTION("""COMPUTED_VALUE"""),43885.0)</f>
        <v>43885</v>
      </c>
      <c r="F124" s="26" t="str">
        <f>IFERROR(__xludf.DUMMYFUNCTION("""COMPUTED_VALUE"""),"557058:3124a1f0-e92a-405c-93f2-c1d4e621bc77")</f>
        <v>557058:3124a1f0-e92a-405c-93f2-c1d4e621bc77</v>
      </c>
      <c r="G124" s="26" t="str">
        <f>IFERROR(__xludf.DUMMYFUNCTION("""COMPUTED_VALUE"""),"Trevor Coehoorn")</f>
        <v>Trevor Coehoorn</v>
      </c>
      <c r="H124" s="26" t="b">
        <v>0</v>
      </c>
    </row>
    <row r="125" hidden="1">
      <c r="A125" s="26" t="str">
        <f>VLOOKUP(B125,'2020 SRED (JIRA) - Issues and l'!$B:$C,2,FALSE)</f>
        <v>portal-builder</v>
      </c>
      <c r="B125" s="27" t="str">
        <f>IFERROR(__xludf.DUMMYFUNCTION("""COMPUTED_VALUE"""),"IV2-137")</f>
        <v>IV2-137</v>
      </c>
      <c r="C125" s="26" t="str">
        <f>IFERROR(__xludf.DUMMYFUNCTION("""COMPUTED_VALUE"""),"Make the Touchpoint Builder webform analysis reports configurable")</f>
        <v>Make the Touchpoint Builder webform analysis reports configurable</v>
      </c>
      <c r="D125" s="28">
        <f>IFERROR(__xludf.DUMMYFUNCTION("""COMPUTED_VALUE"""),1.15)</f>
        <v>1.15</v>
      </c>
      <c r="E125" s="29">
        <f>IFERROR(__xludf.DUMMYFUNCTION("""COMPUTED_VALUE"""),43886.0)</f>
        <v>43886</v>
      </c>
      <c r="F125" s="26" t="str">
        <f>IFERROR(__xludf.DUMMYFUNCTION("""COMPUTED_VALUE"""),"557058:3124a1f0-e92a-405c-93f2-c1d4e621bc77")</f>
        <v>557058:3124a1f0-e92a-405c-93f2-c1d4e621bc77</v>
      </c>
      <c r="G125" s="26" t="str">
        <f>IFERROR(__xludf.DUMMYFUNCTION("""COMPUTED_VALUE"""),"Trevor Coehoorn")</f>
        <v>Trevor Coehoorn</v>
      </c>
      <c r="H125" s="26" t="b">
        <v>0</v>
      </c>
    </row>
    <row r="126" hidden="1">
      <c r="A126" s="26" t="str">
        <f>VLOOKUP(B126,'2020 SRED (JIRA) - Issues and l'!$B:$C,2,FALSE)</f>
        <v>portal-builder-SRED</v>
      </c>
      <c r="B126" s="27" t="str">
        <f>IFERROR(__xludf.DUMMYFUNCTION("""COMPUTED_VALUE"""),"ITP-1364")</f>
        <v>ITP-1364</v>
      </c>
      <c r="C126" s="26" t="str">
        <f>IFERROR(__xludf.DUMMYFUNCTION("""COMPUTED_VALUE"""),"Add user to a group when a webform is submitted")</f>
        <v>Add user to a group when a webform is submitted</v>
      </c>
      <c r="D126" s="28">
        <f>IFERROR(__xludf.DUMMYFUNCTION("""COMPUTED_VALUE"""),3.85)</f>
        <v>3.85</v>
      </c>
      <c r="E126" s="29">
        <f>IFERROR(__xludf.DUMMYFUNCTION("""COMPUTED_VALUE"""),43886.0)</f>
        <v>43886</v>
      </c>
      <c r="F126" s="26" t="str">
        <f>IFERROR(__xludf.DUMMYFUNCTION("""COMPUTED_VALUE"""),"557058:3124a1f0-e92a-405c-93f2-c1d4e621bc77")</f>
        <v>557058:3124a1f0-e92a-405c-93f2-c1d4e621bc77</v>
      </c>
      <c r="G126" s="26" t="str">
        <f>IFERROR(__xludf.DUMMYFUNCTION("""COMPUTED_VALUE"""),"Trevor Coehoorn")</f>
        <v>Trevor Coehoorn</v>
      </c>
      <c r="H126" s="26" t="b">
        <v>0</v>
      </c>
    </row>
    <row r="127" hidden="1">
      <c r="A127" s="26" t="str">
        <f>VLOOKUP(B127,'2020 SRED (JIRA) - Issues and l'!$B:$C,2,FALSE)</f>
        <v>portal-builder-SRED</v>
      </c>
      <c r="B127" s="27" t="str">
        <f>IFERROR(__xludf.DUMMYFUNCTION("""COMPUTED_VALUE"""),"ITP-1364")</f>
        <v>ITP-1364</v>
      </c>
      <c r="C127" s="26" t="str">
        <f>IFERROR(__xludf.DUMMYFUNCTION("""COMPUTED_VALUE"""),"Add user to a group when a webform is submitted")</f>
        <v>Add user to a group when a webform is submitted</v>
      </c>
      <c r="D127" s="28">
        <f>IFERROR(__xludf.DUMMYFUNCTION("""COMPUTED_VALUE"""),0.216666666666666)</f>
        <v>0.2166666667</v>
      </c>
      <c r="E127" s="29">
        <f>IFERROR(__xludf.DUMMYFUNCTION("""COMPUTED_VALUE"""),43887.0)</f>
        <v>43887</v>
      </c>
      <c r="F127" s="26" t="str">
        <f>IFERROR(__xludf.DUMMYFUNCTION("""COMPUTED_VALUE"""),"557058:3124a1f0-e92a-405c-93f2-c1d4e621bc77")</f>
        <v>557058:3124a1f0-e92a-405c-93f2-c1d4e621bc77</v>
      </c>
      <c r="G127" s="26" t="str">
        <f>IFERROR(__xludf.DUMMYFUNCTION("""COMPUTED_VALUE"""),"Trevor Coehoorn")</f>
        <v>Trevor Coehoorn</v>
      </c>
      <c r="H127" s="26" t="b">
        <v>0</v>
      </c>
    </row>
    <row r="128" hidden="1">
      <c r="A128" s="26" t="str">
        <f>VLOOKUP(B128,'2020 SRED (JIRA) - Issues and l'!$B:$C,2,FALSE)</f>
        <v>portal-builder</v>
      </c>
      <c r="B128" s="27" t="str">
        <f>IFERROR(__xludf.DUMMYFUNCTION("""COMPUTED_VALUE"""),"IV2-137")</f>
        <v>IV2-137</v>
      </c>
      <c r="C128" s="26" t="str">
        <f>IFERROR(__xludf.DUMMYFUNCTION("""COMPUTED_VALUE"""),"Make the Touchpoint Builder webform analysis reports configurable")</f>
        <v>Make the Touchpoint Builder webform analysis reports configurable</v>
      </c>
      <c r="D128" s="28">
        <f>IFERROR(__xludf.DUMMYFUNCTION("""COMPUTED_VALUE"""),6.55)</f>
        <v>6.55</v>
      </c>
      <c r="E128" s="29">
        <f>IFERROR(__xludf.DUMMYFUNCTION("""COMPUTED_VALUE"""),43887.0)</f>
        <v>43887</v>
      </c>
      <c r="F128" s="26" t="str">
        <f>IFERROR(__xludf.DUMMYFUNCTION("""COMPUTED_VALUE"""),"557058:3124a1f0-e92a-405c-93f2-c1d4e621bc77")</f>
        <v>557058:3124a1f0-e92a-405c-93f2-c1d4e621bc77</v>
      </c>
      <c r="G128" s="26" t="str">
        <f>IFERROR(__xludf.DUMMYFUNCTION("""COMPUTED_VALUE"""),"Trevor Coehoorn")</f>
        <v>Trevor Coehoorn</v>
      </c>
      <c r="H128" s="26" t="b">
        <v>0</v>
      </c>
    </row>
    <row r="129" hidden="1">
      <c r="A129" s="26" t="str">
        <f>VLOOKUP(B129,'2020 SRED (JIRA) - Issues and l'!$B:$C,2,FALSE)</f>
        <v>portal-builder</v>
      </c>
      <c r="B129" s="27" t="str">
        <f>IFERROR(__xludf.DUMMYFUNCTION("""COMPUTED_VALUE"""),"IV2-48")</f>
        <v>IV2-48</v>
      </c>
      <c r="C129" s="26" t="str">
        <f>IFERROR(__xludf.DUMMYFUNCTION("""COMPUTED_VALUE"""),"Add checkmark icon to menu when activity is complete")</f>
        <v>Add checkmark icon to menu when activity is complete</v>
      </c>
      <c r="D129" s="28">
        <f>IFERROR(__xludf.DUMMYFUNCTION("""COMPUTED_VALUE"""),7.61666666666666)</f>
        <v>7.616666667</v>
      </c>
      <c r="E129" s="29">
        <f>IFERROR(__xludf.DUMMYFUNCTION("""COMPUTED_VALUE"""),43888.0)</f>
        <v>43888</v>
      </c>
      <c r="F129" s="26" t="str">
        <f>IFERROR(__xludf.DUMMYFUNCTION("""COMPUTED_VALUE"""),"557058:3124a1f0-e92a-405c-93f2-c1d4e621bc77")</f>
        <v>557058:3124a1f0-e92a-405c-93f2-c1d4e621bc77</v>
      </c>
      <c r="G129" s="26" t="str">
        <f>IFERROR(__xludf.DUMMYFUNCTION("""COMPUTED_VALUE"""),"Trevor Coehoorn")</f>
        <v>Trevor Coehoorn</v>
      </c>
      <c r="H129" s="26" t="b">
        <v>0</v>
      </c>
    </row>
    <row r="130" hidden="1">
      <c r="A130" s="26" t="str">
        <f>VLOOKUP(B130,'2020 SRED (JIRA) - Issues and l'!$B:$C,2,FALSE)</f>
        <v>portal-builder-SRED</v>
      </c>
      <c r="B130" s="27" t="str">
        <f>IFERROR(__xludf.DUMMYFUNCTION("""COMPUTED_VALUE"""),"ITP-1363")</f>
        <v>ITP-1363</v>
      </c>
      <c r="C130" s="26" t="str">
        <f>IFERROR(__xludf.DUMMYFUNCTION("""COMPUTED_VALUE"""),"Validate webform digital signatures")</f>
        <v>Validate webform digital signatures</v>
      </c>
      <c r="D130" s="28">
        <f>IFERROR(__xludf.DUMMYFUNCTION("""COMPUTED_VALUE"""),0.0666666666666666)</f>
        <v>0.06666666667</v>
      </c>
      <c r="E130" s="29">
        <f>IFERROR(__xludf.DUMMYFUNCTION("""COMPUTED_VALUE"""),43888.0)</f>
        <v>43888</v>
      </c>
      <c r="F130" s="26" t="str">
        <f>IFERROR(__xludf.DUMMYFUNCTION("""COMPUTED_VALUE"""),"557058:3124a1f0-e92a-405c-93f2-c1d4e621bc77")</f>
        <v>557058:3124a1f0-e92a-405c-93f2-c1d4e621bc77</v>
      </c>
      <c r="G130" s="26" t="str">
        <f>IFERROR(__xludf.DUMMYFUNCTION("""COMPUTED_VALUE"""),"Trevor Coehoorn")</f>
        <v>Trevor Coehoorn</v>
      </c>
      <c r="H130" s="26" t="b">
        <v>0</v>
      </c>
    </row>
    <row r="131" hidden="1">
      <c r="A131" s="26" t="str">
        <f>VLOOKUP(B131,'2020 SRED (JIRA) - Issues and l'!$B:$C,2,FALSE)</f>
        <v>portal-builder-SRED</v>
      </c>
      <c r="B131" s="27" t="str">
        <f>IFERROR(__xludf.DUMMYFUNCTION("""COMPUTED_VALUE"""),"ITP-1364")</f>
        <v>ITP-1364</v>
      </c>
      <c r="C131" s="26" t="str">
        <f>IFERROR(__xludf.DUMMYFUNCTION("""COMPUTED_VALUE"""),"Add user to a group when a webform is submitted")</f>
        <v>Add user to a group when a webform is submitted</v>
      </c>
      <c r="D131" s="28">
        <f>IFERROR(__xludf.DUMMYFUNCTION("""COMPUTED_VALUE"""),0.233333333333333)</f>
        <v>0.2333333333</v>
      </c>
      <c r="E131" s="29">
        <f>IFERROR(__xludf.DUMMYFUNCTION("""COMPUTED_VALUE"""),43888.0)</f>
        <v>43888</v>
      </c>
      <c r="F131" s="26" t="str">
        <f>IFERROR(__xludf.DUMMYFUNCTION("""COMPUTED_VALUE"""),"557058:3124a1f0-e92a-405c-93f2-c1d4e621bc77")</f>
        <v>557058:3124a1f0-e92a-405c-93f2-c1d4e621bc77</v>
      </c>
      <c r="G131" s="26" t="str">
        <f>IFERROR(__xludf.DUMMYFUNCTION("""COMPUTED_VALUE"""),"Trevor Coehoorn")</f>
        <v>Trevor Coehoorn</v>
      </c>
      <c r="H131" s="26" t="b">
        <v>0</v>
      </c>
    </row>
    <row r="132" hidden="1">
      <c r="A132" s="26" t="str">
        <f>VLOOKUP(B132,'2020 SRED (JIRA) - Issues and l'!$B:$C,2,FALSE)</f>
        <v>portal-builder-SRED</v>
      </c>
      <c r="B132" s="27" t="str">
        <f>IFERROR(__xludf.DUMMYFUNCTION("""COMPUTED_VALUE"""),"IV2-179")</f>
        <v>IV2-179</v>
      </c>
      <c r="C132" s="26" t="str">
        <f>IFERROR(__xludf.DUMMYFUNCTION("""COMPUTED_VALUE"""),"Automatically use parent comment notifications when pages are created in the Touchpoint Builder")</f>
        <v>Automatically use parent comment notifications when pages are created in the Touchpoint Builder</v>
      </c>
      <c r="D132" s="28">
        <f>IFERROR(__xludf.DUMMYFUNCTION("""COMPUTED_VALUE"""),0.2)</f>
        <v>0.2</v>
      </c>
      <c r="E132" s="29">
        <f>IFERROR(__xludf.DUMMYFUNCTION("""COMPUTED_VALUE"""),43889.0)</f>
        <v>43889</v>
      </c>
      <c r="F132" s="26" t="str">
        <f>IFERROR(__xludf.DUMMYFUNCTION("""COMPUTED_VALUE"""),"557058:3124a1f0-e92a-405c-93f2-c1d4e621bc77")</f>
        <v>557058:3124a1f0-e92a-405c-93f2-c1d4e621bc77</v>
      </c>
      <c r="G132" s="26" t="str">
        <f>IFERROR(__xludf.DUMMYFUNCTION("""COMPUTED_VALUE"""),"Trevor Coehoorn")</f>
        <v>Trevor Coehoorn</v>
      </c>
      <c r="H132" s="26" t="b">
        <v>0</v>
      </c>
    </row>
    <row r="133" hidden="1">
      <c r="A133" s="26" t="str">
        <f>VLOOKUP(B133,'2020 SRED (JIRA) - Issues and l'!$B:$C,2,FALSE)</f>
        <v>portal-builder</v>
      </c>
      <c r="B133" s="27" t="str">
        <f>IFERROR(__xludf.DUMMYFUNCTION("""COMPUTED_VALUE"""),"IV2-137")</f>
        <v>IV2-137</v>
      </c>
      <c r="C133" s="26" t="str">
        <f>IFERROR(__xludf.DUMMYFUNCTION("""COMPUTED_VALUE"""),"Make the Touchpoint Builder webform analysis reports configurable")</f>
        <v>Make the Touchpoint Builder webform analysis reports configurable</v>
      </c>
      <c r="D133" s="28">
        <f>IFERROR(__xludf.DUMMYFUNCTION("""COMPUTED_VALUE"""),1.91666666666666)</f>
        <v>1.916666667</v>
      </c>
      <c r="E133" s="29">
        <f>IFERROR(__xludf.DUMMYFUNCTION("""COMPUTED_VALUE"""),43889.0)</f>
        <v>43889</v>
      </c>
      <c r="F133" s="26" t="str">
        <f>IFERROR(__xludf.DUMMYFUNCTION("""COMPUTED_VALUE"""),"557058:3124a1f0-e92a-405c-93f2-c1d4e621bc77")</f>
        <v>557058:3124a1f0-e92a-405c-93f2-c1d4e621bc77</v>
      </c>
      <c r="G133" s="26" t="str">
        <f>IFERROR(__xludf.DUMMYFUNCTION("""COMPUTED_VALUE"""),"Trevor Coehoorn")</f>
        <v>Trevor Coehoorn</v>
      </c>
      <c r="H133" s="26" t="b">
        <v>0</v>
      </c>
    </row>
    <row r="134" hidden="1">
      <c r="A134" s="26" t="str">
        <f>VLOOKUP(B134,'2020 SRED (JIRA) - Issues and l'!$B:$C,2,FALSE)</f>
        <v>portal-builder</v>
      </c>
      <c r="B134" s="27" t="str">
        <f>IFERROR(__xludf.DUMMYFUNCTION("""COMPUTED_VALUE"""),"IV2-48")</f>
        <v>IV2-48</v>
      </c>
      <c r="C134" s="26" t="str">
        <f>IFERROR(__xludf.DUMMYFUNCTION("""COMPUTED_VALUE"""),"Add checkmark icon to menu when activity is complete")</f>
        <v>Add checkmark icon to menu when activity is complete</v>
      </c>
      <c r="D134" s="28">
        <f>IFERROR(__xludf.DUMMYFUNCTION("""COMPUTED_VALUE"""),4.26666666666666)</f>
        <v>4.266666667</v>
      </c>
      <c r="E134" s="29">
        <f>IFERROR(__xludf.DUMMYFUNCTION("""COMPUTED_VALUE"""),43889.0)</f>
        <v>43889</v>
      </c>
      <c r="F134" s="26" t="str">
        <f>IFERROR(__xludf.DUMMYFUNCTION("""COMPUTED_VALUE"""),"557058:3124a1f0-e92a-405c-93f2-c1d4e621bc77")</f>
        <v>557058:3124a1f0-e92a-405c-93f2-c1d4e621bc77</v>
      </c>
      <c r="G134" s="26" t="str">
        <f>IFERROR(__xludf.DUMMYFUNCTION("""COMPUTED_VALUE"""),"Trevor Coehoorn")</f>
        <v>Trevor Coehoorn</v>
      </c>
      <c r="H134" s="26" t="b">
        <v>0</v>
      </c>
    </row>
    <row r="135" hidden="1">
      <c r="A135" s="26" t="str">
        <f>VLOOKUP(B135,'2020 SRED (JIRA) - Issues and l'!$B:$C,2,FALSE)</f>
        <v>portal-builder-SRED</v>
      </c>
      <c r="B135" s="27" t="str">
        <f>IFERROR(__xludf.DUMMYFUNCTION("""COMPUTED_VALUE"""),"IV2-180")</f>
        <v>IV2-180</v>
      </c>
      <c r="C135" s="26" t="str">
        <f>IFERROR(__xludf.DUMMYFUNCTION("""COMPUTED_VALUE"""),"Remove all comments and webform submissions in a touchpoint")</f>
        <v>Remove all comments and webform submissions in a touchpoint</v>
      </c>
      <c r="D135" s="28">
        <f>IFERROR(__xludf.DUMMYFUNCTION("""COMPUTED_VALUE"""),0.783333333333333)</f>
        <v>0.7833333333</v>
      </c>
      <c r="E135" s="29">
        <f>IFERROR(__xludf.DUMMYFUNCTION("""COMPUTED_VALUE"""),43892.0)</f>
        <v>43892</v>
      </c>
      <c r="F135" s="26" t="str">
        <f>IFERROR(__xludf.DUMMYFUNCTION("""COMPUTED_VALUE"""),"557058:3124a1f0-e92a-405c-93f2-c1d4e621bc77")</f>
        <v>557058:3124a1f0-e92a-405c-93f2-c1d4e621bc77</v>
      </c>
      <c r="G135" s="26" t="str">
        <f>IFERROR(__xludf.DUMMYFUNCTION("""COMPUTED_VALUE"""),"Trevor Coehoorn")</f>
        <v>Trevor Coehoorn</v>
      </c>
      <c r="H135" s="26" t="b">
        <v>0</v>
      </c>
    </row>
    <row r="136" hidden="1">
      <c r="A136" s="26" t="str">
        <f>VLOOKUP(B136,'2020 SRED (JIRA) - Issues and l'!$B:$C,2,FALSE)</f>
        <v>portal-builder-SRED</v>
      </c>
      <c r="B136" s="27" t="str">
        <f>IFERROR(__xludf.DUMMYFUNCTION("""COMPUTED_VALUE"""),"IV2-179")</f>
        <v>IV2-179</v>
      </c>
      <c r="C136" s="26" t="str">
        <f>IFERROR(__xludf.DUMMYFUNCTION("""COMPUTED_VALUE"""),"Automatically use parent comment notifications when pages are created in the Touchpoint Builder")</f>
        <v>Automatically use parent comment notifications when pages are created in the Touchpoint Builder</v>
      </c>
      <c r="D136" s="28">
        <f>IFERROR(__xludf.DUMMYFUNCTION("""COMPUTED_VALUE"""),4.15)</f>
        <v>4.15</v>
      </c>
      <c r="E136" s="29">
        <f>IFERROR(__xludf.DUMMYFUNCTION("""COMPUTED_VALUE"""),43892.0)</f>
        <v>43892</v>
      </c>
      <c r="F136" s="26" t="str">
        <f>IFERROR(__xludf.DUMMYFUNCTION("""COMPUTED_VALUE"""),"557058:3124a1f0-e92a-405c-93f2-c1d4e621bc77")</f>
        <v>557058:3124a1f0-e92a-405c-93f2-c1d4e621bc77</v>
      </c>
      <c r="G136" s="26" t="str">
        <f>IFERROR(__xludf.DUMMYFUNCTION("""COMPUTED_VALUE"""),"Trevor Coehoorn")</f>
        <v>Trevor Coehoorn</v>
      </c>
      <c r="H136" s="26" t="b">
        <v>0</v>
      </c>
    </row>
    <row r="137" hidden="1">
      <c r="A137" s="26" t="str">
        <f>VLOOKUP(B137,'2020 SRED (JIRA) - Issues and l'!$B:$C,2,FALSE)</f>
        <v>portal-builder</v>
      </c>
      <c r="B137" s="27" t="str">
        <f>IFERROR(__xludf.DUMMYFUNCTION("""COMPUTED_VALUE"""),"IV2-31")</f>
        <v>IV2-31</v>
      </c>
      <c r="C137" s="26" t="str">
        <f>IFERROR(__xludf.DUMMYFUNCTION("""COMPUTED_VALUE"""),"V2 Status Meetings")</f>
        <v>V2 Status Meetings</v>
      </c>
      <c r="D137" s="28">
        <f>IFERROR(__xludf.DUMMYFUNCTION("""COMPUTED_VALUE"""),0.283333333333333)</f>
        <v>0.2833333333</v>
      </c>
      <c r="E137" s="29">
        <f>IFERROR(__xludf.DUMMYFUNCTION("""COMPUTED_VALUE"""),43892.0)</f>
        <v>43892</v>
      </c>
      <c r="F137" s="26" t="str">
        <f>IFERROR(__xludf.DUMMYFUNCTION("""COMPUTED_VALUE"""),"557058:3124a1f0-e92a-405c-93f2-c1d4e621bc77")</f>
        <v>557058:3124a1f0-e92a-405c-93f2-c1d4e621bc77</v>
      </c>
      <c r="G137" s="26" t="str">
        <f>IFERROR(__xludf.DUMMYFUNCTION("""COMPUTED_VALUE"""),"Trevor Coehoorn")</f>
        <v>Trevor Coehoorn</v>
      </c>
      <c r="H137" s="26" t="b">
        <v>0</v>
      </c>
    </row>
    <row r="138" hidden="1">
      <c r="A138" s="26" t="str">
        <f>VLOOKUP(B138,'2020 SRED (JIRA) - Issues and l'!$B:$C,2,FALSE)</f>
        <v>portal-builder</v>
      </c>
      <c r="B138" s="27" t="str">
        <f>IFERROR(__xludf.DUMMYFUNCTION("""COMPUTED_VALUE"""),"IV2-48")</f>
        <v>IV2-48</v>
      </c>
      <c r="C138" s="26" t="str">
        <f>IFERROR(__xludf.DUMMYFUNCTION("""COMPUTED_VALUE"""),"Add checkmark icon to menu when activity is complete")</f>
        <v>Add checkmark icon to menu when activity is complete</v>
      </c>
      <c r="D138" s="28">
        <f>IFERROR(__xludf.DUMMYFUNCTION("""COMPUTED_VALUE"""),0.616666666666666)</f>
        <v>0.6166666667</v>
      </c>
      <c r="E138" s="29">
        <f>IFERROR(__xludf.DUMMYFUNCTION("""COMPUTED_VALUE"""),43892.0)</f>
        <v>43892</v>
      </c>
      <c r="F138" s="26" t="str">
        <f>IFERROR(__xludf.DUMMYFUNCTION("""COMPUTED_VALUE"""),"557058:3124a1f0-e92a-405c-93f2-c1d4e621bc77")</f>
        <v>557058:3124a1f0-e92a-405c-93f2-c1d4e621bc77</v>
      </c>
      <c r="G138" s="26" t="str">
        <f>IFERROR(__xludf.DUMMYFUNCTION("""COMPUTED_VALUE"""),"Trevor Coehoorn")</f>
        <v>Trevor Coehoorn</v>
      </c>
      <c r="H138" s="26" t="b">
        <v>0</v>
      </c>
    </row>
    <row r="139" hidden="1">
      <c r="A139" s="26" t="str">
        <f>VLOOKUP(B139,'2020 SRED (JIRA) - Issues and l'!$B:$C,2,FALSE)</f>
        <v>portal-builder-SRED</v>
      </c>
      <c r="B139" s="27" t="str">
        <f>IFERROR(__xludf.DUMMYFUNCTION("""COMPUTED_VALUE"""),"IV2-208")</f>
        <v>IV2-208</v>
      </c>
      <c r="C139" s="26" t="str">
        <f>IFERROR(__xludf.DUMMYFUNCTION("""COMPUTED_VALUE"""),"Allow users to reorder pages in the Portal Builder")</f>
        <v>Allow users to reorder pages in the Portal Builder</v>
      </c>
      <c r="D139" s="28">
        <f>IFERROR(__xludf.DUMMYFUNCTION("""COMPUTED_VALUE"""),0.166666666666666)</f>
        <v>0.1666666667</v>
      </c>
      <c r="E139" s="29">
        <f>IFERROR(__xludf.DUMMYFUNCTION("""COMPUTED_VALUE"""),43892.0)</f>
        <v>43892</v>
      </c>
      <c r="F139" s="26" t="str">
        <f>IFERROR(__xludf.DUMMYFUNCTION("""COMPUTED_VALUE"""),"557058:3124a1f0-e92a-405c-93f2-c1d4e621bc77")</f>
        <v>557058:3124a1f0-e92a-405c-93f2-c1d4e621bc77</v>
      </c>
      <c r="G139" s="26" t="str">
        <f>IFERROR(__xludf.DUMMYFUNCTION("""COMPUTED_VALUE"""),"Trevor Coehoorn")</f>
        <v>Trevor Coehoorn</v>
      </c>
      <c r="H139" s="26" t="b">
        <v>0</v>
      </c>
    </row>
    <row r="140" hidden="1">
      <c r="A140" s="26" t="str">
        <f>VLOOKUP(B140,'2020 SRED (JIRA) - Issues and l'!$B:$C,2,FALSE)</f>
        <v>portal-builder-SRED</v>
      </c>
      <c r="B140" s="27" t="str">
        <f>IFERROR(__xludf.DUMMYFUNCTION("""COMPUTED_VALUE"""),"IV2-207")</f>
        <v>IV2-207</v>
      </c>
      <c r="C140" s="26" t="str">
        <f>IFERROR(__xludf.DUMMYFUNCTION("""COMPUTED_VALUE"""),"Prevent users from losing changes when they navigate away from pages")</f>
        <v>Prevent users from losing changes when they navigate away from pages</v>
      </c>
      <c r="D140" s="28">
        <f>IFERROR(__xludf.DUMMYFUNCTION("""COMPUTED_VALUE"""),0.266666666666666)</f>
        <v>0.2666666667</v>
      </c>
      <c r="E140" s="29">
        <f>IFERROR(__xludf.DUMMYFUNCTION("""COMPUTED_VALUE"""),43892.0)</f>
        <v>43892</v>
      </c>
      <c r="F140" s="26" t="str">
        <f>IFERROR(__xludf.DUMMYFUNCTION("""COMPUTED_VALUE"""),"557058:3124a1f0-e92a-405c-93f2-c1d4e621bc77")</f>
        <v>557058:3124a1f0-e92a-405c-93f2-c1d4e621bc77</v>
      </c>
      <c r="G140" s="26" t="str">
        <f>IFERROR(__xludf.DUMMYFUNCTION("""COMPUTED_VALUE"""),"Trevor Coehoorn")</f>
        <v>Trevor Coehoorn</v>
      </c>
      <c r="H140" s="26" t="b">
        <v>0</v>
      </c>
    </row>
    <row r="141" hidden="1">
      <c r="A141" s="26" t="str">
        <f>VLOOKUP(B141,'2020 SRED (JIRA) - Issues and l'!$B:$C,2,FALSE)</f>
        <v>portal-builder-SRED</v>
      </c>
      <c r="B141" s="27" t="str">
        <f>IFERROR(__xludf.DUMMYFUNCTION("""COMPUTED_VALUE"""),"IV2-206")</f>
        <v>IV2-206</v>
      </c>
      <c r="C141" s="26" t="str">
        <f>IFERROR(__xludf.DUMMYFUNCTION("""COMPUTED_VALUE"""),"Make it easier to add images to pages and emails in the Portal Builder")</f>
        <v>Make it easier to add images to pages and emails in the Portal Builder</v>
      </c>
      <c r="D141" s="28">
        <f>IFERROR(__xludf.DUMMYFUNCTION("""COMPUTED_VALUE"""),0.283333333333333)</f>
        <v>0.2833333333</v>
      </c>
      <c r="E141" s="29">
        <f>IFERROR(__xludf.DUMMYFUNCTION("""COMPUTED_VALUE"""),43892.0)</f>
        <v>43892</v>
      </c>
      <c r="F141" s="26" t="str">
        <f>IFERROR(__xludf.DUMMYFUNCTION("""COMPUTED_VALUE"""),"557058:3124a1f0-e92a-405c-93f2-c1d4e621bc77")</f>
        <v>557058:3124a1f0-e92a-405c-93f2-c1d4e621bc77</v>
      </c>
      <c r="G141" s="26" t="str">
        <f>IFERROR(__xludf.DUMMYFUNCTION("""COMPUTED_VALUE"""),"Trevor Coehoorn")</f>
        <v>Trevor Coehoorn</v>
      </c>
      <c r="H141" s="26" t="b">
        <v>0</v>
      </c>
    </row>
    <row r="142" hidden="1">
      <c r="A142" s="26" t="str">
        <f>VLOOKUP(B142,'2020 SRED (JIRA) - Issues and l'!$B:$C,2,FALSE)</f>
        <v>portal-builder</v>
      </c>
      <c r="B142" s="27" t="str">
        <f>IFERROR(__xludf.DUMMYFUNCTION("""COMPUTED_VALUE"""),"IV2-158")</f>
        <v>IV2-158</v>
      </c>
      <c r="C142" s="26" t="str">
        <f>IFERROR(__xludf.DUMMYFUNCTION("""COMPUTED_VALUE"""),"UI/Technical Design")</f>
        <v>UI/Technical Design</v>
      </c>
      <c r="D142" s="28">
        <f>IFERROR(__xludf.DUMMYFUNCTION("""COMPUTED_VALUE"""),2.0)</f>
        <v>2</v>
      </c>
      <c r="E142" s="29">
        <f>IFERROR(__xludf.DUMMYFUNCTION("""COMPUTED_VALUE"""),43892.0)</f>
        <v>43892</v>
      </c>
      <c r="F142" s="26" t="str">
        <f>IFERROR(__xludf.DUMMYFUNCTION("""COMPUTED_VALUE"""),"557058:f55c62b5-dc7e-41e5-b0f8-231ca9f23470")</f>
        <v>557058:f55c62b5-dc7e-41e5-b0f8-231ca9f23470</v>
      </c>
      <c r="G142" s="26" t="str">
        <f>IFERROR(__xludf.DUMMYFUNCTION("""COMPUTED_VALUE"""),"Holly Lam")</f>
        <v>Holly Lam</v>
      </c>
      <c r="H142" s="26" t="b">
        <v>0</v>
      </c>
    </row>
    <row r="143" hidden="1">
      <c r="A143" s="26" t="str">
        <f>VLOOKUP(B143,'2020 SRED (JIRA) - Issues and l'!$B:$C,2,FALSE)</f>
        <v>portal-builder-SRED</v>
      </c>
      <c r="B143" s="27" t="str">
        <f>IFERROR(__xludf.DUMMYFUNCTION("""COMPUTED_VALUE"""),"IV2-180")</f>
        <v>IV2-180</v>
      </c>
      <c r="C143" s="26" t="str">
        <f>IFERROR(__xludf.DUMMYFUNCTION("""COMPUTED_VALUE"""),"Remove all comments and webform submissions in a touchpoint")</f>
        <v>Remove all comments and webform submissions in a touchpoint</v>
      </c>
      <c r="D143" s="28">
        <f>IFERROR(__xludf.DUMMYFUNCTION("""COMPUTED_VALUE"""),3.76666666666666)</f>
        <v>3.766666667</v>
      </c>
      <c r="E143" s="29">
        <f>IFERROR(__xludf.DUMMYFUNCTION("""COMPUTED_VALUE"""),43893.0)</f>
        <v>43893</v>
      </c>
      <c r="F143" s="26" t="str">
        <f>IFERROR(__xludf.DUMMYFUNCTION("""COMPUTED_VALUE"""),"557058:3124a1f0-e92a-405c-93f2-c1d4e621bc77")</f>
        <v>557058:3124a1f0-e92a-405c-93f2-c1d4e621bc77</v>
      </c>
      <c r="G143" s="26" t="str">
        <f>IFERROR(__xludf.DUMMYFUNCTION("""COMPUTED_VALUE"""),"Trevor Coehoorn")</f>
        <v>Trevor Coehoorn</v>
      </c>
      <c r="H143" s="26" t="b">
        <v>0</v>
      </c>
    </row>
    <row r="144" hidden="1">
      <c r="A144" s="26" t="str">
        <f>VLOOKUP(B144,'2020 SRED (JIRA) - Issues and l'!$B:$C,2,FALSE)</f>
        <v>portal-builder-SRED</v>
      </c>
      <c r="B144" s="27" t="str">
        <f>IFERROR(__xludf.DUMMYFUNCTION("""COMPUTED_VALUE"""),"ITP-1363")</f>
        <v>ITP-1363</v>
      </c>
      <c r="C144" s="26" t="str">
        <f>IFERROR(__xludf.DUMMYFUNCTION("""COMPUTED_VALUE"""),"Validate webform digital signatures")</f>
        <v>Validate webform digital signatures</v>
      </c>
      <c r="D144" s="28">
        <f>IFERROR(__xludf.DUMMYFUNCTION("""COMPUTED_VALUE"""),2.61666666666666)</f>
        <v>2.616666667</v>
      </c>
      <c r="E144" s="29">
        <f>IFERROR(__xludf.DUMMYFUNCTION("""COMPUTED_VALUE"""),43893.0)</f>
        <v>43893</v>
      </c>
      <c r="F144" s="26" t="str">
        <f>IFERROR(__xludf.DUMMYFUNCTION("""COMPUTED_VALUE"""),"557058:3124a1f0-e92a-405c-93f2-c1d4e621bc77")</f>
        <v>557058:3124a1f0-e92a-405c-93f2-c1d4e621bc77</v>
      </c>
      <c r="G144" s="26" t="str">
        <f>IFERROR(__xludf.DUMMYFUNCTION("""COMPUTED_VALUE"""),"Trevor Coehoorn")</f>
        <v>Trevor Coehoorn</v>
      </c>
      <c r="H144" s="26" t="b">
        <v>0</v>
      </c>
    </row>
    <row r="145" hidden="1">
      <c r="A145" s="26" t="str">
        <f>VLOOKUP(B145,'2020 SRED (JIRA) - Issues and l'!$B:$C,2,FALSE)</f>
        <v>portal-builder</v>
      </c>
      <c r="B145" s="27" t="str">
        <f>IFERROR(__xludf.DUMMYFUNCTION("""COMPUTED_VALUE"""),"IV2-48")</f>
        <v>IV2-48</v>
      </c>
      <c r="C145" s="26" t="str">
        <f>IFERROR(__xludf.DUMMYFUNCTION("""COMPUTED_VALUE"""),"Add checkmark icon to menu when activity is complete")</f>
        <v>Add checkmark icon to menu when activity is complete</v>
      </c>
      <c r="D145" s="28">
        <f>IFERROR(__xludf.DUMMYFUNCTION("""COMPUTED_VALUE"""),1.5)</f>
        <v>1.5</v>
      </c>
      <c r="E145" s="29">
        <f>IFERROR(__xludf.DUMMYFUNCTION("""COMPUTED_VALUE"""),43893.0)</f>
        <v>43893</v>
      </c>
      <c r="F145" s="26" t="str">
        <f>IFERROR(__xludf.DUMMYFUNCTION("""COMPUTED_VALUE"""),"557058:73c9cac1-5a92-492c-86e8-838810ee0dde")</f>
        <v>557058:73c9cac1-5a92-492c-86e8-838810ee0dde</v>
      </c>
      <c r="G145" s="26" t="str">
        <f>IFERROR(__xludf.DUMMYFUNCTION("""COMPUTED_VALUE"""),"Dan Wells")</f>
        <v>Dan Wells</v>
      </c>
      <c r="H145" s="26" t="b">
        <v>0</v>
      </c>
    </row>
    <row r="146" hidden="1">
      <c r="A146" s="26" t="str">
        <f>VLOOKUP(B146,'2020 SRED (JIRA) - Issues and l'!$B:$C,2,FALSE)</f>
        <v>portal-builder</v>
      </c>
      <c r="B146" s="27" t="str">
        <f>IFERROR(__xludf.DUMMYFUNCTION("""COMPUTED_VALUE"""),"IV2-137")</f>
        <v>IV2-137</v>
      </c>
      <c r="C146" s="26" t="str">
        <f>IFERROR(__xludf.DUMMYFUNCTION("""COMPUTED_VALUE"""),"Make the Touchpoint Builder webform analysis reports configurable")</f>
        <v>Make the Touchpoint Builder webform analysis reports configurable</v>
      </c>
      <c r="D146" s="28">
        <f>IFERROR(__xludf.DUMMYFUNCTION("""COMPUTED_VALUE"""),1.5)</f>
        <v>1.5</v>
      </c>
      <c r="E146" s="29">
        <f>IFERROR(__xludf.DUMMYFUNCTION("""COMPUTED_VALUE"""),43893.0)</f>
        <v>43893</v>
      </c>
      <c r="F146" s="26" t="str">
        <f>IFERROR(__xludf.DUMMYFUNCTION("""COMPUTED_VALUE"""),"557058:73c9cac1-5a92-492c-86e8-838810ee0dde")</f>
        <v>557058:73c9cac1-5a92-492c-86e8-838810ee0dde</v>
      </c>
      <c r="G146" s="26" t="str">
        <f>IFERROR(__xludf.DUMMYFUNCTION("""COMPUTED_VALUE"""),"Dan Wells")</f>
        <v>Dan Wells</v>
      </c>
      <c r="H146" s="26" t="b">
        <v>0</v>
      </c>
    </row>
    <row r="147" hidden="1">
      <c r="A147" s="26" t="str">
        <f>VLOOKUP(B147,'2020 SRED (JIRA) - Issues and l'!$B:$C,2,FALSE)</f>
        <v>portal-builder-SRED</v>
      </c>
      <c r="B147" s="27" t="str">
        <f>IFERROR(__xludf.DUMMYFUNCTION("""COMPUTED_VALUE"""),"IV2-179")</f>
        <v>IV2-179</v>
      </c>
      <c r="C147" s="26" t="str">
        <f>IFERROR(__xludf.DUMMYFUNCTION("""COMPUTED_VALUE"""),"Automatically use parent comment notifications when pages are created in the Touchpoint Builder")</f>
        <v>Automatically use parent comment notifications when pages are created in the Touchpoint Builder</v>
      </c>
      <c r="D147" s="28">
        <f>IFERROR(__xludf.DUMMYFUNCTION("""COMPUTED_VALUE"""),0.75)</f>
        <v>0.75</v>
      </c>
      <c r="E147" s="29">
        <f>IFERROR(__xludf.DUMMYFUNCTION("""COMPUTED_VALUE"""),43893.0)</f>
        <v>43893</v>
      </c>
      <c r="F147" s="26" t="str">
        <f>IFERROR(__xludf.DUMMYFUNCTION("""COMPUTED_VALUE"""),"557058:73c9cac1-5a92-492c-86e8-838810ee0dde")</f>
        <v>557058:73c9cac1-5a92-492c-86e8-838810ee0dde</v>
      </c>
      <c r="G147" s="26" t="str">
        <f>IFERROR(__xludf.DUMMYFUNCTION("""COMPUTED_VALUE"""),"Dan Wells")</f>
        <v>Dan Wells</v>
      </c>
      <c r="H147" s="26" t="b">
        <v>0</v>
      </c>
    </row>
    <row r="148" hidden="1">
      <c r="A148" s="26" t="str">
        <f>VLOOKUP(B148,'2020 SRED (JIRA) - Issues and l'!$B:$C,2,FALSE)</f>
        <v>portal-builder</v>
      </c>
      <c r="B148" s="27" t="str">
        <f>IFERROR(__xludf.DUMMYFUNCTION("""COMPUTED_VALUE"""),"IV2-158")</f>
        <v>IV2-158</v>
      </c>
      <c r="C148" s="26" t="str">
        <f>IFERROR(__xludf.DUMMYFUNCTION("""COMPUTED_VALUE"""),"UI/Technical Design")</f>
        <v>UI/Technical Design</v>
      </c>
      <c r="D148" s="28">
        <f>IFERROR(__xludf.DUMMYFUNCTION("""COMPUTED_VALUE"""),4.41666666666666)</f>
        <v>4.416666667</v>
      </c>
      <c r="E148" s="29">
        <f>IFERROR(__xludf.DUMMYFUNCTION("""COMPUTED_VALUE"""),43893.0)</f>
        <v>43893</v>
      </c>
      <c r="F148" s="26" t="str">
        <f>IFERROR(__xludf.DUMMYFUNCTION("""COMPUTED_VALUE"""),"557058:f55c62b5-dc7e-41e5-b0f8-231ca9f23470")</f>
        <v>557058:f55c62b5-dc7e-41e5-b0f8-231ca9f23470</v>
      </c>
      <c r="G148" s="26" t="str">
        <f>IFERROR(__xludf.DUMMYFUNCTION("""COMPUTED_VALUE"""),"Holly Lam")</f>
        <v>Holly Lam</v>
      </c>
      <c r="H148" s="26" t="b">
        <v>0</v>
      </c>
    </row>
    <row r="149" hidden="1">
      <c r="A149" s="26" t="str">
        <f>VLOOKUP(B149,'2020 SRED (JIRA) - Issues and l'!$B:$C,2,FALSE)</f>
        <v>portal-builder-SRED</v>
      </c>
      <c r="B149" s="27" t="str">
        <f>IFERROR(__xludf.DUMMYFUNCTION("""COMPUTED_VALUE"""),"ITP-1364")</f>
        <v>ITP-1364</v>
      </c>
      <c r="C149" s="26" t="str">
        <f>IFERROR(__xludf.DUMMYFUNCTION("""COMPUTED_VALUE"""),"Add user to a group when a webform is submitted")</f>
        <v>Add user to a group when a webform is submitted</v>
      </c>
      <c r="D149" s="28">
        <f>IFERROR(__xludf.DUMMYFUNCTION("""COMPUTED_VALUE"""),0.333333333333333)</f>
        <v>0.3333333333</v>
      </c>
      <c r="E149" s="29">
        <f>IFERROR(__xludf.DUMMYFUNCTION("""COMPUTED_VALUE"""),43893.0)</f>
        <v>43893</v>
      </c>
      <c r="F149" s="26" t="str">
        <f>IFERROR(__xludf.DUMMYFUNCTION("""COMPUTED_VALUE"""),"557058:f55c62b5-dc7e-41e5-b0f8-231ca9f23470")</f>
        <v>557058:f55c62b5-dc7e-41e5-b0f8-231ca9f23470</v>
      </c>
      <c r="G149" s="26" t="str">
        <f>IFERROR(__xludf.DUMMYFUNCTION("""COMPUTED_VALUE"""),"Holly Lam")</f>
        <v>Holly Lam</v>
      </c>
      <c r="H149" s="26" t="b">
        <v>0</v>
      </c>
    </row>
    <row r="150" hidden="1">
      <c r="A150" s="26" t="str">
        <f>VLOOKUP(B150,'2020 SRED (JIRA) - Issues and l'!$B:$C,2,FALSE)</f>
        <v>portal-builder-SRED</v>
      </c>
      <c r="B150" s="27" t="str">
        <f>IFERROR(__xludf.DUMMYFUNCTION("""COMPUTED_VALUE"""),"ITP-1363")</f>
        <v>ITP-1363</v>
      </c>
      <c r="C150" s="26" t="str">
        <f>IFERROR(__xludf.DUMMYFUNCTION("""COMPUTED_VALUE"""),"Validate webform digital signatures")</f>
        <v>Validate webform digital signatures</v>
      </c>
      <c r="D150" s="28">
        <f>IFERROR(__xludf.DUMMYFUNCTION("""COMPUTED_VALUE"""),0.25)</f>
        <v>0.25</v>
      </c>
      <c r="E150" s="29">
        <f>IFERROR(__xludf.DUMMYFUNCTION("""COMPUTED_VALUE"""),43893.0)</f>
        <v>43893</v>
      </c>
      <c r="F150" s="26" t="str">
        <f>IFERROR(__xludf.DUMMYFUNCTION("""COMPUTED_VALUE"""),"557058:f55c62b5-dc7e-41e5-b0f8-231ca9f23470")</f>
        <v>557058:f55c62b5-dc7e-41e5-b0f8-231ca9f23470</v>
      </c>
      <c r="G150" s="26" t="str">
        <f>IFERROR(__xludf.DUMMYFUNCTION("""COMPUTED_VALUE"""),"Holly Lam")</f>
        <v>Holly Lam</v>
      </c>
      <c r="H150" s="26" t="b">
        <v>0</v>
      </c>
    </row>
    <row r="151" hidden="1">
      <c r="A151" s="26" t="str">
        <f>VLOOKUP(B151,'2020 SRED (JIRA) - Issues and l'!$B:$C,2,FALSE)</f>
        <v>portal-builder-SRED</v>
      </c>
      <c r="B151" s="27" t="str">
        <f>IFERROR(__xludf.DUMMYFUNCTION("""COMPUTED_VALUE"""),"IV2-179")</f>
        <v>IV2-179</v>
      </c>
      <c r="C151" s="26" t="str">
        <f>IFERROR(__xludf.DUMMYFUNCTION("""COMPUTED_VALUE"""),"Automatically use parent comment notifications when pages are created in the Touchpoint Builder")</f>
        <v>Automatically use parent comment notifications when pages are created in the Touchpoint Builder</v>
      </c>
      <c r="D151" s="28">
        <f>IFERROR(__xludf.DUMMYFUNCTION("""COMPUTED_VALUE"""),1.36666666666666)</f>
        <v>1.366666667</v>
      </c>
      <c r="E151" s="29">
        <f>IFERROR(__xludf.DUMMYFUNCTION("""COMPUTED_VALUE"""),43894.0)</f>
        <v>43894</v>
      </c>
      <c r="F151" s="26" t="str">
        <f>IFERROR(__xludf.DUMMYFUNCTION("""COMPUTED_VALUE"""),"557058:3124a1f0-e92a-405c-93f2-c1d4e621bc77")</f>
        <v>557058:3124a1f0-e92a-405c-93f2-c1d4e621bc77</v>
      </c>
      <c r="G151" s="26" t="str">
        <f>IFERROR(__xludf.DUMMYFUNCTION("""COMPUTED_VALUE"""),"Trevor Coehoorn")</f>
        <v>Trevor Coehoorn</v>
      </c>
      <c r="H151" s="26" t="b">
        <v>0</v>
      </c>
    </row>
    <row r="152" hidden="1">
      <c r="A152" s="26" t="str">
        <f>VLOOKUP(B152,'2020 SRED (JIRA) - Issues and l'!$B:$C,2,FALSE)</f>
        <v>portal-builder</v>
      </c>
      <c r="B152" s="27" t="str">
        <f>IFERROR(__xludf.DUMMYFUNCTION("""COMPUTED_VALUE"""),"IV2-48")</f>
        <v>IV2-48</v>
      </c>
      <c r="C152" s="26" t="str">
        <f>IFERROR(__xludf.DUMMYFUNCTION("""COMPUTED_VALUE"""),"Add checkmark icon to menu when activity is complete")</f>
        <v>Add checkmark icon to menu when activity is complete</v>
      </c>
      <c r="D152" s="28">
        <f>IFERROR(__xludf.DUMMYFUNCTION("""COMPUTED_VALUE"""),0.366666666666666)</f>
        <v>0.3666666667</v>
      </c>
      <c r="E152" s="29">
        <f>IFERROR(__xludf.DUMMYFUNCTION("""COMPUTED_VALUE"""),43894.0)</f>
        <v>43894</v>
      </c>
      <c r="F152" s="26" t="str">
        <f>IFERROR(__xludf.DUMMYFUNCTION("""COMPUTED_VALUE"""),"557058:3124a1f0-e92a-405c-93f2-c1d4e621bc77")</f>
        <v>557058:3124a1f0-e92a-405c-93f2-c1d4e621bc77</v>
      </c>
      <c r="G152" s="26" t="str">
        <f>IFERROR(__xludf.DUMMYFUNCTION("""COMPUTED_VALUE"""),"Trevor Coehoorn")</f>
        <v>Trevor Coehoorn</v>
      </c>
      <c r="H152" s="26" t="b">
        <v>0</v>
      </c>
    </row>
    <row r="153" hidden="1">
      <c r="A153" s="26" t="str">
        <f>VLOOKUP(B153,'2020 SRED (JIRA) - Issues and l'!$B:$C,2,FALSE)</f>
        <v>portal-builder-SRED</v>
      </c>
      <c r="B153" s="27" t="str">
        <f>IFERROR(__xludf.DUMMYFUNCTION("""COMPUTED_VALUE"""),"ITP-1807")</f>
        <v>ITP-1807</v>
      </c>
      <c r="C153" s="26" t="str">
        <f>IFERROR(__xludf.DUMMYFUNCTION("""COMPUTED_VALUE"""),"Add comment attachment info to the touchpoint report builder")</f>
        <v>Add comment attachment info to the touchpoint report builder</v>
      </c>
      <c r="D153" s="28">
        <f>IFERROR(__xludf.DUMMYFUNCTION("""COMPUTED_VALUE"""),0.216666666666666)</f>
        <v>0.2166666667</v>
      </c>
      <c r="E153" s="29">
        <f>IFERROR(__xludf.DUMMYFUNCTION("""COMPUTED_VALUE"""),43894.0)</f>
        <v>43894</v>
      </c>
      <c r="F153" s="26" t="str">
        <f>IFERROR(__xludf.DUMMYFUNCTION("""COMPUTED_VALUE"""),"557058:3124a1f0-e92a-405c-93f2-c1d4e621bc77")</f>
        <v>557058:3124a1f0-e92a-405c-93f2-c1d4e621bc77</v>
      </c>
      <c r="G153" s="26" t="str">
        <f>IFERROR(__xludf.DUMMYFUNCTION("""COMPUTED_VALUE"""),"Trevor Coehoorn")</f>
        <v>Trevor Coehoorn</v>
      </c>
      <c r="H153" s="26" t="b">
        <v>0</v>
      </c>
    </row>
    <row r="154" hidden="1">
      <c r="A154" s="26" t="str">
        <f>VLOOKUP(B154,'2020 SRED (JIRA) - Issues and l'!$B:$C,2,FALSE)</f>
        <v>portal-builder-SRED</v>
      </c>
      <c r="B154" s="27" t="str">
        <f>IFERROR(__xludf.DUMMYFUNCTION("""COMPUTED_VALUE"""),"ITP-1363")</f>
        <v>ITP-1363</v>
      </c>
      <c r="C154" s="26" t="str">
        <f>IFERROR(__xludf.DUMMYFUNCTION("""COMPUTED_VALUE"""),"Validate webform digital signatures")</f>
        <v>Validate webform digital signatures</v>
      </c>
      <c r="D154" s="28">
        <f>IFERROR(__xludf.DUMMYFUNCTION("""COMPUTED_VALUE"""),2.51666666666666)</f>
        <v>2.516666667</v>
      </c>
      <c r="E154" s="29">
        <f>IFERROR(__xludf.DUMMYFUNCTION("""COMPUTED_VALUE"""),43894.0)</f>
        <v>43894</v>
      </c>
      <c r="F154" s="26" t="str">
        <f>IFERROR(__xludf.DUMMYFUNCTION("""COMPUTED_VALUE"""),"557058:3124a1f0-e92a-405c-93f2-c1d4e621bc77")</f>
        <v>557058:3124a1f0-e92a-405c-93f2-c1d4e621bc77</v>
      </c>
      <c r="G154" s="26" t="str">
        <f>IFERROR(__xludf.DUMMYFUNCTION("""COMPUTED_VALUE"""),"Trevor Coehoorn")</f>
        <v>Trevor Coehoorn</v>
      </c>
      <c r="H154" s="26" t="b">
        <v>0</v>
      </c>
    </row>
    <row r="155" hidden="1">
      <c r="A155" s="26" t="str">
        <f>VLOOKUP(B155,'2020 SRED (JIRA) - Issues and l'!$B:$C,2,FALSE)</f>
        <v>portal-builder-SRED</v>
      </c>
      <c r="B155" s="27" t="str">
        <f>IFERROR(__xludf.DUMMYFUNCTION("""COMPUTED_VALUE"""),"IV2-179")</f>
        <v>IV2-179</v>
      </c>
      <c r="C155" s="26" t="str">
        <f>IFERROR(__xludf.DUMMYFUNCTION("""COMPUTED_VALUE"""),"Automatically use parent comment notifications when pages are created in the Touchpoint Builder")</f>
        <v>Automatically use parent comment notifications when pages are created in the Touchpoint Builder</v>
      </c>
      <c r="D155" s="28">
        <f>IFERROR(__xludf.DUMMYFUNCTION("""COMPUTED_VALUE"""),1.0)</f>
        <v>1</v>
      </c>
      <c r="E155" s="29">
        <f>IFERROR(__xludf.DUMMYFUNCTION("""COMPUTED_VALUE"""),43894.0)</f>
        <v>43894</v>
      </c>
      <c r="F155" s="26" t="str">
        <f>IFERROR(__xludf.DUMMYFUNCTION("""COMPUTED_VALUE"""),"557058:73c9cac1-5a92-492c-86e8-838810ee0dde")</f>
        <v>557058:73c9cac1-5a92-492c-86e8-838810ee0dde</v>
      </c>
      <c r="G155" s="26" t="str">
        <f>IFERROR(__xludf.DUMMYFUNCTION("""COMPUTED_VALUE"""),"Dan Wells")</f>
        <v>Dan Wells</v>
      </c>
      <c r="H155" s="26" t="b">
        <v>0</v>
      </c>
    </row>
    <row r="156" hidden="1">
      <c r="A156" s="26" t="str">
        <f>VLOOKUP(B156,'2020 SRED (JIRA) - Issues and l'!$B:$C,2,FALSE)</f>
        <v>portal-builder</v>
      </c>
      <c r="B156" s="27" t="str">
        <f>IFERROR(__xludf.DUMMYFUNCTION("""COMPUTED_VALUE"""),"IV2-158")</f>
        <v>IV2-158</v>
      </c>
      <c r="C156" s="26" t="str">
        <f>IFERROR(__xludf.DUMMYFUNCTION("""COMPUTED_VALUE"""),"UI/Technical Design")</f>
        <v>UI/Technical Design</v>
      </c>
      <c r="D156" s="28">
        <f>IFERROR(__xludf.DUMMYFUNCTION("""COMPUTED_VALUE"""),2.8)</f>
        <v>2.8</v>
      </c>
      <c r="E156" s="29">
        <f>IFERROR(__xludf.DUMMYFUNCTION("""COMPUTED_VALUE"""),43894.0)</f>
        <v>43894</v>
      </c>
      <c r="F156" s="26" t="str">
        <f>IFERROR(__xludf.DUMMYFUNCTION("""COMPUTED_VALUE"""),"557058:f55c62b5-dc7e-41e5-b0f8-231ca9f23470")</f>
        <v>557058:f55c62b5-dc7e-41e5-b0f8-231ca9f23470</v>
      </c>
      <c r="G156" s="26" t="str">
        <f>IFERROR(__xludf.DUMMYFUNCTION("""COMPUTED_VALUE"""),"Holly Lam")</f>
        <v>Holly Lam</v>
      </c>
      <c r="H156" s="26" t="b">
        <v>0</v>
      </c>
    </row>
    <row r="157" hidden="1">
      <c r="A157" s="26" t="str">
        <f>VLOOKUP(B157,'2020 SRED (JIRA) - Issues and l'!$B:$C,2,FALSE)</f>
        <v>portal-builder-SRED</v>
      </c>
      <c r="B157" s="27" t="str">
        <f>IFERROR(__xludf.DUMMYFUNCTION("""COMPUTED_VALUE"""),"ITP-1363")</f>
        <v>ITP-1363</v>
      </c>
      <c r="C157" s="26" t="str">
        <f>IFERROR(__xludf.DUMMYFUNCTION("""COMPUTED_VALUE"""),"Validate webform digital signatures")</f>
        <v>Validate webform digital signatures</v>
      </c>
      <c r="D157" s="28">
        <f>IFERROR(__xludf.DUMMYFUNCTION("""COMPUTED_VALUE"""),2.26666666666666)</f>
        <v>2.266666667</v>
      </c>
      <c r="E157" s="29">
        <f>IFERROR(__xludf.DUMMYFUNCTION("""COMPUTED_VALUE"""),43895.0)</f>
        <v>43895</v>
      </c>
      <c r="F157" s="26" t="str">
        <f>IFERROR(__xludf.DUMMYFUNCTION("""COMPUTED_VALUE"""),"557058:3124a1f0-e92a-405c-93f2-c1d4e621bc77")</f>
        <v>557058:3124a1f0-e92a-405c-93f2-c1d4e621bc77</v>
      </c>
      <c r="G157" s="26" t="str">
        <f>IFERROR(__xludf.DUMMYFUNCTION("""COMPUTED_VALUE"""),"Trevor Coehoorn")</f>
        <v>Trevor Coehoorn</v>
      </c>
      <c r="H157" s="26" t="b">
        <v>0</v>
      </c>
    </row>
    <row r="158" hidden="1">
      <c r="A158" s="26" t="str">
        <f>VLOOKUP(B158,'2020 SRED (JIRA) - Issues and l'!$B:$C,2,FALSE)</f>
        <v>portal-builder</v>
      </c>
      <c r="B158" s="27" t="str">
        <f>IFERROR(__xludf.DUMMYFUNCTION("""COMPUTED_VALUE"""),"IV2-48")</f>
        <v>IV2-48</v>
      </c>
      <c r="C158" s="26" t="str">
        <f>IFERROR(__xludf.DUMMYFUNCTION("""COMPUTED_VALUE"""),"Add checkmark icon to menu when activity is complete")</f>
        <v>Add checkmark icon to menu when activity is complete</v>
      </c>
      <c r="D158" s="28">
        <f>IFERROR(__xludf.DUMMYFUNCTION("""COMPUTED_VALUE"""),4.68333333333333)</f>
        <v>4.683333333</v>
      </c>
      <c r="E158" s="29">
        <f>IFERROR(__xludf.DUMMYFUNCTION("""COMPUTED_VALUE"""),43895.0)</f>
        <v>43895</v>
      </c>
      <c r="F158" s="26" t="str">
        <f>IFERROR(__xludf.DUMMYFUNCTION("""COMPUTED_VALUE"""),"557058:3124a1f0-e92a-405c-93f2-c1d4e621bc77")</f>
        <v>557058:3124a1f0-e92a-405c-93f2-c1d4e621bc77</v>
      </c>
      <c r="G158" s="26" t="str">
        <f>IFERROR(__xludf.DUMMYFUNCTION("""COMPUTED_VALUE"""),"Trevor Coehoorn")</f>
        <v>Trevor Coehoorn</v>
      </c>
      <c r="H158" s="26" t="b">
        <v>0</v>
      </c>
    </row>
    <row r="159" hidden="1">
      <c r="A159" s="26" t="str">
        <f>VLOOKUP(B159,'2020 SRED (JIRA) - Issues and l'!$B:$C,2,FALSE)</f>
        <v>portal-builder</v>
      </c>
      <c r="B159" s="27" t="str">
        <f>IFERROR(__xludf.DUMMYFUNCTION("""COMPUTED_VALUE"""),"IV2-137")</f>
        <v>IV2-137</v>
      </c>
      <c r="C159" s="26" t="str">
        <f>IFERROR(__xludf.DUMMYFUNCTION("""COMPUTED_VALUE"""),"Make the Touchpoint Builder webform analysis reports configurable")</f>
        <v>Make the Touchpoint Builder webform analysis reports configurable</v>
      </c>
      <c r="D159" s="28">
        <f>IFERROR(__xludf.DUMMYFUNCTION("""COMPUTED_VALUE"""),0.466666666666666)</f>
        <v>0.4666666667</v>
      </c>
      <c r="E159" s="29">
        <f>IFERROR(__xludf.DUMMYFUNCTION("""COMPUTED_VALUE"""),43895.0)</f>
        <v>43895</v>
      </c>
      <c r="F159" s="26" t="str">
        <f>IFERROR(__xludf.DUMMYFUNCTION("""COMPUTED_VALUE"""),"557058:3124a1f0-e92a-405c-93f2-c1d4e621bc77")</f>
        <v>557058:3124a1f0-e92a-405c-93f2-c1d4e621bc77</v>
      </c>
      <c r="G159" s="26" t="str">
        <f>IFERROR(__xludf.DUMMYFUNCTION("""COMPUTED_VALUE"""),"Trevor Coehoorn")</f>
        <v>Trevor Coehoorn</v>
      </c>
      <c r="H159" s="26" t="b">
        <v>0</v>
      </c>
    </row>
    <row r="160" hidden="1">
      <c r="A160" s="26" t="str">
        <f>VLOOKUP(B160,'2020 SRED (JIRA) - Issues and l'!$B:$C,2,FALSE)</f>
        <v>portal-builder-SRED</v>
      </c>
      <c r="B160" s="27" t="str">
        <f>IFERROR(__xludf.DUMMYFUNCTION("""COMPUTED_VALUE"""),"ITP-1810")</f>
        <v>ITP-1810</v>
      </c>
      <c r="C160" s="26" t="str">
        <f>IFERROR(__xludf.DUMMYFUNCTION("""COMPUTED_VALUE"""),"Add empty icons to the menu for incomplete touchpoint activities")</f>
        <v>Add empty icons to the menu for incomplete touchpoint activities</v>
      </c>
      <c r="D160" s="28">
        <f>IFERROR(__xludf.DUMMYFUNCTION("""COMPUTED_VALUE"""),0.216666666666666)</f>
        <v>0.2166666667</v>
      </c>
      <c r="E160" s="29">
        <f>IFERROR(__xludf.DUMMYFUNCTION("""COMPUTED_VALUE"""),43895.0)</f>
        <v>43895</v>
      </c>
      <c r="F160" s="26" t="str">
        <f>IFERROR(__xludf.DUMMYFUNCTION("""COMPUTED_VALUE"""),"557058:3124a1f0-e92a-405c-93f2-c1d4e621bc77")</f>
        <v>557058:3124a1f0-e92a-405c-93f2-c1d4e621bc77</v>
      </c>
      <c r="G160" s="26" t="str">
        <f>IFERROR(__xludf.DUMMYFUNCTION("""COMPUTED_VALUE"""),"Trevor Coehoorn")</f>
        <v>Trevor Coehoorn</v>
      </c>
      <c r="H160" s="26" t="b">
        <v>0</v>
      </c>
    </row>
    <row r="161" hidden="1">
      <c r="A161" s="26" t="str">
        <f>VLOOKUP(B161,'2020 SRED (JIRA) - Issues and l'!$B:$C,2,FALSE)</f>
        <v>portal-builder</v>
      </c>
      <c r="B161" s="27" t="str">
        <f>IFERROR(__xludf.DUMMYFUNCTION("""COMPUTED_VALUE"""),"IV2-158")</f>
        <v>IV2-158</v>
      </c>
      <c r="C161" s="26" t="str">
        <f>IFERROR(__xludf.DUMMYFUNCTION("""COMPUTED_VALUE"""),"UI/Technical Design")</f>
        <v>UI/Technical Design</v>
      </c>
      <c r="D161" s="28">
        <f>IFERROR(__xludf.DUMMYFUNCTION("""COMPUTED_VALUE"""),5.83333333333333)</f>
        <v>5.833333333</v>
      </c>
      <c r="E161" s="29">
        <f>IFERROR(__xludf.DUMMYFUNCTION("""COMPUTED_VALUE"""),43895.0)</f>
        <v>43895</v>
      </c>
      <c r="F161" s="26" t="str">
        <f>IFERROR(__xludf.DUMMYFUNCTION("""COMPUTED_VALUE"""),"557058:f55c62b5-dc7e-41e5-b0f8-231ca9f23470")</f>
        <v>557058:f55c62b5-dc7e-41e5-b0f8-231ca9f23470</v>
      </c>
      <c r="G161" s="26" t="str">
        <f>IFERROR(__xludf.DUMMYFUNCTION("""COMPUTED_VALUE"""),"Holly Lam")</f>
        <v>Holly Lam</v>
      </c>
      <c r="H161" s="26" t="b">
        <v>0</v>
      </c>
    </row>
    <row r="162" hidden="1">
      <c r="A162" s="26" t="str">
        <f>VLOOKUP(B162,'2020 SRED (JIRA) - Issues and l'!$B:$C,2,FALSE)</f>
        <v>portal-builder-SRED</v>
      </c>
      <c r="B162" s="27" t="str">
        <f>IFERROR(__xludf.DUMMYFUNCTION("""COMPUTED_VALUE"""),"IV2-180")</f>
        <v>IV2-180</v>
      </c>
      <c r="C162" s="26" t="str">
        <f>IFERROR(__xludf.DUMMYFUNCTION("""COMPUTED_VALUE"""),"Remove all comments and webform submissions in a touchpoint")</f>
        <v>Remove all comments and webform submissions in a touchpoint</v>
      </c>
      <c r="D162" s="28">
        <f>IFERROR(__xludf.DUMMYFUNCTION("""COMPUTED_VALUE"""),3.73333333333333)</f>
        <v>3.733333333</v>
      </c>
      <c r="E162" s="29">
        <f>IFERROR(__xludf.DUMMYFUNCTION("""COMPUTED_VALUE"""),43896.0)</f>
        <v>43896</v>
      </c>
      <c r="F162" s="26" t="str">
        <f>IFERROR(__xludf.DUMMYFUNCTION("""COMPUTED_VALUE"""),"557058:3124a1f0-e92a-405c-93f2-c1d4e621bc77")</f>
        <v>557058:3124a1f0-e92a-405c-93f2-c1d4e621bc77</v>
      </c>
      <c r="G162" s="26" t="str">
        <f>IFERROR(__xludf.DUMMYFUNCTION("""COMPUTED_VALUE"""),"Trevor Coehoorn")</f>
        <v>Trevor Coehoorn</v>
      </c>
      <c r="H162" s="26" t="b">
        <v>0</v>
      </c>
    </row>
    <row r="163" hidden="1">
      <c r="A163" s="26" t="str">
        <f>VLOOKUP(B163,'2020 SRED (JIRA) - Issues and l'!$B:$C,2,FALSE)</f>
        <v>portal-builder-SRED</v>
      </c>
      <c r="B163" s="27" t="str">
        <f>IFERROR(__xludf.DUMMYFUNCTION("""COMPUTED_VALUE"""),"ITP-1364")</f>
        <v>ITP-1364</v>
      </c>
      <c r="C163" s="26" t="str">
        <f>IFERROR(__xludf.DUMMYFUNCTION("""COMPUTED_VALUE"""),"Add user to a group when a webform is submitted")</f>
        <v>Add user to a group when a webform is submitted</v>
      </c>
      <c r="D163" s="28">
        <f>IFERROR(__xludf.DUMMYFUNCTION("""COMPUTED_VALUE"""),1.43333333333333)</f>
        <v>1.433333333</v>
      </c>
      <c r="E163" s="29">
        <f>IFERROR(__xludf.DUMMYFUNCTION("""COMPUTED_VALUE"""),43896.0)</f>
        <v>43896</v>
      </c>
      <c r="F163" s="26" t="str">
        <f>IFERROR(__xludf.DUMMYFUNCTION("""COMPUTED_VALUE"""),"557058:3124a1f0-e92a-405c-93f2-c1d4e621bc77")</f>
        <v>557058:3124a1f0-e92a-405c-93f2-c1d4e621bc77</v>
      </c>
      <c r="G163" s="26" t="str">
        <f>IFERROR(__xludf.DUMMYFUNCTION("""COMPUTED_VALUE"""),"Trevor Coehoorn")</f>
        <v>Trevor Coehoorn</v>
      </c>
      <c r="H163" s="26" t="b">
        <v>0</v>
      </c>
    </row>
    <row r="164" hidden="1">
      <c r="A164" s="26" t="str">
        <f>VLOOKUP(B164,'2020 SRED (JIRA) - Issues and l'!$B:$C,2,FALSE)</f>
        <v>portal-builder</v>
      </c>
      <c r="B164" s="27" t="str">
        <f>IFERROR(__xludf.DUMMYFUNCTION("""COMPUTED_VALUE"""),"IV2-48")</f>
        <v>IV2-48</v>
      </c>
      <c r="C164" s="26" t="str">
        <f>IFERROR(__xludf.DUMMYFUNCTION("""COMPUTED_VALUE"""),"Add checkmark icon to menu when activity is complete")</f>
        <v>Add checkmark icon to menu when activity is complete</v>
      </c>
      <c r="D164" s="28">
        <f>IFERROR(__xludf.DUMMYFUNCTION("""COMPUTED_VALUE"""),1.06666666666666)</f>
        <v>1.066666667</v>
      </c>
      <c r="E164" s="29">
        <f>IFERROR(__xludf.DUMMYFUNCTION("""COMPUTED_VALUE"""),43896.0)</f>
        <v>43896</v>
      </c>
      <c r="F164" s="26" t="str">
        <f>IFERROR(__xludf.DUMMYFUNCTION("""COMPUTED_VALUE"""),"557058:3124a1f0-e92a-405c-93f2-c1d4e621bc77")</f>
        <v>557058:3124a1f0-e92a-405c-93f2-c1d4e621bc77</v>
      </c>
      <c r="G164" s="26" t="str">
        <f>IFERROR(__xludf.DUMMYFUNCTION("""COMPUTED_VALUE"""),"Trevor Coehoorn")</f>
        <v>Trevor Coehoorn</v>
      </c>
      <c r="H164" s="26" t="b">
        <v>0</v>
      </c>
    </row>
    <row r="165" hidden="1">
      <c r="A165" s="26" t="str">
        <f>VLOOKUP(B165,'2020 SRED (JIRA) - Issues and l'!$B:$C,2,FALSE)</f>
        <v>portal-builder-SRED</v>
      </c>
      <c r="B165" s="27" t="str">
        <f>IFERROR(__xludf.DUMMYFUNCTION("""COMPUTED_VALUE"""),"IV2-179")</f>
        <v>IV2-179</v>
      </c>
      <c r="C165" s="26" t="str">
        <f>IFERROR(__xludf.DUMMYFUNCTION("""COMPUTED_VALUE"""),"Automatically use parent comment notifications when pages are created in the Touchpoint Builder")</f>
        <v>Automatically use parent comment notifications when pages are created in the Touchpoint Builder</v>
      </c>
      <c r="D165" s="28">
        <f>IFERROR(__xludf.DUMMYFUNCTION("""COMPUTED_VALUE"""),0.666666666666666)</f>
        <v>0.6666666667</v>
      </c>
      <c r="E165" s="29">
        <f>IFERROR(__xludf.DUMMYFUNCTION("""COMPUTED_VALUE"""),43896.0)</f>
        <v>43896</v>
      </c>
      <c r="F165" s="26" t="str">
        <f>IFERROR(__xludf.DUMMYFUNCTION("""COMPUTED_VALUE"""),"557058:3124a1f0-e92a-405c-93f2-c1d4e621bc77")</f>
        <v>557058:3124a1f0-e92a-405c-93f2-c1d4e621bc77</v>
      </c>
      <c r="G165" s="26" t="str">
        <f>IFERROR(__xludf.DUMMYFUNCTION("""COMPUTED_VALUE"""),"Trevor Coehoorn")</f>
        <v>Trevor Coehoorn</v>
      </c>
      <c r="H165" s="26" t="b">
        <v>0</v>
      </c>
    </row>
    <row r="166" hidden="1">
      <c r="A166" s="26" t="str">
        <f>VLOOKUP(B166,'2020 SRED (JIRA) - Issues and l'!$B:$C,2,FALSE)</f>
        <v>portal-builder</v>
      </c>
      <c r="B166" s="27" t="str">
        <f>IFERROR(__xludf.DUMMYFUNCTION("""COMPUTED_VALUE"""),"IV2-137")</f>
        <v>IV2-137</v>
      </c>
      <c r="C166" s="26" t="str">
        <f>IFERROR(__xludf.DUMMYFUNCTION("""COMPUTED_VALUE"""),"Make the Touchpoint Builder webform analysis reports configurable")</f>
        <v>Make the Touchpoint Builder webform analysis reports configurable</v>
      </c>
      <c r="D166" s="28">
        <f>IFERROR(__xludf.DUMMYFUNCTION("""COMPUTED_VALUE"""),1.01666666666666)</f>
        <v>1.016666667</v>
      </c>
      <c r="E166" s="29">
        <f>IFERROR(__xludf.DUMMYFUNCTION("""COMPUTED_VALUE"""),43896.0)</f>
        <v>43896</v>
      </c>
      <c r="F166" s="26" t="str">
        <f>IFERROR(__xludf.DUMMYFUNCTION("""COMPUTED_VALUE"""),"557058:3124a1f0-e92a-405c-93f2-c1d4e621bc77")</f>
        <v>557058:3124a1f0-e92a-405c-93f2-c1d4e621bc77</v>
      </c>
      <c r="G166" s="26" t="str">
        <f>IFERROR(__xludf.DUMMYFUNCTION("""COMPUTED_VALUE"""),"Trevor Coehoorn")</f>
        <v>Trevor Coehoorn</v>
      </c>
      <c r="H166" s="26" t="b">
        <v>0</v>
      </c>
    </row>
    <row r="167" hidden="1">
      <c r="A167" s="26" t="str">
        <f>VLOOKUP(B167,'2020 SRED (JIRA) - Issues and l'!$B:$C,2,FALSE)</f>
        <v>portal-builder</v>
      </c>
      <c r="B167" s="27" t="str">
        <f>IFERROR(__xludf.DUMMYFUNCTION("""COMPUTED_VALUE"""),"IV2-158")</f>
        <v>IV2-158</v>
      </c>
      <c r="C167" s="26" t="str">
        <f>IFERROR(__xludf.DUMMYFUNCTION("""COMPUTED_VALUE"""),"UI/Technical Design")</f>
        <v>UI/Technical Design</v>
      </c>
      <c r="D167" s="28">
        <f>IFERROR(__xludf.DUMMYFUNCTION("""COMPUTED_VALUE"""),0.783333333333333)</f>
        <v>0.7833333333</v>
      </c>
      <c r="E167" s="29">
        <f>IFERROR(__xludf.DUMMYFUNCTION("""COMPUTED_VALUE"""),43896.0)</f>
        <v>43896</v>
      </c>
      <c r="F167" s="26" t="str">
        <f>IFERROR(__xludf.DUMMYFUNCTION("""COMPUTED_VALUE"""),"557058:f55c62b5-dc7e-41e5-b0f8-231ca9f23470")</f>
        <v>557058:f55c62b5-dc7e-41e5-b0f8-231ca9f23470</v>
      </c>
      <c r="G167" s="26" t="str">
        <f>IFERROR(__xludf.DUMMYFUNCTION("""COMPUTED_VALUE"""),"Holly Lam")</f>
        <v>Holly Lam</v>
      </c>
      <c r="H167" s="26" t="b">
        <v>0</v>
      </c>
    </row>
    <row r="168" hidden="1">
      <c r="A168" s="26" t="str">
        <f>VLOOKUP(B168,'2020 SRED (JIRA) - Issues and l'!$B:$C,2,FALSE)</f>
        <v>portal-builder</v>
      </c>
      <c r="B168" s="27" t="str">
        <f>IFERROR(__xludf.DUMMYFUNCTION("""COMPUTED_VALUE"""),"IV2-158")</f>
        <v>IV2-158</v>
      </c>
      <c r="C168" s="26" t="str">
        <f>IFERROR(__xludf.DUMMYFUNCTION("""COMPUTED_VALUE"""),"UI/Technical Design")</f>
        <v>UI/Technical Design</v>
      </c>
      <c r="D168" s="28">
        <f>IFERROR(__xludf.DUMMYFUNCTION("""COMPUTED_VALUE"""),2.5)</f>
        <v>2.5</v>
      </c>
      <c r="E168" s="29">
        <f>IFERROR(__xludf.DUMMYFUNCTION("""COMPUTED_VALUE"""),43896.0)</f>
        <v>43896</v>
      </c>
      <c r="F168" s="26" t="str">
        <f>IFERROR(__xludf.DUMMYFUNCTION("""COMPUTED_VALUE"""),"557058:f55c62b5-dc7e-41e5-b0f8-231ca9f23470")</f>
        <v>557058:f55c62b5-dc7e-41e5-b0f8-231ca9f23470</v>
      </c>
      <c r="G168" s="26" t="str">
        <f>IFERROR(__xludf.DUMMYFUNCTION("""COMPUTED_VALUE"""),"Holly Lam")</f>
        <v>Holly Lam</v>
      </c>
      <c r="H168" s="26" t="b">
        <v>0</v>
      </c>
    </row>
    <row r="169" hidden="1">
      <c r="A169" s="26" t="str">
        <f>VLOOKUP(B169,'2020 SRED (JIRA) - Issues and l'!$B:$C,2,FALSE)</f>
        <v>portal-builder-SRED</v>
      </c>
      <c r="B169" s="27" t="str">
        <f>IFERROR(__xludf.DUMMYFUNCTION("""COMPUTED_VALUE"""),"ITP-1364")</f>
        <v>ITP-1364</v>
      </c>
      <c r="C169" s="26" t="str">
        <f>IFERROR(__xludf.DUMMYFUNCTION("""COMPUTED_VALUE"""),"Add user to a group when a webform is submitted")</f>
        <v>Add user to a group when a webform is submitted</v>
      </c>
      <c r="D169" s="28">
        <f>IFERROR(__xludf.DUMMYFUNCTION("""COMPUTED_VALUE"""),0.316666666666666)</f>
        <v>0.3166666667</v>
      </c>
      <c r="E169" s="29">
        <f>IFERROR(__xludf.DUMMYFUNCTION("""COMPUTED_VALUE"""),43896.0)</f>
        <v>43896</v>
      </c>
      <c r="F169" s="26" t="str">
        <f>IFERROR(__xludf.DUMMYFUNCTION("""COMPUTED_VALUE"""),"557058:f55c62b5-dc7e-41e5-b0f8-231ca9f23470")</f>
        <v>557058:f55c62b5-dc7e-41e5-b0f8-231ca9f23470</v>
      </c>
      <c r="G169" s="26" t="str">
        <f>IFERROR(__xludf.DUMMYFUNCTION("""COMPUTED_VALUE"""),"Holly Lam")</f>
        <v>Holly Lam</v>
      </c>
      <c r="H169" s="26" t="b">
        <v>0</v>
      </c>
    </row>
    <row r="170" hidden="1">
      <c r="A170" s="26" t="str">
        <f>VLOOKUP(B170,'2020 SRED (JIRA) - Issues and l'!$B:$C,2,FALSE)</f>
        <v>portal-builder</v>
      </c>
      <c r="B170" s="27" t="str">
        <f>IFERROR(__xludf.DUMMYFUNCTION("""COMPUTED_VALUE"""),"IV2-31")</f>
        <v>IV2-31</v>
      </c>
      <c r="C170" s="26" t="str">
        <f>IFERROR(__xludf.DUMMYFUNCTION("""COMPUTED_VALUE"""),"V2 Status Meetings")</f>
        <v>V2 Status Meetings</v>
      </c>
      <c r="D170" s="28">
        <f>IFERROR(__xludf.DUMMYFUNCTION("""COMPUTED_VALUE"""),0.25)</f>
        <v>0.25</v>
      </c>
      <c r="E170" s="29">
        <f>IFERROR(__xludf.DUMMYFUNCTION("""COMPUTED_VALUE"""),43899.0)</f>
        <v>43899</v>
      </c>
      <c r="F170" s="26" t="str">
        <f>IFERROR(__xludf.DUMMYFUNCTION("""COMPUTED_VALUE"""),"557058:3124a1f0-e92a-405c-93f2-c1d4e621bc77")</f>
        <v>557058:3124a1f0-e92a-405c-93f2-c1d4e621bc77</v>
      </c>
      <c r="G170" s="26" t="str">
        <f>IFERROR(__xludf.DUMMYFUNCTION("""COMPUTED_VALUE"""),"Trevor Coehoorn")</f>
        <v>Trevor Coehoorn</v>
      </c>
      <c r="H170" s="26" t="b">
        <v>0</v>
      </c>
    </row>
    <row r="171" hidden="1">
      <c r="A171" s="26" t="str">
        <f>VLOOKUP(B171,'2020 SRED (JIRA) - Issues and l'!$B:$C,2,FALSE)</f>
        <v>portal-builder</v>
      </c>
      <c r="B171" s="27" t="str">
        <f>IFERROR(__xludf.DUMMYFUNCTION("""COMPUTED_VALUE"""),"IV2-48")</f>
        <v>IV2-48</v>
      </c>
      <c r="C171" s="26" t="str">
        <f>IFERROR(__xludf.DUMMYFUNCTION("""COMPUTED_VALUE"""),"Add checkmark icon to menu when activity is complete")</f>
        <v>Add checkmark icon to menu when activity is complete</v>
      </c>
      <c r="D171" s="28">
        <f>IFERROR(__xludf.DUMMYFUNCTION("""COMPUTED_VALUE"""),2.15)</f>
        <v>2.15</v>
      </c>
      <c r="E171" s="29">
        <f>IFERROR(__xludf.DUMMYFUNCTION("""COMPUTED_VALUE"""),43900.0)</f>
        <v>43900</v>
      </c>
      <c r="F171" s="26" t="str">
        <f>IFERROR(__xludf.DUMMYFUNCTION("""COMPUTED_VALUE"""),"557058:3124a1f0-e92a-405c-93f2-c1d4e621bc77")</f>
        <v>557058:3124a1f0-e92a-405c-93f2-c1d4e621bc77</v>
      </c>
      <c r="G171" s="26" t="str">
        <f>IFERROR(__xludf.DUMMYFUNCTION("""COMPUTED_VALUE"""),"Trevor Coehoorn")</f>
        <v>Trevor Coehoorn</v>
      </c>
      <c r="H171" s="26" t="b">
        <v>0</v>
      </c>
    </row>
    <row r="172" hidden="1">
      <c r="A172" s="26" t="str">
        <f>VLOOKUP(B172,'2020 SRED (JIRA) - Issues and l'!$B:$C,2,FALSE)</f>
        <v>portal-builder</v>
      </c>
      <c r="B172" s="27" t="str">
        <f>IFERROR(__xludf.DUMMYFUNCTION("""COMPUTED_VALUE"""),"IV2-48")</f>
        <v>IV2-48</v>
      </c>
      <c r="C172" s="26" t="str">
        <f>IFERROR(__xludf.DUMMYFUNCTION("""COMPUTED_VALUE"""),"Add checkmark icon to menu when activity is complete")</f>
        <v>Add checkmark icon to menu when activity is complete</v>
      </c>
      <c r="D172" s="28">
        <f>IFERROR(__xludf.DUMMYFUNCTION("""COMPUTED_VALUE"""),1.88333333333333)</f>
        <v>1.883333333</v>
      </c>
      <c r="E172" s="29">
        <f>IFERROR(__xludf.DUMMYFUNCTION("""COMPUTED_VALUE"""),43901.0)</f>
        <v>43901</v>
      </c>
      <c r="F172" s="26" t="str">
        <f>IFERROR(__xludf.DUMMYFUNCTION("""COMPUTED_VALUE"""),"557058:3124a1f0-e92a-405c-93f2-c1d4e621bc77")</f>
        <v>557058:3124a1f0-e92a-405c-93f2-c1d4e621bc77</v>
      </c>
      <c r="G172" s="26" t="str">
        <f>IFERROR(__xludf.DUMMYFUNCTION("""COMPUTED_VALUE"""),"Trevor Coehoorn")</f>
        <v>Trevor Coehoorn</v>
      </c>
      <c r="H172" s="26" t="b">
        <v>0</v>
      </c>
    </row>
    <row r="173" hidden="1">
      <c r="A173" s="26" t="str">
        <f>VLOOKUP(B173,'2020 SRED (JIRA) - Issues and l'!$B:$C,2,FALSE)</f>
        <v>portal-builder-SRED</v>
      </c>
      <c r="B173" s="27" t="str">
        <f>IFERROR(__xludf.DUMMYFUNCTION("""COMPUTED_VALUE"""),"ITP-1364")</f>
        <v>ITP-1364</v>
      </c>
      <c r="C173" s="26" t="str">
        <f>IFERROR(__xludf.DUMMYFUNCTION("""COMPUTED_VALUE"""),"Add user to a group when a webform is submitted")</f>
        <v>Add user to a group when a webform is submitted</v>
      </c>
      <c r="D173" s="28">
        <f>IFERROR(__xludf.DUMMYFUNCTION("""COMPUTED_VALUE"""),0.05)</f>
        <v>0.05</v>
      </c>
      <c r="E173" s="29">
        <f>IFERROR(__xludf.DUMMYFUNCTION("""COMPUTED_VALUE"""),43901.0)</f>
        <v>43901</v>
      </c>
      <c r="F173" s="26" t="str">
        <f>IFERROR(__xludf.DUMMYFUNCTION("""COMPUTED_VALUE"""),"557058:3124a1f0-e92a-405c-93f2-c1d4e621bc77")</f>
        <v>557058:3124a1f0-e92a-405c-93f2-c1d4e621bc77</v>
      </c>
      <c r="G173" s="26" t="str">
        <f>IFERROR(__xludf.DUMMYFUNCTION("""COMPUTED_VALUE"""),"Trevor Coehoorn")</f>
        <v>Trevor Coehoorn</v>
      </c>
      <c r="H173" s="26" t="b">
        <v>0</v>
      </c>
    </row>
    <row r="174" hidden="1">
      <c r="A174" s="26" t="str">
        <f>VLOOKUP(B174,'2020 SRED (JIRA) - Issues and l'!$B:$C,2,FALSE)</f>
        <v>portal-builder-SRED</v>
      </c>
      <c r="B174" s="27" t="str">
        <f>IFERROR(__xludf.DUMMYFUNCTION("""COMPUTED_VALUE"""),"IV2-180")</f>
        <v>IV2-180</v>
      </c>
      <c r="C174" s="26" t="str">
        <f>IFERROR(__xludf.DUMMYFUNCTION("""COMPUTED_VALUE"""),"Remove all comments and webform submissions in a touchpoint")</f>
        <v>Remove all comments and webform submissions in a touchpoint</v>
      </c>
      <c r="D174" s="28">
        <f>IFERROR(__xludf.DUMMYFUNCTION("""COMPUTED_VALUE"""),4.8)</f>
        <v>4.8</v>
      </c>
      <c r="E174" s="29">
        <f>IFERROR(__xludf.DUMMYFUNCTION("""COMPUTED_VALUE"""),43901.0)</f>
        <v>43901</v>
      </c>
      <c r="F174" s="26" t="str">
        <f>IFERROR(__xludf.DUMMYFUNCTION("""COMPUTED_VALUE"""),"557058:3124a1f0-e92a-405c-93f2-c1d4e621bc77")</f>
        <v>557058:3124a1f0-e92a-405c-93f2-c1d4e621bc77</v>
      </c>
      <c r="G174" s="26" t="str">
        <f>IFERROR(__xludf.DUMMYFUNCTION("""COMPUTED_VALUE"""),"Trevor Coehoorn")</f>
        <v>Trevor Coehoorn</v>
      </c>
      <c r="H174" s="26" t="b">
        <v>0</v>
      </c>
    </row>
    <row r="175" hidden="1">
      <c r="A175" s="26" t="str">
        <f>VLOOKUP(B175,'2020 SRED (JIRA) - Issues and l'!$B:$C,2,FALSE)</f>
        <v>portal-builder</v>
      </c>
      <c r="B175" s="27" t="str">
        <f>IFERROR(__xludf.DUMMYFUNCTION("""COMPUTED_VALUE"""),"IV2-158")</f>
        <v>IV2-158</v>
      </c>
      <c r="C175" s="26" t="str">
        <f>IFERROR(__xludf.DUMMYFUNCTION("""COMPUTED_VALUE"""),"UI/Technical Design")</f>
        <v>UI/Technical Design</v>
      </c>
      <c r="D175" s="28">
        <f>IFERROR(__xludf.DUMMYFUNCTION("""COMPUTED_VALUE"""),5.33333333333333)</f>
        <v>5.333333333</v>
      </c>
      <c r="E175" s="29">
        <f>IFERROR(__xludf.DUMMYFUNCTION("""COMPUTED_VALUE"""),43901.0)</f>
        <v>43901</v>
      </c>
      <c r="F175" s="26" t="str">
        <f>IFERROR(__xludf.DUMMYFUNCTION("""COMPUTED_VALUE"""),"557058:f55c62b5-dc7e-41e5-b0f8-231ca9f23470")</f>
        <v>557058:f55c62b5-dc7e-41e5-b0f8-231ca9f23470</v>
      </c>
      <c r="G175" s="26" t="str">
        <f>IFERROR(__xludf.DUMMYFUNCTION("""COMPUTED_VALUE"""),"Holly Lam")</f>
        <v>Holly Lam</v>
      </c>
      <c r="H175" s="26" t="b">
        <v>0</v>
      </c>
    </row>
    <row r="176" hidden="1">
      <c r="A176" s="26" t="str">
        <f>VLOOKUP(B176,'2020 SRED (JIRA) - Issues and l'!$B:$C,2,FALSE)</f>
        <v>portal-builder-SRED</v>
      </c>
      <c r="B176" s="27" t="str">
        <f>IFERROR(__xludf.DUMMYFUNCTION("""COMPUTED_VALUE"""),"ITP-1364")</f>
        <v>ITP-1364</v>
      </c>
      <c r="C176" s="26" t="str">
        <f>IFERROR(__xludf.DUMMYFUNCTION("""COMPUTED_VALUE"""),"Add user to a group when a webform is submitted")</f>
        <v>Add user to a group when a webform is submitted</v>
      </c>
      <c r="D176" s="28">
        <f>IFERROR(__xludf.DUMMYFUNCTION("""COMPUTED_VALUE"""),0.0333333333333333)</f>
        <v>0.03333333333</v>
      </c>
      <c r="E176" s="29">
        <f>IFERROR(__xludf.DUMMYFUNCTION("""COMPUTED_VALUE"""),43901.0)</f>
        <v>43901</v>
      </c>
      <c r="F176" s="26" t="str">
        <f>IFERROR(__xludf.DUMMYFUNCTION("""COMPUTED_VALUE"""),"557058:f55c62b5-dc7e-41e5-b0f8-231ca9f23470")</f>
        <v>557058:f55c62b5-dc7e-41e5-b0f8-231ca9f23470</v>
      </c>
      <c r="G176" s="26" t="str">
        <f>IFERROR(__xludf.DUMMYFUNCTION("""COMPUTED_VALUE"""),"Holly Lam")</f>
        <v>Holly Lam</v>
      </c>
      <c r="H176" s="26" t="b">
        <v>0</v>
      </c>
    </row>
    <row r="177" hidden="1">
      <c r="A177" s="26" t="str">
        <f>VLOOKUP(B177,'2020 SRED (JIRA) - Issues and l'!$B:$C,2,FALSE)</f>
        <v>portal-builder-SRED</v>
      </c>
      <c r="B177" s="27" t="str">
        <f>IFERROR(__xludf.DUMMYFUNCTION("""COMPUTED_VALUE"""),"IV2-180")</f>
        <v>IV2-180</v>
      </c>
      <c r="C177" s="26" t="str">
        <f>IFERROR(__xludf.DUMMYFUNCTION("""COMPUTED_VALUE"""),"Remove all comments and webform submissions in a touchpoint")</f>
        <v>Remove all comments and webform submissions in a touchpoint</v>
      </c>
      <c r="D177" s="28">
        <f>IFERROR(__xludf.DUMMYFUNCTION("""COMPUTED_VALUE"""),0.133333333333333)</f>
        <v>0.1333333333</v>
      </c>
      <c r="E177" s="29">
        <f>IFERROR(__xludf.DUMMYFUNCTION("""COMPUTED_VALUE"""),43902.0)</f>
        <v>43902</v>
      </c>
      <c r="F177" s="26" t="str">
        <f>IFERROR(__xludf.DUMMYFUNCTION("""COMPUTED_VALUE"""),"557058:3124a1f0-e92a-405c-93f2-c1d4e621bc77")</f>
        <v>557058:3124a1f0-e92a-405c-93f2-c1d4e621bc77</v>
      </c>
      <c r="G177" s="26" t="str">
        <f>IFERROR(__xludf.DUMMYFUNCTION("""COMPUTED_VALUE"""),"Trevor Coehoorn")</f>
        <v>Trevor Coehoorn</v>
      </c>
      <c r="H177" s="26" t="b">
        <v>0</v>
      </c>
    </row>
    <row r="178" hidden="1">
      <c r="A178" s="26" t="str">
        <f>VLOOKUP(B178,'2020 SRED (JIRA) - Issues and l'!$B:$C,2,FALSE)</f>
        <v>portal-builder</v>
      </c>
      <c r="B178" s="27" t="str">
        <f>IFERROR(__xludf.DUMMYFUNCTION("""COMPUTED_VALUE"""),"IV2-48")</f>
        <v>IV2-48</v>
      </c>
      <c r="C178" s="26" t="str">
        <f>IFERROR(__xludf.DUMMYFUNCTION("""COMPUTED_VALUE"""),"Add checkmark icon to menu when activity is complete")</f>
        <v>Add checkmark icon to menu when activity is complete</v>
      </c>
      <c r="D178" s="28">
        <f>IFERROR(__xludf.DUMMYFUNCTION("""COMPUTED_VALUE"""),0.116666666666666)</f>
        <v>0.1166666667</v>
      </c>
      <c r="E178" s="29">
        <f>IFERROR(__xludf.DUMMYFUNCTION("""COMPUTED_VALUE"""),43902.0)</f>
        <v>43902</v>
      </c>
      <c r="F178" s="26" t="str">
        <f>IFERROR(__xludf.DUMMYFUNCTION("""COMPUTED_VALUE"""),"557058:3124a1f0-e92a-405c-93f2-c1d4e621bc77")</f>
        <v>557058:3124a1f0-e92a-405c-93f2-c1d4e621bc77</v>
      </c>
      <c r="G178" s="26" t="str">
        <f>IFERROR(__xludf.DUMMYFUNCTION("""COMPUTED_VALUE"""),"Trevor Coehoorn")</f>
        <v>Trevor Coehoorn</v>
      </c>
      <c r="H178" s="26" t="b">
        <v>0</v>
      </c>
    </row>
    <row r="179" hidden="1">
      <c r="A179" s="26" t="str">
        <f>VLOOKUP(B179,'2020 SRED (JIRA) - Issues and l'!$B:$C,2,FALSE)</f>
        <v>portal-builder-SRED</v>
      </c>
      <c r="B179" s="27" t="str">
        <f>IFERROR(__xludf.DUMMYFUNCTION("""COMPUTED_VALUE"""),"IV2-180")</f>
        <v>IV2-180</v>
      </c>
      <c r="C179" s="26" t="str">
        <f>IFERROR(__xludf.DUMMYFUNCTION("""COMPUTED_VALUE"""),"Remove all comments and webform submissions in a touchpoint")</f>
        <v>Remove all comments and webform submissions in a touchpoint</v>
      </c>
      <c r="D179" s="28">
        <f>IFERROR(__xludf.DUMMYFUNCTION("""COMPUTED_VALUE"""),3.76666666666666)</f>
        <v>3.766666667</v>
      </c>
      <c r="E179" s="29">
        <f>IFERROR(__xludf.DUMMYFUNCTION("""COMPUTED_VALUE"""),43903.0)</f>
        <v>43903</v>
      </c>
      <c r="F179" s="26" t="str">
        <f>IFERROR(__xludf.DUMMYFUNCTION("""COMPUTED_VALUE"""),"557058:3124a1f0-e92a-405c-93f2-c1d4e621bc77")</f>
        <v>557058:3124a1f0-e92a-405c-93f2-c1d4e621bc77</v>
      </c>
      <c r="G179" s="26" t="str">
        <f>IFERROR(__xludf.DUMMYFUNCTION("""COMPUTED_VALUE"""),"Trevor Coehoorn")</f>
        <v>Trevor Coehoorn</v>
      </c>
      <c r="H179" s="26" t="b">
        <v>0</v>
      </c>
    </row>
    <row r="180" hidden="1">
      <c r="A180" s="26" t="str">
        <f>VLOOKUP(B180,'2020 SRED (JIRA) - Issues and l'!$B:$C,2,FALSE)</f>
        <v>portal-builder</v>
      </c>
      <c r="B180" s="27" t="str">
        <f>IFERROR(__xludf.DUMMYFUNCTION("""COMPUTED_VALUE"""),"IV2-48")</f>
        <v>IV2-48</v>
      </c>
      <c r="C180" s="26" t="str">
        <f>IFERROR(__xludf.DUMMYFUNCTION("""COMPUTED_VALUE"""),"Add checkmark icon to menu when activity is complete")</f>
        <v>Add checkmark icon to menu when activity is complete</v>
      </c>
      <c r="D180" s="28">
        <f>IFERROR(__xludf.DUMMYFUNCTION("""COMPUTED_VALUE"""),2.53333333333333)</f>
        <v>2.533333333</v>
      </c>
      <c r="E180" s="29">
        <f>IFERROR(__xludf.DUMMYFUNCTION("""COMPUTED_VALUE"""),43903.0)</f>
        <v>43903</v>
      </c>
      <c r="F180" s="26" t="str">
        <f>IFERROR(__xludf.DUMMYFUNCTION("""COMPUTED_VALUE"""),"557058:3124a1f0-e92a-405c-93f2-c1d4e621bc77")</f>
        <v>557058:3124a1f0-e92a-405c-93f2-c1d4e621bc77</v>
      </c>
      <c r="G180" s="26" t="str">
        <f>IFERROR(__xludf.DUMMYFUNCTION("""COMPUTED_VALUE"""),"Trevor Coehoorn")</f>
        <v>Trevor Coehoorn</v>
      </c>
      <c r="H180" s="26" t="b">
        <v>0</v>
      </c>
    </row>
    <row r="181" hidden="1">
      <c r="A181" s="26" t="str">
        <f>VLOOKUP(B181,'2020 SRED (JIRA) - Issues and l'!$B:$C,2,FALSE)</f>
        <v>portal-builder</v>
      </c>
      <c r="B181" s="27" t="str">
        <f>IFERROR(__xludf.DUMMYFUNCTION("""COMPUTED_VALUE"""),"IV2-48")</f>
        <v>IV2-48</v>
      </c>
      <c r="C181" s="26" t="str">
        <f>IFERROR(__xludf.DUMMYFUNCTION("""COMPUTED_VALUE"""),"Add checkmark icon to menu when activity is complete")</f>
        <v>Add checkmark icon to menu when activity is complete</v>
      </c>
      <c r="D181" s="28">
        <f>IFERROR(__xludf.DUMMYFUNCTION("""COMPUTED_VALUE"""),3.81666666666666)</f>
        <v>3.816666667</v>
      </c>
      <c r="E181" s="29">
        <f>IFERROR(__xludf.DUMMYFUNCTION("""COMPUTED_VALUE"""),43906.0)</f>
        <v>43906</v>
      </c>
      <c r="F181" s="26" t="str">
        <f>IFERROR(__xludf.DUMMYFUNCTION("""COMPUTED_VALUE"""),"557058:3124a1f0-e92a-405c-93f2-c1d4e621bc77")</f>
        <v>557058:3124a1f0-e92a-405c-93f2-c1d4e621bc77</v>
      </c>
      <c r="G181" s="26" t="str">
        <f>IFERROR(__xludf.DUMMYFUNCTION("""COMPUTED_VALUE"""),"Trevor Coehoorn")</f>
        <v>Trevor Coehoorn</v>
      </c>
      <c r="H181" s="26" t="b">
        <v>0</v>
      </c>
    </row>
    <row r="182" hidden="1">
      <c r="A182" s="26" t="str">
        <f>VLOOKUP(B182,'2020 SRED (JIRA) - Issues and l'!$B:$C,2,FALSE)</f>
        <v>portal-builder</v>
      </c>
      <c r="B182" s="27" t="str">
        <f>IFERROR(__xludf.DUMMYFUNCTION("""COMPUTED_VALUE"""),"IV2-137")</f>
        <v>IV2-137</v>
      </c>
      <c r="C182" s="26" t="str">
        <f>IFERROR(__xludf.DUMMYFUNCTION("""COMPUTED_VALUE"""),"Make the Touchpoint Builder webform analysis reports configurable")</f>
        <v>Make the Touchpoint Builder webform analysis reports configurable</v>
      </c>
      <c r="D182" s="28">
        <f>IFERROR(__xludf.DUMMYFUNCTION("""COMPUTED_VALUE"""),0.05)</f>
        <v>0.05</v>
      </c>
      <c r="E182" s="29">
        <f>IFERROR(__xludf.DUMMYFUNCTION("""COMPUTED_VALUE"""),43907.0)</f>
        <v>43907</v>
      </c>
      <c r="F182" s="26" t="str">
        <f>IFERROR(__xludf.DUMMYFUNCTION("""COMPUTED_VALUE"""),"557058:3124a1f0-e92a-405c-93f2-c1d4e621bc77")</f>
        <v>557058:3124a1f0-e92a-405c-93f2-c1d4e621bc77</v>
      </c>
      <c r="G182" s="26" t="str">
        <f>IFERROR(__xludf.DUMMYFUNCTION("""COMPUTED_VALUE"""),"Trevor Coehoorn")</f>
        <v>Trevor Coehoorn</v>
      </c>
      <c r="H182" s="26" t="b">
        <v>0</v>
      </c>
    </row>
    <row r="183" hidden="1">
      <c r="A183" s="26" t="str">
        <f>VLOOKUP(B183,'2020 SRED (JIRA) - Issues and l'!$B:$C,2,FALSE)</f>
        <v>portal-builder-SRED</v>
      </c>
      <c r="B183" s="27" t="str">
        <f>IFERROR(__xludf.DUMMYFUNCTION("""COMPUTED_VALUE"""),"IV2-179")</f>
        <v>IV2-179</v>
      </c>
      <c r="C183" s="26" t="str">
        <f>IFERROR(__xludf.DUMMYFUNCTION("""COMPUTED_VALUE"""),"Automatically use parent comment notifications when pages are created in the Touchpoint Builder")</f>
        <v>Automatically use parent comment notifications when pages are created in the Touchpoint Builder</v>
      </c>
      <c r="D183" s="28">
        <f>IFERROR(__xludf.DUMMYFUNCTION("""COMPUTED_VALUE"""),0.05)</f>
        <v>0.05</v>
      </c>
      <c r="E183" s="29">
        <f>IFERROR(__xludf.DUMMYFUNCTION("""COMPUTED_VALUE"""),43907.0)</f>
        <v>43907</v>
      </c>
      <c r="F183" s="26" t="str">
        <f>IFERROR(__xludf.DUMMYFUNCTION("""COMPUTED_VALUE"""),"557058:3124a1f0-e92a-405c-93f2-c1d4e621bc77")</f>
        <v>557058:3124a1f0-e92a-405c-93f2-c1d4e621bc77</v>
      </c>
      <c r="G183" s="26" t="str">
        <f>IFERROR(__xludf.DUMMYFUNCTION("""COMPUTED_VALUE"""),"Trevor Coehoorn")</f>
        <v>Trevor Coehoorn</v>
      </c>
      <c r="H183" s="26" t="b">
        <v>0</v>
      </c>
    </row>
    <row r="184" hidden="1">
      <c r="A184" s="26" t="str">
        <f>VLOOKUP(B184,'2020 SRED (JIRA) - Issues and l'!$B:$C,2,FALSE)</f>
        <v>portal-builder-SRED</v>
      </c>
      <c r="B184" s="27" t="str">
        <f>IFERROR(__xludf.DUMMYFUNCTION("""COMPUTED_VALUE"""),"ITP-1364")</f>
        <v>ITP-1364</v>
      </c>
      <c r="C184" s="26" t="str">
        <f>IFERROR(__xludf.DUMMYFUNCTION("""COMPUTED_VALUE"""),"Add user to a group when a webform is submitted")</f>
        <v>Add user to a group when a webform is submitted</v>
      </c>
      <c r="D184" s="28">
        <f>IFERROR(__xludf.DUMMYFUNCTION("""COMPUTED_VALUE"""),1.18333333333333)</f>
        <v>1.183333333</v>
      </c>
      <c r="E184" s="29">
        <f>IFERROR(__xludf.DUMMYFUNCTION("""COMPUTED_VALUE"""),43907.0)</f>
        <v>43907</v>
      </c>
      <c r="F184" s="26" t="str">
        <f>IFERROR(__xludf.DUMMYFUNCTION("""COMPUTED_VALUE"""),"557058:3124a1f0-e92a-405c-93f2-c1d4e621bc77")</f>
        <v>557058:3124a1f0-e92a-405c-93f2-c1d4e621bc77</v>
      </c>
      <c r="G184" s="26" t="str">
        <f>IFERROR(__xludf.DUMMYFUNCTION("""COMPUTED_VALUE"""),"Trevor Coehoorn")</f>
        <v>Trevor Coehoorn</v>
      </c>
      <c r="H184" s="26" t="b">
        <v>0</v>
      </c>
    </row>
    <row r="185" hidden="1">
      <c r="A185" s="26" t="str">
        <f>VLOOKUP(B185,'2020 SRED (JIRA) - Issues and l'!$B:$C,2,FALSE)</f>
        <v>portal-builder</v>
      </c>
      <c r="B185" s="27" t="str">
        <f>IFERROR(__xludf.DUMMYFUNCTION("""COMPUTED_VALUE"""),"IV2-48")</f>
        <v>IV2-48</v>
      </c>
      <c r="C185" s="26" t="str">
        <f>IFERROR(__xludf.DUMMYFUNCTION("""COMPUTED_VALUE"""),"Add checkmark icon to menu when activity is complete")</f>
        <v>Add checkmark icon to menu when activity is complete</v>
      </c>
      <c r="D185" s="28">
        <f>IFERROR(__xludf.DUMMYFUNCTION("""COMPUTED_VALUE"""),1.21666666666666)</f>
        <v>1.216666667</v>
      </c>
      <c r="E185" s="29">
        <f>IFERROR(__xludf.DUMMYFUNCTION("""COMPUTED_VALUE"""),43907.0)</f>
        <v>43907</v>
      </c>
      <c r="F185" s="26" t="str">
        <f>IFERROR(__xludf.DUMMYFUNCTION("""COMPUTED_VALUE"""),"557058:3124a1f0-e92a-405c-93f2-c1d4e621bc77")</f>
        <v>557058:3124a1f0-e92a-405c-93f2-c1d4e621bc77</v>
      </c>
      <c r="G185" s="26" t="str">
        <f>IFERROR(__xludf.DUMMYFUNCTION("""COMPUTED_VALUE"""),"Trevor Coehoorn")</f>
        <v>Trevor Coehoorn</v>
      </c>
      <c r="H185" s="26" t="b">
        <v>0</v>
      </c>
    </row>
    <row r="186" hidden="1">
      <c r="A186" s="26" t="str">
        <f>VLOOKUP(B186,'2020 SRED (JIRA) - Issues and l'!$B:$C,2,FALSE)</f>
        <v>portal-builder-SRED</v>
      </c>
      <c r="B186" s="27" t="str">
        <f>IFERROR(__xludf.DUMMYFUNCTION("""COMPUTED_VALUE"""),"ITP-1807")</f>
        <v>ITP-1807</v>
      </c>
      <c r="C186" s="26" t="str">
        <f>IFERROR(__xludf.DUMMYFUNCTION("""COMPUTED_VALUE"""),"Add comment attachment info to the touchpoint report builder")</f>
        <v>Add comment attachment info to the touchpoint report builder</v>
      </c>
      <c r="D186" s="28">
        <f>IFERROR(__xludf.DUMMYFUNCTION("""COMPUTED_VALUE"""),1.8)</f>
        <v>1.8</v>
      </c>
      <c r="E186" s="29">
        <f>IFERROR(__xludf.DUMMYFUNCTION("""COMPUTED_VALUE"""),43908.0)</f>
        <v>43908</v>
      </c>
      <c r="F186" s="26" t="str">
        <f>IFERROR(__xludf.DUMMYFUNCTION("""COMPUTED_VALUE"""),"557058:3124a1f0-e92a-405c-93f2-c1d4e621bc77")</f>
        <v>557058:3124a1f0-e92a-405c-93f2-c1d4e621bc77</v>
      </c>
      <c r="G186" s="26" t="str">
        <f>IFERROR(__xludf.DUMMYFUNCTION("""COMPUTED_VALUE"""),"Trevor Coehoorn")</f>
        <v>Trevor Coehoorn</v>
      </c>
      <c r="H186" s="26" t="b">
        <v>0</v>
      </c>
    </row>
    <row r="187" hidden="1">
      <c r="A187" s="26" t="str">
        <f>VLOOKUP(B187,'2020 SRED (JIRA) - Issues and l'!$B:$C,2,FALSE)</f>
        <v>portal-builder-SRED</v>
      </c>
      <c r="B187" s="27" t="str">
        <f>IFERROR(__xludf.DUMMYFUNCTION("""COMPUTED_VALUE"""),"ITP-1363")</f>
        <v>ITP-1363</v>
      </c>
      <c r="C187" s="26" t="str">
        <f>IFERROR(__xludf.DUMMYFUNCTION("""COMPUTED_VALUE"""),"Validate webform digital signatures")</f>
        <v>Validate webform digital signatures</v>
      </c>
      <c r="D187" s="28">
        <f>IFERROR(__xludf.DUMMYFUNCTION("""COMPUTED_VALUE"""),3.26666666666666)</f>
        <v>3.266666667</v>
      </c>
      <c r="E187" s="29">
        <f>IFERROR(__xludf.DUMMYFUNCTION("""COMPUTED_VALUE"""),43908.0)</f>
        <v>43908</v>
      </c>
      <c r="F187" s="26" t="str">
        <f>IFERROR(__xludf.DUMMYFUNCTION("""COMPUTED_VALUE"""),"557058:3124a1f0-e92a-405c-93f2-c1d4e621bc77")</f>
        <v>557058:3124a1f0-e92a-405c-93f2-c1d4e621bc77</v>
      </c>
      <c r="G187" s="26" t="str">
        <f>IFERROR(__xludf.DUMMYFUNCTION("""COMPUTED_VALUE"""),"Trevor Coehoorn")</f>
        <v>Trevor Coehoorn</v>
      </c>
      <c r="H187" s="26" t="b">
        <v>0</v>
      </c>
    </row>
    <row r="188" hidden="1">
      <c r="A188" s="26" t="str">
        <f>VLOOKUP(B188,'2020 SRED (JIRA) - Issues and l'!$B:$C,2,FALSE)</f>
        <v>portal-builder-SRED</v>
      </c>
      <c r="B188" s="27" t="str">
        <f>IFERROR(__xludf.DUMMYFUNCTION("""COMPUTED_VALUE"""),"ITP-1807")</f>
        <v>ITP-1807</v>
      </c>
      <c r="C188" s="26" t="str">
        <f>IFERROR(__xludf.DUMMYFUNCTION("""COMPUTED_VALUE"""),"Add comment attachment info to the touchpoint report builder")</f>
        <v>Add comment attachment info to the touchpoint report builder</v>
      </c>
      <c r="D188" s="28">
        <f>IFERROR(__xludf.DUMMYFUNCTION("""COMPUTED_VALUE"""),5.25)</f>
        <v>5.25</v>
      </c>
      <c r="E188" s="29">
        <f>IFERROR(__xludf.DUMMYFUNCTION("""COMPUTED_VALUE"""),43909.0)</f>
        <v>43909</v>
      </c>
      <c r="F188" s="26" t="str">
        <f>IFERROR(__xludf.DUMMYFUNCTION("""COMPUTED_VALUE"""),"557058:3124a1f0-e92a-405c-93f2-c1d4e621bc77")</f>
        <v>557058:3124a1f0-e92a-405c-93f2-c1d4e621bc77</v>
      </c>
      <c r="G188" s="26" t="str">
        <f>IFERROR(__xludf.DUMMYFUNCTION("""COMPUTED_VALUE"""),"Trevor Coehoorn")</f>
        <v>Trevor Coehoorn</v>
      </c>
      <c r="H188" s="26" t="b">
        <v>0</v>
      </c>
    </row>
    <row r="189" hidden="1">
      <c r="A189" s="26" t="str">
        <f>VLOOKUP(B189,'2020 SRED (JIRA) - Issues and l'!$B:$C,2,FALSE)</f>
        <v>portal-builder-SRED</v>
      </c>
      <c r="B189" s="27" t="str">
        <f>IFERROR(__xludf.DUMMYFUNCTION("""COMPUTED_VALUE"""),"ITP-1364")</f>
        <v>ITP-1364</v>
      </c>
      <c r="C189" s="26" t="str">
        <f>IFERROR(__xludf.DUMMYFUNCTION("""COMPUTED_VALUE"""),"Add user to a group when a webform is submitted")</f>
        <v>Add user to a group when a webform is submitted</v>
      </c>
      <c r="D189" s="28">
        <f>IFERROR(__xludf.DUMMYFUNCTION("""COMPUTED_VALUE"""),0.733333333333333)</f>
        <v>0.7333333333</v>
      </c>
      <c r="E189" s="29">
        <f>IFERROR(__xludf.DUMMYFUNCTION("""COMPUTED_VALUE"""),43909.0)</f>
        <v>43909</v>
      </c>
      <c r="F189" s="26" t="str">
        <f>IFERROR(__xludf.DUMMYFUNCTION("""COMPUTED_VALUE"""),"557058:3124a1f0-e92a-405c-93f2-c1d4e621bc77")</f>
        <v>557058:3124a1f0-e92a-405c-93f2-c1d4e621bc77</v>
      </c>
      <c r="G189" s="26" t="str">
        <f>IFERROR(__xludf.DUMMYFUNCTION("""COMPUTED_VALUE"""),"Trevor Coehoorn")</f>
        <v>Trevor Coehoorn</v>
      </c>
      <c r="H189" s="26" t="b">
        <v>0</v>
      </c>
    </row>
    <row r="190" hidden="1">
      <c r="A190" s="26" t="str">
        <f>VLOOKUP(B190,'2020 SRED (JIRA) - Issues and l'!$B:$C,2,FALSE)</f>
        <v>portal-builder-SRED</v>
      </c>
      <c r="B190" s="27" t="str">
        <f>IFERROR(__xludf.DUMMYFUNCTION("""COMPUTED_VALUE"""),"ITP-1807")</f>
        <v>ITP-1807</v>
      </c>
      <c r="C190" s="26" t="str">
        <f>IFERROR(__xludf.DUMMYFUNCTION("""COMPUTED_VALUE"""),"Add comment attachment info to the touchpoint report builder")</f>
        <v>Add comment attachment info to the touchpoint report builder</v>
      </c>
      <c r="D190" s="28">
        <f>IFERROR(__xludf.DUMMYFUNCTION("""COMPUTED_VALUE"""),0.3)</f>
        <v>0.3</v>
      </c>
      <c r="E190" s="29">
        <f>IFERROR(__xludf.DUMMYFUNCTION("""COMPUTED_VALUE"""),43909.0)</f>
        <v>43909</v>
      </c>
      <c r="F190" s="26" t="str">
        <f>IFERROR(__xludf.DUMMYFUNCTION("""COMPUTED_VALUE"""),"557058:3124a1f0-e92a-405c-93f2-c1d4e621bc77")</f>
        <v>557058:3124a1f0-e92a-405c-93f2-c1d4e621bc77</v>
      </c>
      <c r="G190" s="26" t="str">
        <f>IFERROR(__xludf.DUMMYFUNCTION("""COMPUTED_VALUE"""),"Trevor Coehoorn")</f>
        <v>Trevor Coehoorn</v>
      </c>
      <c r="H190" s="26" t="b">
        <v>0</v>
      </c>
    </row>
    <row r="191" hidden="1">
      <c r="A191" s="26" t="str">
        <f>VLOOKUP(B191,'2020 SRED (JIRA) - Issues and l'!$B:$C,2,FALSE)</f>
        <v>portal-builder-SRED</v>
      </c>
      <c r="B191" s="27" t="str">
        <f>IFERROR(__xludf.DUMMYFUNCTION("""COMPUTED_VALUE"""),"ITP-1363")</f>
        <v>ITP-1363</v>
      </c>
      <c r="C191" s="26" t="str">
        <f>IFERROR(__xludf.DUMMYFUNCTION("""COMPUTED_VALUE"""),"Validate webform digital signatures")</f>
        <v>Validate webform digital signatures</v>
      </c>
      <c r="D191" s="28">
        <f>IFERROR(__xludf.DUMMYFUNCTION("""COMPUTED_VALUE"""),0.816666666666666)</f>
        <v>0.8166666667</v>
      </c>
      <c r="E191" s="29">
        <f>IFERROR(__xludf.DUMMYFUNCTION("""COMPUTED_VALUE"""),43909.0)</f>
        <v>43909</v>
      </c>
      <c r="F191" s="26" t="str">
        <f>IFERROR(__xludf.DUMMYFUNCTION("""COMPUTED_VALUE"""),"557058:3124a1f0-e92a-405c-93f2-c1d4e621bc77")</f>
        <v>557058:3124a1f0-e92a-405c-93f2-c1d4e621bc77</v>
      </c>
      <c r="G191" s="26" t="str">
        <f>IFERROR(__xludf.DUMMYFUNCTION("""COMPUTED_VALUE"""),"Trevor Coehoorn")</f>
        <v>Trevor Coehoorn</v>
      </c>
      <c r="H191" s="26" t="b">
        <v>0</v>
      </c>
    </row>
    <row r="192" hidden="1">
      <c r="A192" s="26" t="str">
        <f>VLOOKUP(B192,'2020 SRED (JIRA) - Issues and l'!$B:$C,2,FALSE)</f>
        <v>portal-builder-SRED</v>
      </c>
      <c r="B192" s="27" t="str">
        <f>IFERROR(__xludf.DUMMYFUNCTION("""COMPUTED_VALUE"""),"ITP-1797")</f>
        <v>ITP-1797</v>
      </c>
      <c r="C192" s="26" t="str">
        <f>IFERROR(__xludf.DUMMYFUNCTION("""COMPUTED_VALUE"""),"Automate customized Friday digest")</f>
        <v>Automate customized Friday digest</v>
      </c>
      <c r="D192" s="28">
        <f>IFERROR(__xludf.DUMMYFUNCTION("""COMPUTED_VALUE"""),4.9)</f>
        <v>4.9</v>
      </c>
      <c r="E192" s="29">
        <f>IFERROR(__xludf.DUMMYFUNCTION("""COMPUTED_VALUE"""),43910.0)</f>
        <v>43910</v>
      </c>
      <c r="F192" s="26" t="str">
        <f>IFERROR(__xludf.DUMMYFUNCTION("""COMPUTED_VALUE"""),"557058:3124a1f0-e92a-405c-93f2-c1d4e621bc77")</f>
        <v>557058:3124a1f0-e92a-405c-93f2-c1d4e621bc77</v>
      </c>
      <c r="G192" s="26" t="str">
        <f>IFERROR(__xludf.DUMMYFUNCTION("""COMPUTED_VALUE"""),"Trevor Coehoorn")</f>
        <v>Trevor Coehoorn</v>
      </c>
      <c r="H192" s="26" t="b">
        <v>0</v>
      </c>
    </row>
    <row r="193" hidden="1">
      <c r="A193" s="26" t="str">
        <f>VLOOKUP(B193,'2020 SRED (JIRA) - Issues and l'!$B:$C,2,FALSE)</f>
        <v>portal-builder</v>
      </c>
      <c r="B193" s="27" t="str">
        <f>IFERROR(__xludf.DUMMYFUNCTION("""COMPUTED_VALUE"""),"IV2-31")</f>
        <v>IV2-31</v>
      </c>
      <c r="C193" s="26" t="str">
        <f>IFERROR(__xludf.DUMMYFUNCTION("""COMPUTED_VALUE"""),"V2 Status Meetings")</f>
        <v>V2 Status Meetings</v>
      </c>
      <c r="D193" s="28">
        <f>IFERROR(__xludf.DUMMYFUNCTION("""COMPUTED_VALUE"""),0.25)</f>
        <v>0.25</v>
      </c>
      <c r="E193" s="29">
        <f>IFERROR(__xludf.DUMMYFUNCTION("""COMPUTED_VALUE"""),43913.0)</f>
        <v>43913</v>
      </c>
      <c r="F193" s="26" t="str">
        <f>IFERROR(__xludf.DUMMYFUNCTION("""COMPUTED_VALUE"""),"557058:3124a1f0-e92a-405c-93f2-c1d4e621bc77")</f>
        <v>557058:3124a1f0-e92a-405c-93f2-c1d4e621bc77</v>
      </c>
      <c r="G193" s="26" t="str">
        <f>IFERROR(__xludf.DUMMYFUNCTION("""COMPUTED_VALUE"""),"Trevor Coehoorn")</f>
        <v>Trevor Coehoorn</v>
      </c>
      <c r="H193" s="26" t="b">
        <v>0</v>
      </c>
    </row>
    <row r="194" hidden="1">
      <c r="A194" s="26" t="str">
        <f>VLOOKUP(B194,'2020 SRED (JIRA) - Issues and l'!$B:$C,2,FALSE)</f>
        <v>portal-builder-SRED</v>
      </c>
      <c r="B194" s="27" t="str">
        <f>IFERROR(__xludf.DUMMYFUNCTION("""COMPUTED_VALUE"""),"ITP-1797")</f>
        <v>ITP-1797</v>
      </c>
      <c r="C194" s="26" t="str">
        <f>IFERROR(__xludf.DUMMYFUNCTION("""COMPUTED_VALUE"""),"Automate customized Friday digest")</f>
        <v>Automate customized Friday digest</v>
      </c>
      <c r="D194" s="28">
        <f>IFERROR(__xludf.DUMMYFUNCTION("""COMPUTED_VALUE"""),6.56666666666666)</f>
        <v>6.566666667</v>
      </c>
      <c r="E194" s="29">
        <f>IFERROR(__xludf.DUMMYFUNCTION("""COMPUTED_VALUE"""),43913.0)</f>
        <v>43913</v>
      </c>
      <c r="F194" s="26" t="str">
        <f>IFERROR(__xludf.DUMMYFUNCTION("""COMPUTED_VALUE"""),"557058:3124a1f0-e92a-405c-93f2-c1d4e621bc77")</f>
        <v>557058:3124a1f0-e92a-405c-93f2-c1d4e621bc77</v>
      </c>
      <c r="G194" s="26" t="str">
        <f>IFERROR(__xludf.DUMMYFUNCTION("""COMPUTED_VALUE"""),"Trevor Coehoorn")</f>
        <v>Trevor Coehoorn</v>
      </c>
      <c r="H194" s="26" t="b">
        <v>0</v>
      </c>
    </row>
    <row r="195" hidden="1">
      <c r="A195" s="26" t="str">
        <f>VLOOKUP(B195,'2020 SRED (JIRA) - Issues and l'!$B:$C,2,FALSE)</f>
        <v>portal-builder-SRED</v>
      </c>
      <c r="B195" s="27" t="str">
        <f>IFERROR(__xludf.DUMMYFUNCTION("""COMPUTED_VALUE"""),"IV2-180")</f>
        <v>IV2-180</v>
      </c>
      <c r="C195" s="26" t="str">
        <f>IFERROR(__xludf.DUMMYFUNCTION("""COMPUTED_VALUE"""),"Remove all comments and webform submissions in a touchpoint")</f>
        <v>Remove all comments and webform submissions in a touchpoint</v>
      </c>
      <c r="D195" s="28">
        <f>IFERROR(__xludf.DUMMYFUNCTION("""COMPUTED_VALUE"""),0.1)</f>
        <v>0.1</v>
      </c>
      <c r="E195" s="29">
        <f>IFERROR(__xludf.DUMMYFUNCTION("""COMPUTED_VALUE"""),43913.0)</f>
        <v>43913</v>
      </c>
      <c r="F195" s="26" t="str">
        <f>IFERROR(__xludf.DUMMYFUNCTION("""COMPUTED_VALUE"""),"557058:3124a1f0-e92a-405c-93f2-c1d4e621bc77")</f>
        <v>557058:3124a1f0-e92a-405c-93f2-c1d4e621bc77</v>
      </c>
      <c r="G195" s="26" t="str">
        <f>IFERROR(__xludf.DUMMYFUNCTION("""COMPUTED_VALUE"""),"Trevor Coehoorn")</f>
        <v>Trevor Coehoorn</v>
      </c>
      <c r="H195" s="26" t="b">
        <v>0</v>
      </c>
    </row>
    <row r="196" hidden="1">
      <c r="A196" s="26" t="str">
        <f>VLOOKUP(B196,'2020 SRED (JIRA) - Issues and l'!$B:$C,2,FALSE)</f>
        <v>portal-builder-SRED</v>
      </c>
      <c r="B196" s="27" t="str">
        <f>IFERROR(__xludf.DUMMYFUNCTION("""COMPUTED_VALUE"""),"ITP-1797")</f>
        <v>ITP-1797</v>
      </c>
      <c r="C196" s="26" t="str">
        <f>IFERROR(__xludf.DUMMYFUNCTION("""COMPUTED_VALUE"""),"Automate customized Friday digest")</f>
        <v>Automate customized Friday digest</v>
      </c>
      <c r="D196" s="28">
        <f>IFERROR(__xludf.DUMMYFUNCTION("""COMPUTED_VALUE"""),7.01666666666666)</f>
        <v>7.016666667</v>
      </c>
      <c r="E196" s="29">
        <f>IFERROR(__xludf.DUMMYFUNCTION("""COMPUTED_VALUE"""),43914.0)</f>
        <v>43914</v>
      </c>
      <c r="F196" s="26" t="str">
        <f>IFERROR(__xludf.DUMMYFUNCTION("""COMPUTED_VALUE"""),"557058:3124a1f0-e92a-405c-93f2-c1d4e621bc77")</f>
        <v>557058:3124a1f0-e92a-405c-93f2-c1d4e621bc77</v>
      </c>
      <c r="G196" s="26" t="str">
        <f>IFERROR(__xludf.DUMMYFUNCTION("""COMPUTED_VALUE"""),"Trevor Coehoorn")</f>
        <v>Trevor Coehoorn</v>
      </c>
      <c r="H196" s="26" t="b">
        <v>0</v>
      </c>
    </row>
    <row r="197" hidden="1">
      <c r="A197" s="26" t="str">
        <f>VLOOKUP(B197,'2020 SRED (JIRA) - Issues and l'!$B:$C,2,FALSE)</f>
        <v>portal-builder-SRED</v>
      </c>
      <c r="B197" s="27" t="str">
        <f>IFERROR(__xludf.DUMMYFUNCTION("""COMPUTED_VALUE"""),"ITP-1807")</f>
        <v>ITP-1807</v>
      </c>
      <c r="C197" s="26" t="str">
        <f>IFERROR(__xludf.DUMMYFUNCTION("""COMPUTED_VALUE"""),"Add comment attachment info to the touchpoint report builder")</f>
        <v>Add comment attachment info to the touchpoint report builder</v>
      </c>
      <c r="D197" s="28">
        <f>IFERROR(__xludf.DUMMYFUNCTION("""COMPUTED_VALUE"""),0.666666666666666)</f>
        <v>0.6666666667</v>
      </c>
      <c r="E197" s="29">
        <f>IFERROR(__xludf.DUMMYFUNCTION("""COMPUTED_VALUE"""),43914.0)</f>
        <v>43914</v>
      </c>
      <c r="F197" s="26" t="str">
        <f>IFERROR(__xludf.DUMMYFUNCTION("""COMPUTED_VALUE"""),"557058:73c9cac1-5a92-492c-86e8-838810ee0dde")</f>
        <v>557058:73c9cac1-5a92-492c-86e8-838810ee0dde</v>
      </c>
      <c r="G197" s="26" t="str">
        <f>IFERROR(__xludf.DUMMYFUNCTION("""COMPUTED_VALUE"""),"Dan Wells")</f>
        <v>Dan Wells</v>
      </c>
      <c r="H197" s="26" t="b">
        <v>0</v>
      </c>
    </row>
    <row r="198" hidden="1">
      <c r="A198" s="26" t="str">
        <f>VLOOKUP(B198,'2020 SRED (JIRA) - Issues and l'!$B:$C,2,FALSE)</f>
        <v>portal-builder</v>
      </c>
      <c r="B198" s="27" t="str">
        <f>IFERROR(__xludf.DUMMYFUNCTION("""COMPUTED_VALUE"""),"IV2-158")</f>
        <v>IV2-158</v>
      </c>
      <c r="C198" s="26" t="str">
        <f>IFERROR(__xludf.DUMMYFUNCTION("""COMPUTED_VALUE"""),"UI/Technical Design")</f>
        <v>UI/Technical Design</v>
      </c>
      <c r="D198" s="28">
        <f>IFERROR(__xludf.DUMMYFUNCTION("""COMPUTED_VALUE"""),1.0)</f>
        <v>1</v>
      </c>
      <c r="E198" s="29">
        <f>IFERROR(__xludf.DUMMYFUNCTION("""COMPUTED_VALUE"""),43914.0)</f>
        <v>43914</v>
      </c>
      <c r="F198" s="26" t="str">
        <f>IFERROR(__xludf.DUMMYFUNCTION("""COMPUTED_VALUE"""),"557058:f55c62b5-dc7e-41e5-b0f8-231ca9f23470")</f>
        <v>557058:f55c62b5-dc7e-41e5-b0f8-231ca9f23470</v>
      </c>
      <c r="G198" s="26" t="str">
        <f>IFERROR(__xludf.DUMMYFUNCTION("""COMPUTED_VALUE"""),"Holly Lam")</f>
        <v>Holly Lam</v>
      </c>
      <c r="H198" s="26" t="b">
        <v>0</v>
      </c>
    </row>
    <row r="199" hidden="1">
      <c r="A199" s="26" t="str">
        <f>VLOOKUP(B199,'2020 SRED (JIRA) - Issues and l'!$B:$C,2,FALSE)</f>
        <v>portal-builder-SRED</v>
      </c>
      <c r="B199" s="27" t="str">
        <f>IFERROR(__xludf.DUMMYFUNCTION("""COMPUTED_VALUE"""),"ITP-1797")</f>
        <v>ITP-1797</v>
      </c>
      <c r="C199" s="26" t="str">
        <f>IFERROR(__xludf.DUMMYFUNCTION("""COMPUTED_VALUE"""),"Automate customized Friday digest")</f>
        <v>Automate customized Friday digest</v>
      </c>
      <c r="D199" s="28">
        <f>IFERROR(__xludf.DUMMYFUNCTION("""COMPUTED_VALUE"""),6.45)</f>
        <v>6.45</v>
      </c>
      <c r="E199" s="29">
        <f>IFERROR(__xludf.DUMMYFUNCTION("""COMPUTED_VALUE"""),43915.0)</f>
        <v>43915</v>
      </c>
      <c r="F199" s="26" t="str">
        <f>IFERROR(__xludf.DUMMYFUNCTION("""COMPUTED_VALUE"""),"557058:3124a1f0-e92a-405c-93f2-c1d4e621bc77")</f>
        <v>557058:3124a1f0-e92a-405c-93f2-c1d4e621bc77</v>
      </c>
      <c r="G199" s="26" t="str">
        <f>IFERROR(__xludf.DUMMYFUNCTION("""COMPUTED_VALUE"""),"Trevor Coehoorn")</f>
        <v>Trevor Coehoorn</v>
      </c>
      <c r="H199" s="26" t="b">
        <v>0</v>
      </c>
    </row>
    <row r="200" hidden="1">
      <c r="A200" s="26" t="str">
        <f>VLOOKUP(B200,'2020 SRED (JIRA) - Issues and l'!$B:$C,2,FALSE)</f>
        <v>portal-builder-SRED</v>
      </c>
      <c r="B200" s="27" t="str">
        <f>IFERROR(__xludf.DUMMYFUNCTION("""COMPUTED_VALUE"""),"ITP-1797")</f>
        <v>ITP-1797</v>
      </c>
      <c r="C200" s="26" t="str">
        <f>IFERROR(__xludf.DUMMYFUNCTION("""COMPUTED_VALUE"""),"Automate customized Friday digest")</f>
        <v>Automate customized Friday digest</v>
      </c>
      <c r="D200" s="28">
        <f>IFERROR(__xludf.DUMMYFUNCTION("""COMPUTED_VALUE"""),7.61666666666666)</f>
        <v>7.616666667</v>
      </c>
      <c r="E200" s="29">
        <f>IFERROR(__xludf.DUMMYFUNCTION("""COMPUTED_VALUE"""),43916.0)</f>
        <v>43916</v>
      </c>
      <c r="F200" s="26" t="str">
        <f>IFERROR(__xludf.DUMMYFUNCTION("""COMPUTED_VALUE"""),"557058:3124a1f0-e92a-405c-93f2-c1d4e621bc77")</f>
        <v>557058:3124a1f0-e92a-405c-93f2-c1d4e621bc77</v>
      </c>
      <c r="G200" s="26" t="str">
        <f>IFERROR(__xludf.DUMMYFUNCTION("""COMPUTED_VALUE"""),"Trevor Coehoorn")</f>
        <v>Trevor Coehoorn</v>
      </c>
      <c r="H200" s="26" t="b">
        <v>0</v>
      </c>
    </row>
    <row r="201" hidden="1">
      <c r="A201" s="26" t="str">
        <f>VLOOKUP(B201,'2020 SRED (JIRA) - Issues and l'!$B:$C,2,FALSE)</f>
        <v>portal-builder-SRED</v>
      </c>
      <c r="B201" s="27" t="str">
        <f>IFERROR(__xludf.DUMMYFUNCTION("""COMPUTED_VALUE"""),"ITP-1797")</f>
        <v>ITP-1797</v>
      </c>
      <c r="C201" s="26" t="str">
        <f>IFERROR(__xludf.DUMMYFUNCTION("""COMPUTED_VALUE"""),"Automate customized Friday digest")</f>
        <v>Automate customized Friday digest</v>
      </c>
      <c r="D201" s="28">
        <f>IFERROR(__xludf.DUMMYFUNCTION("""COMPUTED_VALUE"""),6.3)</f>
        <v>6.3</v>
      </c>
      <c r="E201" s="29">
        <f>IFERROR(__xludf.DUMMYFUNCTION("""COMPUTED_VALUE"""),43917.0)</f>
        <v>43917</v>
      </c>
      <c r="F201" s="26" t="str">
        <f>IFERROR(__xludf.DUMMYFUNCTION("""COMPUTED_VALUE"""),"557058:3124a1f0-e92a-405c-93f2-c1d4e621bc77")</f>
        <v>557058:3124a1f0-e92a-405c-93f2-c1d4e621bc77</v>
      </c>
      <c r="G201" s="26" t="str">
        <f>IFERROR(__xludf.DUMMYFUNCTION("""COMPUTED_VALUE"""),"Trevor Coehoorn")</f>
        <v>Trevor Coehoorn</v>
      </c>
      <c r="H201" s="26" t="b">
        <v>0</v>
      </c>
    </row>
    <row r="202" hidden="1">
      <c r="A202" s="26" t="str">
        <f>VLOOKUP(B202,'2020 SRED (JIRA) - Issues and l'!$B:$C,2,FALSE)</f>
        <v>portal-builder-SRED</v>
      </c>
      <c r="B202" s="27" t="str">
        <f>IFERROR(__xludf.DUMMYFUNCTION("""COMPUTED_VALUE"""),"ITP-1807")</f>
        <v>ITP-1807</v>
      </c>
      <c r="C202" s="26" t="str">
        <f>IFERROR(__xludf.DUMMYFUNCTION("""COMPUTED_VALUE"""),"Add comment attachment info to the touchpoint report builder")</f>
        <v>Add comment attachment info to the touchpoint report builder</v>
      </c>
      <c r="D202" s="28">
        <f>IFERROR(__xludf.DUMMYFUNCTION("""COMPUTED_VALUE"""),0.25)</f>
        <v>0.25</v>
      </c>
      <c r="E202" s="29">
        <f>IFERROR(__xludf.DUMMYFUNCTION("""COMPUTED_VALUE"""),43917.0)</f>
        <v>43917</v>
      </c>
      <c r="F202" s="26" t="str">
        <f>IFERROR(__xludf.DUMMYFUNCTION("""COMPUTED_VALUE"""),"557058:3124a1f0-e92a-405c-93f2-c1d4e621bc77")</f>
        <v>557058:3124a1f0-e92a-405c-93f2-c1d4e621bc77</v>
      </c>
      <c r="G202" s="26" t="str">
        <f>IFERROR(__xludf.DUMMYFUNCTION("""COMPUTED_VALUE"""),"Trevor Coehoorn")</f>
        <v>Trevor Coehoorn</v>
      </c>
      <c r="H202" s="26" t="b">
        <v>0</v>
      </c>
    </row>
    <row r="203" hidden="1">
      <c r="A203" s="26" t="str">
        <f>VLOOKUP(B203,'2020 SRED (JIRA) - Issues and l'!$B:$C,2,FALSE)</f>
        <v>portal-builder</v>
      </c>
      <c r="B203" s="27" t="str">
        <f>IFERROR(__xludf.DUMMYFUNCTION("""COMPUTED_VALUE"""),"IV2-158")</f>
        <v>IV2-158</v>
      </c>
      <c r="C203" s="26" t="str">
        <f>IFERROR(__xludf.DUMMYFUNCTION("""COMPUTED_VALUE"""),"UI/Technical Design")</f>
        <v>UI/Technical Design</v>
      </c>
      <c r="D203" s="28">
        <f>IFERROR(__xludf.DUMMYFUNCTION("""COMPUTED_VALUE"""),1.75)</f>
        <v>1.75</v>
      </c>
      <c r="E203" s="29">
        <f>IFERROR(__xludf.DUMMYFUNCTION("""COMPUTED_VALUE"""),43917.0)</f>
        <v>43917</v>
      </c>
      <c r="F203" s="26" t="str">
        <f>IFERROR(__xludf.DUMMYFUNCTION("""COMPUTED_VALUE"""),"557058:f55c62b5-dc7e-41e5-b0f8-231ca9f23470")</f>
        <v>557058:f55c62b5-dc7e-41e5-b0f8-231ca9f23470</v>
      </c>
      <c r="G203" s="26" t="str">
        <f>IFERROR(__xludf.DUMMYFUNCTION("""COMPUTED_VALUE"""),"Holly Lam")</f>
        <v>Holly Lam</v>
      </c>
      <c r="H203" s="26" t="b">
        <v>0</v>
      </c>
    </row>
    <row r="204" hidden="1">
      <c r="A204" s="26" t="str">
        <f>VLOOKUP(B204,'2020 SRED (JIRA) - Issues and l'!$B:$C,2,FALSE)</f>
        <v>portal-builder-SRED</v>
      </c>
      <c r="B204" s="27" t="str">
        <f>IFERROR(__xludf.DUMMYFUNCTION("""COMPUTED_VALUE"""),"ITP-1819")</f>
        <v>ITP-1819</v>
      </c>
      <c r="C204" s="26" t="str">
        <f>IFERROR(__xludf.DUMMYFUNCTION("""COMPUTED_VALUE"""),"Set up one-time login password creation process")</f>
        <v>Set up one-time login password creation process</v>
      </c>
      <c r="D204" s="28">
        <f>IFERROR(__xludf.DUMMYFUNCTION("""COMPUTED_VALUE"""),2.36666666666666)</f>
        <v>2.366666667</v>
      </c>
      <c r="E204" s="29">
        <f>IFERROR(__xludf.DUMMYFUNCTION("""COMPUTED_VALUE"""),43920.0)</f>
        <v>43920</v>
      </c>
      <c r="F204" s="26" t="str">
        <f>IFERROR(__xludf.DUMMYFUNCTION("""COMPUTED_VALUE"""),"557058:3124a1f0-e92a-405c-93f2-c1d4e621bc77")</f>
        <v>557058:3124a1f0-e92a-405c-93f2-c1d4e621bc77</v>
      </c>
      <c r="G204" s="26" t="str">
        <f>IFERROR(__xludf.DUMMYFUNCTION("""COMPUTED_VALUE"""),"Trevor Coehoorn")</f>
        <v>Trevor Coehoorn</v>
      </c>
      <c r="H204" s="26" t="b">
        <v>0</v>
      </c>
    </row>
    <row r="205" hidden="1">
      <c r="A205" s="26" t="str">
        <f>VLOOKUP(B205,'2020 SRED (JIRA) - Issues and l'!$B:$C,2,FALSE)</f>
        <v>portal-builder-SRED</v>
      </c>
      <c r="B205" s="27" t="str">
        <f>IFERROR(__xludf.DUMMYFUNCTION("""COMPUTED_VALUE"""),"ITP-1797")</f>
        <v>ITP-1797</v>
      </c>
      <c r="C205" s="26" t="str">
        <f>IFERROR(__xludf.DUMMYFUNCTION("""COMPUTED_VALUE"""),"Automate customized Friday digest")</f>
        <v>Automate customized Friday digest</v>
      </c>
      <c r="D205" s="28">
        <f>IFERROR(__xludf.DUMMYFUNCTION("""COMPUTED_VALUE"""),1.41666666666666)</f>
        <v>1.416666667</v>
      </c>
      <c r="E205" s="29">
        <f>IFERROR(__xludf.DUMMYFUNCTION("""COMPUTED_VALUE"""),43920.0)</f>
        <v>43920</v>
      </c>
      <c r="F205" s="26" t="str">
        <f>IFERROR(__xludf.DUMMYFUNCTION("""COMPUTED_VALUE"""),"557058:3124a1f0-e92a-405c-93f2-c1d4e621bc77")</f>
        <v>557058:3124a1f0-e92a-405c-93f2-c1d4e621bc77</v>
      </c>
      <c r="G205" s="26" t="str">
        <f>IFERROR(__xludf.DUMMYFUNCTION("""COMPUTED_VALUE"""),"Trevor Coehoorn")</f>
        <v>Trevor Coehoorn</v>
      </c>
      <c r="H205" s="26" t="b">
        <v>0</v>
      </c>
    </row>
    <row r="206" hidden="1">
      <c r="A206" s="26" t="str">
        <f>VLOOKUP(B206,'2020 SRED (JIRA) - Issues and l'!$B:$C,2,FALSE)</f>
        <v>portal-builder</v>
      </c>
      <c r="B206" s="27" t="str">
        <f>IFERROR(__xludf.DUMMYFUNCTION("""COMPUTED_VALUE"""),"IV2-31")</f>
        <v>IV2-31</v>
      </c>
      <c r="C206" s="26" t="str">
        <f>IFERROR(__xludf.DUMMYFUNCTION("""COMPUTED_VALUE"""),"V2 Status Meetings")</f>
        <v>V2 Status Meetings</v>
      </c>
      <c r="D206" s="28">
        <f>IFERROR(__xludf.DUMMYFUNCTION("""COMPUTED_VALUE"""),0.216666666666666)</f>
        <v>0.2166666667</v>
      </c>
      <c r="E206" s="29">
        <f>IFERROR(__xludf.DUMMYFUNCTION("""COMPUTED_VALUE"""),43920.0)</f>
        <v>43920</v>
      </c>
      <c r="F206" s="26" t="str">
        <f>IFERROR(__xludf.DUMMYFUNCTION("""COMPUTED_VALUE"""),"557058:3124a1f0-e92a-405c-93f2-c1d4e621bc77")</f>
        <v>557058:3124a1f0-e92a-405c-93f2-c1d4e621bc77</v>
      </c>
      <c r="G206" s="26" t="str">
        <f>IFERROR(__xludf.DUMMYFUNCTION("""COMPUTED_VALUE"""),"Trevor Coehoorn")</f>
        <v>Trevor Coehoorn</v>
      </c>
      <c r="H206" s="26" t="b">
        <v>0</v>
      </c>
    </row>
    <row r="207" hidden="1">
      <c r="A207" s="26" t="str">
        <f>VLOOKUP(B207,'2020 SRED (JIRA) - Issues and l'!$B:$C,2,FALSE)</f>
        <v>portal-builder-SRED</v>
      </c>
      <c r="B207" s="27" t="str">
        <f>IFERROR(__xludf.DUMMYFUNCTION("""COMPUTED_VALUE"""),"ITP-1807")</f>
        <v>ITP-1807</v>
      </c>
      <c r="C207" s="26" t="str">
        <f>IFERROR(__xludf.DUMMYFUNCTION("""COMPUTED_VALUE"""),"Add comment attachment info to the touchpoint report builder")</f>
        <v>Add comment attachment info to the touchpoint report builder</v>
      </c>
      <c r="D207" s="28">
        <f>IFERROR(__xludf.DUMMYFUNCTION("""COMPUTED_VALUE"""),0.9)</f>
        <v>0.9</v>
      </c>
      <c r="E207" s="29">
        <f>IFERROR(__xludf.DUMMYFUNCTION("""COMPUTED_VALUE"""),43920.0)</f>
        <v>43920</v>
      </c>
      <c r="F207" s="26" t="str">
        <f>IFERROR(__xludf.DUMMYFUNCTION("""COMPUTED_VALUE"""),"557058:3124a1f0-e92a-405c-93f2-c1d4e621bc77")</f>
        <v>557058:3124a1f0-e92a-405c-93f2-c1d4e621bc77</v>
      </c>
      <c r="G207" s="26" t="str">
        <f>IFERROR(__xludf.DUMMYFUNCTION("""COMPUTED_VALUE"""),"Trevor Coehoorn")</f>
        <v>Trevor Coehoorn</v>
      </c>
      <c r="H207" s="26" t="b">
        <v>0</v>
      </c>
    </row>
    <row r="208" hidden="1">
      <c r="A208" s="26" t="str">
        <f>VLOOKUP(B208,'2020 SRED (JIRA) - Issues and l'!$B:$C,2,FALSE)</f>
        <v>portal-builder-SRED</v>
      </c>
      <c r="B208" s="27" t="str">
        <f>IFERROR(__xludf.DUMMYFUNCTION("""COMPUTED_VALUE"""),"ITP-1819")</f>
        <v>ITP-1819</v>
      </c>
      <c r="C208" s="26" t="str">
        <f>IFERROR(__xludf.DUMMYFUNCTION("""COMPUTED_VALUE"""),"Set up one-time login password creation process")</f>
        <v>Set up one-time login password creation process</v>
      </c>
      <c r="D208" s="28">
        <f>IFERROR(__xludf.DUMMYFUNCTION("""COMPUTED_VALUE"""),6.66666666666666)</f>
        <v>6.666666667</v>
      </c>
      <c r="E208" s="29">
        <f>IFERROR(__xludf.DUMMYFUNCTION("""COMPUTED_VALUE"""),43921.0)</f>
        <v>43921</v>
      </c>
      <c r="F208" s="26" t="str">
        <f>IFERROR(__xludf.DUMMYFUNCTION("""COMPUTED_VALUE"""),"557058:3124a1f0-e92a-405c-93f2-c1d4e621bc77")</f>
        <v>557058:3124a1f0-e92a-405c-93f2-c1d4e621bc77</v>
      </c>
      <c r="G208" s="26" t="str">
        <f>IFERROR(__xludf.DUMMYFUNCTION("""COMPUTED_VALUE"""),"Trevor Coehoorn")</f>
        <v>Trevor Coehoorn</v>
      </c>
      <c r="H208" s="26" t="b">
        <v>0</v>
      </c>
    </row>
    <row r="209" hidden="1">
      <c r="A209" s="26" t="str">
        <f>VLOOKUP(B209,'2020 SRED (JIRA) - Issues and l'!$B:$C,2,FALSE)</f>
        <v>portal-builder-SRED</v>
      </c>
      <c r="B209" s="27" t="str">
        <f>IFERROR(__xludf.DUMMYFUNCTION("""COMPUTED_VALUE"""),"ITP-1797")</f>
        <v>ITP-1797</v>
      </c>
      <c r="C209" s="26" t="str">
        <f>IFERROR(__xludf.DUMMYFUNCTION("""COMPUTED_VALUE"""),"Automate customized Friday digest")</f>
        <v>Automate customized Friday digest</v>
      </c>
      <c r="D209" s="28">
        <f>IFERROR(__xludf.DUMMYFUNCTION("""COMPUTED_VALUE"""),0.5)</f>
        <v>0.5</v>
      </c>
      <c r="E209" s="29">
        <f>IFERROR(__xludf.DUMMYFUNCTION("""COMPUTED_VALUE"""),43921.46875)</f>
        <v>43921.46875</v>
      </c>
      <c r="F209" s="26" t="str">
        <f>IFERROR(__xludf.DUMMYFUNCTION("""COMPUTED_VALUE"""),"557058:9827514e-9c5e-4d9d-af37-340b82b8423b")</f>
        <v>557058:9827514e-9c5e-4d9d-af37-340b82b8423b</v>
      </c>
      <c r="G209" s="26" t="str">
        <f>IFERROR(__xludf.DUMMYFUNCTION("""COMPUTED_VALUE"""),"Alyssia Grant")</f>
        <v>Alyssia Grant</v>
      </c>
      <c r="H209" s="26" t="b">
        <v>0</v>
      </c>
    </row>
    <row r="210" hidden="1">
      <c r="A210" s="26" t="str">
        <f>VLOOKUP(B210,'2020 SRED (JIRA) - Issues and l'!$B:$C,2,FALSE)</f>
        <v>portal-builder-SRED</v>
      </c>
      <c r="B210" s="27" t="str">
        <f>IFERROR(__xludf.DUMMYFUNCTION("""COMPUTED_VALUE"""),"IV2-207")</f>
        <v>IV2-207</v>
      </c>
      <c r="C210" s="26" t="str">
        <f>IFERROR(__xludf.DUMMYFUNCTION("""COMPUTED_VALUE"""),"Prevent users from losing changes when they navigate away from pages")</f>
        <v>Prevent users from losing changes when they navigate away from pages</v>
      </c>
      <c r="D210" s="28">
        <f>IFERROR(__xludf.DUMMYFUNCTION("""COMPUTED_VALUE"""),0.883333333333333)</f>
        <v>0.8833333333</v>
      </c>
      <c r="E210" s="29">
        <f>IFERROR(__xludf.DUMMYFUNCTION("""COMPUTED_VALUE"""),43922.0)</f>
        <v>43922</v>
      </c>
      <c r="F210" s="26" t="str">
        <f>IFERROR(__xludf.DUMMYFUNCTION("""COMPUTED_VALUE"""),"557058:3124a1f0-e92a-405c-93f2-c1d4e621bc77")</f>
        <v>557058:3124a1f0-e92a-405c-93f2-c1d4e621bc77</v>
      </c>
      <c r="G210" s="26" t="str">
        <f>IFERROR(__xludf.DUMMYFUNCTION("""COMPUTED_VALUE"""),"Trevor Coehoorn")</f>
        <v>Trevor Coehoorn</v>
      </c>
      <c r="H210" s="26" t="b">
        <v>0</v>
      </c>
    </row>
    <row r="211" hidden="1">
      <c r="A211" s="26" t="str">
        <f>VLOOKUP(B211,'2020 SRED (JIRA) - Issues and l'!$B:$C,2,FALSE)</f>
        <v>portal-builder-SRED</v>
      </c>
      <c r="B211" s="27" t="str">
        <f>IFERROR(__xludf.DUMMYFUNCTION("""COMPUTED_VALUE"""),"IV2-206")</f>
        <v>IV2-206</v>
      </c>
      <c r="C211" s="26" t="str">
        <f>IFERROR(__xludf.DUMMYFUNCTION("""COMPUTED_VALUE"""),"Make it easier to add images to pages and emails in the Portal Builder")</f>
        <v>Make it easier to add images to pages and emails in the Portal Builder</v>
      </c>
      <c r="D211" s="28">
        <f>IFERROR(__xludf.DUMMYFUNCTION("""COMPUTED_VALUE"""),0.933333333333333)</f>
        <v>0.9333333333</v>
      </c>
      <c r="E211" s="29">
        <f>IFERROR(__xludf.DUMMYFUNCTION("""COMPUTED_VALUE"""),43922.0)</f>
        <v>43922</v>
      </c>
      <c r="F211" s="26" t="str">
        <f>IFERROR(__xludf.DUMMYFUNCTION("""COMPUTED_VALUE"""),"557058:3124a1f0-e92a-405c-93f2-c1d4e621bc77")</f>
        <v>557058:3124a1f0-e92a-405c-93f2-c1d4e621bc77</v>
      </c>
      <c r="G211" s="26" t="str">
        <f>IFERROR(__xludf.DUMMYFUNCTION("""COMPUTED_VALUE"""),"Trevor Coehoorn")</f>
        <v>Trevor Coehoorn</v>
      </c>
      <c r="H211" s="26" t="b">
        <v>0</v>
      </c>
    </row>
    <row r="212" hidden="1">
      <c r="A212" s="26" t="str">
        <f>VLOOKUP(B212,'2020 SRED (JIRA) - Issues and l'!$B:$C,2,FALSE)</f>
        <v>portal-builder-SRED</v>
      </c>
      <c r="B212" s="27" t="str">
        <f>IFERROR(__xludf.DUMMYFUNCTION("""COMPUTED_VALUE"""),"ITP-1797")</f>
        <v>ITP-1797</v>
      </c>
      <c r="C212" s="26" t="str">
        <f>IFERROR(__xludf.DUMMYFUNCTION("""COMPUTED_VALUE"""),"Automate customized Friday digest")</f>
        <v>Automate customized Friday digest</v>
      </c>
      <c r="D212" s="28">
        <f>IFERROR(__xludf.DUMMYFUNCTION("""COMPUTED_VALUE"""),0.533333333333333)</f>
        <v>0.5333333333</v>
      </c>
      <c r="E212" s="29">
        <f>IFERROR(__xludf.DUMMYFUNCTION("""COMPUTED_VALUE"""),43922.0)</f>
        <v>43922</v>
      </c>
      <c r="F212" s="26" t="str">
        <f>IFERROR(__xludf.DUMMYFUNCTION("""COMPUTED_VALUE"""),"557058:3124a1f0-e92a-405c-93f2-c1d4e621bc77")</f>
        <v>557058:3124a1f0-e92a-405c-93f2-c1d4e621bc77</v>
      </c>
      <c r="G212" s="26" t="str">
        <f>IFERROR(__xludf.DUMMYFUNCTION("""COMPUTED_VALUE"""),"Trevor Coehoorn")</f>
        <v>Trevor Coehoorn</v>
      </c>
      <c r="H212" s="26" t="b">
        <v>0</v>
      </c>
    </row>
    <row r="213" hidden="1">
      <c r="A213" s="26" t="str">
        <f>VLOOKUP(B213,'2020 SRED (JIRA) - Issues and l'!$B:$C,2,FALSE)</f>
        <v>portal-builder-SRED</v>
      </c>
      <c r="B213" s="27" t="str">
        <f>IFERROR(__xludf.DUMMYFUNCTION("""COMPUTED_VALUE"""),"ITP-1819")</f>
        <v>ITP-1819</v>
      </c>
      <c r="C213" s="26" t="str">
        <f>IFERROR(__xludf.DUMMYFUNCTION("""COMPUTED_VALUE"""),"Set up one-time login password creation process")</f>
        <v>Set up one-time login password creation process</v>
      </c>
      <c r="D213" s="28">
        <f>IFERROR(__xludf.DUMMYFUNCTION("""COMPUTED_VALUE"""),4.35)</f>
        <v>4.35</v>
      </c>
      <c r="E213" s="29">
        <f>IFERROR(__xludf.DUMMYFUNCTION("""COMPUTED_VALUE"""),43922.0)</f>
        <v>43922</v>
      </c>
      <c r="F213" s="26" t="str">
        <f>IFERROR(__xludf.DUMMYFUNCTION("""COMPUTED_VALUE"""),"557058:3124a1f0-e92a-405c-93f2-c1d4e621bc77")</f>
        <v>557058:3124a1f0-e92a-405c-93f2-c1d4e621bc77</v>
      </c>
      <c r="G213" s="26" t="str">
        <f>IFERROR(__xludf.DUMMYFUNCTION("""COMPUTED_VALUE"""),"Trevor Coehoorn")</f>
        <v>Trevor Coehoorn</v>
      </c>
      <c r="H213" s="26" t="b">
        <v>0</v>
      </c>
    </row>
    <row r="214" hidden="1">
      <c r="A214" s="26" t="str">
        <f>VLOOKUP(B214,'2020 SRED (JIRA) - Issues and l'!$B:$C,2,FALSE)</f>
        <v>portal-builder</v>
      </c>
      <c r="B214" s="27" t="str">
        <f>IFERROR(__xludf.DUMMYFUNCTION("""COMPUTED_VALUE"""),"IV2-158")</f>
        <v>IV2-158</v>
      </c>
      <c r="C214" s="26" t="str">
        <f>IFERROR(__xludf.DUMMYFUNCTION("""COMPUTED_VALUE"""),"UI/Technical Design")</f>
        <v>UI/Technical Design</v>
      </c>
      <c r="D214" s="28">
        <f>IFERROR(__xludf.DUMMYFUNCTION("""COMPUTED_VALUE"""),1.0)</f>
        <v>1</v>
      </c>
      <c r="E214" s="29">
        <f>IFERROR(__xludf.DUMMYFUNCTION("""COMPUTED_VALUE"""),43922.0)</f>
        <v>43922</v>
      </c>
      <c r="F214" s="26" t="str">
        <f>IFERROR(__xludf.DUMMYFUNCTION("""COMPUTED_VALUE"""),"557058:f55c62b5-dc7e-41e5-b0f8-231ca9f23470")</f>
        <v>557058:f55c62b5-dc7e-41e5-b0f8-231ca9f23470</v>
      </c>
      <c r="G214" s="26" t="str">
        <f>IFERROR(__xludf.DUMMYFUNCTION("""COMPUTED_VALUE"""),"Holly Lam")</f>
        <v>Holly Lam</v>
      </c>
      <c r="H214" s="26" t="b">
        <v>0</v>
      </c>
    </row>
    <row r="215" hidden="1">
      <c r="A215" s="26" t="str">
        <f>VLOOKUP(B215,'2020 SRED (JIRA) - Issues and l'!$B:$C,2,FALSE)</f>
        <v>portal-builder-SRED</v>
      </c>
      <c r="B215" s="27" t="str">
        <f>IFERROR(__xludf.DUMMYFUNCTION("""COMPUTED_VALUE"""),"ITP-1797")</f>
        <v>ITP-1797</v>
      </c>
      <c r="C215" s="26" t="str">
        <f>IFERROR(__xludf.DUMMYFUNCTION("""COMPUTED_VALUE"""),"Automate customized Friday digest")</f>
        <v>Automate customized Friday digest</v>
      </c>
      <c r="D215" s="28">
        <f>IFERROR(__xludf.DUMMYFUNCTION("""COMPUTED_VALUE"""),0.25)</f>
        <v>0.25</v>
      </c>
      <c r="E215" s="29">
        <f>IFERROR(__xludf.DUMMYFUNCTION("""COMPUTED_VALUE"""),43922.52083333333)</f>
        <v>43922.52083</v>
      </c>
      <c r="F215" s="26" t="str">
        <f>IFERROR(__xludf.DUMMYFUNCTION("""COMPUTED_VALUE"""),"557058:9827514e-9c5e-4d9d-af37-340b82b8423b")</f>
        <v>557058:9827514e-9c5e-4d9d-af37-340b82b8423b</v>
      </c>
      <c r="G215" s="26" t="str">
        <f>IFERROR(__xludf.DUMMYFUNCTION("""COMPUTED_VALUE"""),"Alyssia Grant")</f>
        <v>Alyssia Grant</v>
      </c>
      <c r="H215" s="26" t="b">
        <v>0</v>
      </c>
    </row>
    <row r="216" hidden="1">
      <c r="A216" s="26" t="str">
        <f>VLOOKUP(B216,'2020 SRED (JIRA) - Issues and l'!$B:$C,2,FALSE)</f>
        <v>portal-builder-SRED</v>
      </c>
      <c r="B216" s="27" t="str">
        <f>IFERROR(__xludf.DUMMYFUNCTION("""COMPUTED_VALUE"""),"IV2-208")</f>
        <v>IV2-208</v>
      </c>
      <c r="C216" s="26" t="str">
        <f>IFERROR(__xludf.DUMMYFUNCTION("""COMPUTED_VALUE"""),"Allow users to reorder pages in the Portal Builder")</f>
        <v>Allow users to reorder pages in the Portal Builder</v>
      </c>
      <c r="D216" s="28">
        <f>IFERROR(__xludf.DUMMYFUNCTION("""COMPUTED_VALUE"""),1.25)</f>
        <v>1.25</v>
      </c>
      <c r="E216" s="29">
        <f>IFERROR(__xludf.DUMMYFUNCTION("""COMPUTED_VALUE"""),43923.0)</f>
        <v>43923</v>
      </c>
      <c r="F216" s="26" t="str">
        <f>IFERROR(__xludf.DUMMYFUNCTION("""COMPUTED_VALUE"""),"557058:3124a1f0-e92a-405c-93f2-c1d4e621bc77")</f>
        <v>557058:3124a1f0-e92a-405c-93f2-c1d4e621bc77</v>
      </c>
      <c r="G216" s="26" t="str">
        <f>IFERROR(__xludf.DUMMYFUNCTION("""COMPUTED_VALUE"""),"Trevor Coehoorn")</f>
        <v>Trevor Coehoorn</v>
      </c>
      <c r="H216" s="26" t="b">
        <v>0</v>
      </c>
    </row>
    <row r="217" hidden="1">
      <c r="A217" s="26" t="str">
        <f>VLOOKUP(B217,'2020 SRED (JIRA) - Issues and l'!$B:$C,2,FALSE)</f>
        <v>portal-builder-SRED</v>
      </c>
      <c r="B217" s="27" t="str">
        <f>IFERROR(__xludf.DUMMYFUNCTION("""COMPUTED_VALUE"""),"ITP-1819")</f>
        <v>ITP-1819</v>
      </c>
      <c r="C217" s="26" t="str">
        <f>IFERROR(__xludf.DUMMYFUNCTION("""COMPUTED_VALUE"""),"Set up one-time login password creation process")</f>
        <v>Set up one-time login password creation process</v>
      </c>
      <c r="D217" s="28">
        <f>IFERROR(__xludf.DUMMYFUNCTION("""COMPUTED_VALUE"""),0.416666666666666)</f>
        <v>0.4166666667</v>
      </c>
      <c r="E217" s="29">
        <f>IFERROR(__xludf.DUMMYFUNCTION("""COMPUTED_VALUE"""),43923.0)</f>
        <v>43923</v>
      </c>
      <c r="F217" s="26" t="str">
        <f>IFERROR(__xludf.DUMMYFUNCTION("""COMPUTED_VALUE"""),"557058:3124a1f0-e92a-405c-93f2-c1d4e621bc77")</f>
        <v>557058:3124a1f0-e92a-405c-93f2-c1d4e621bc77</v>
      </c>
      <c r="G217" s="26" t="str">
        <f>IFERROR(__xludf.DUMMYFUNCTION("""COMPUTED_VALUE"""),"Trevor Coehoorn")</f>
        <v>Trevor Coehoorn</v>
      </c>
      <c r="H217" s="26" t="b">
        <v>0</v>
      </c>
    </row>
    <row r="218" hidden="1">
      <c r="A218" s="26" t="str">
        <f>VLOOKUP(B218,'2020 SRED (JIRA) - Issues and l'!$B:$C,2,FALSE)</f>
        <v>portal-builder-SRED</v>
      </c>
      <c r="B218" s="27" t="str">
        <f>IFERROR(__xludf.DUMMYFUNCTION("""COMPUTED_VALUE"""),"IV2-207")</f>
        <v>IV2-207</v>
      </c>
      <c r="C218" s="26" t="str">
        <f>IFERROR(__xludf.DUMMYFUNCTION("""COMPUTED_VALUE"""),"Prevent users from losing changes when they navigate away from pages")</f>
        <v>Prevent users from losing changes when they navigate away from pages</v>
      </c>
      <c r="D218" s="28">
        <f>IFERROR(__xludf.DUMMYFUNCTION("""COMPUTED_VALUE"""),4.2)</f>
        <v>4.2</v>
      </c>
      <c r="E218" s="29">
        <f>IFERROR(__xludf.DUMMYFUNCTION("""COMPUTED_VALUE"""),43923.0)</f>
        <v>43923</v>
      </c>
      <c r="F218" s="26" t="str">
        <f>IFERROR(__xludf.DUMMYFUNCTION("""COMPUTED_VALUE"""),"557058:3124a1f0-e92a-405c-93f2-c1d4e621bc77")</f>
        <v>557058:3124a1f0-e92a-405c-93f2-c1d4e621bc77</v>
      </c>
      <c r="G218" s="26" t="str">
        <f>IFERROR(__xludf.DUMMYFUNCTION("""COMPUTED_VALUE"""),"Trevor Coehoorn")</f>
        <v>Trevor Coehoorn</v>
      </c>
      <c r="H218" s="26" t="b">
        <v>0</v>
      </c>
    </row>
    <row r="219" hidden="1">
      <c r="A219" s="26" t="str">
        <f>VLOOKUP(B219,'2020 SRED (JIRA) - Issues and l'!$B:$C,2,FALSE)</f>
        <v>portal-builder-SRED</v>
      </c>
      <c r="B219" s="27" t="str">
        <f>IFERROR(__xludf.DUMMYFUNCTION("""COMPUTED_VALUE"""),"ITP-1807")</f>
        <v>ITP-1807</v>
      </c>
      <c r="C219" s="26" t="str">
        <f>IFERROR(__xludf.DUMMYFUNCTION("""COMPUTED_VALUE"""),"Add comment attachment info to the touchpoint report builder")</f>
        <v>Add comment attachment info to the touchpoint report builder</v>
      </c>
      <c r="D219" s="28">
        <f>IFERROR(__xludf.DUMMYFUNCTION("""COMPUTED_VALUE"""),0.05)</f>
        <v>0.05</v>
      </c>
      <c r="E219" s="29">
        <f>IFERROR(__xludf.DUMMYFUNCTION("""COMPUTED_VALUE"""),43923.0)</f>
        <v>43923</v>
      </c>
      <c r="F219" s="26" t="str">
        <f>IFERROR(__xludf.DUMMYFUNCTION("""COMPUTED_VALUE"""),"557058:3124a1f0-e92a-405c-93f2-c1d4e621bc77")</f>
        <v>557058:3124a1f0-e92a-405c-93f2-c1d4e621bc77</v>
      </c>
      <c r="G219" s="26" t="str">
        <f>IFERROR(__xludf.DUMMYFUNCTION("""COMPUTED_VALUE"""),"Trevor Coehoorn")</f>
        <v>Trevor Coehoorn</v>
      </c>
      <c r="H219" s="26" t="b">
        <v>0</v>
      </c>
    </row>
    <row r="220" hidden="1">
      <c r="A220" s="26" t="str">
        <f>VLOOKUP(B220,'2020 SRED (JIRA) - Issues and l'!$B:$C,2,FALSE)</f>
        <v>portal-builder-SRED</v>
      </c>
      <c r="B220" s="27" t="str">
        <f>IFERROR(__xludf.DUMMYFUNCTION("""COMPUTED_VALUE"""),"ITP-1797")</f>
        <v>ITP-1797</v>
      </c>
      <c r="C220" s="26" t="str">
        <f>IFERROR(__xludf.DUMMYFUNCTION("""COMPUTED_VALUE"""),"Automate customized Friday digest")</f>
        <v>Automate customized Friday digest</v>
      </c>
      <c r="D220" s="28">
        <f>IFERROR(__xludf.DUMMYFUNCTION("""COMPUTED_VALUE"""),0.166666666666666)</f>
        <v>0.1666666667</v>
      </c>
      <c r="E220" s="29">
        <f>IFERROR(__xludf.DUMMYFUNCTION("""COMPUTED_VALUE"""),43923.0)</f>
        <v>43923</v>
      </c>
      <c r="F220" s="26" t="str">
        <f>IFERROR(__xludf.DUMMYFUNCTION("""COMPUTED_VALUE"""),"557058:3124a1f0-e92a-405c-93f2-c1d4e621bc77")</f>
        <v>557058:3124a1f0-e92a-405c-93f2-c1d4e621bc77</v>
      </c>
      <c r="G220" s="26" t="str">
        <f>IFERROR(__xludf.DUMMYFUNCTION("""COMPUTED_VALUE"""),"Trevor Coehoorn")</f>
        <v>Trevor Coehoorn</v>
      </c>
      <c r="H220" s="26" t="b">
        <v>0</v>
      </c>
    </row>
    <row r="221" hidden="1">
      <c r="A221" s="26" t="str">
        <f>VLOOKUP(B221,'2020 SRED (JIRA) - Issues and l'!$B:$C,2,FALSE)</f>
        <v>portal-builder</v>
      </c>
      <c r="B221" s="27" t="str">
        <f>IFERROR(__xludf.DUMMYFUNCTION("""COMPUTED_VALUE"""),"IV2-158")</f>
        <v>IV2-158</v>
      </c>
      <c r="C221" s="26" t="str">
        <f>IFERROR(__xludf.DUMMYFUNCTION("""COMPUTED_VALUE"""),"UI/Technical Design")</f>
        <v>UI/Technical Design</v>
      </c>
      <c r="D221" s="28">
        <f>IFERROR(__xludf.DUMMYFUNCTION("""COMPUTED_VALUE"""),3.48333333333333)</f>
        <v>3.483333333</v>
      </c>
      <c r="E221" s="29">
        <f>IFERROR(__xludf.DUMMYFUNCTION("""COMPUTED_VALUE"""),43923.0)</f>
        <v>43923</v>
      </c>
      <c r="F221" s="26" t="str">
        <f>IFERROR(__xludf.DUMMYFUNCTION("""COMPUTED_VALUE"""),"557058:f55c62b5-dc7e-41e5-b0f8-231ca9f23470")</f>
        <v>557058:f55c62b5-dc7e-41e5-b0f8-231ca9f23470</v>
      </c>
      <c r="G221" s="26" t="str">
        <f>IFERROR(__xludf.DUMMYFUNCTION("""COMPUTED_VALUE"""),"Holly Lam")</f>
        <v>Holly Lam</v>
      </c>
      <c r="H221" s="26" t="b">
        <v>0</v>
      </c>
    </row>
    <row r="222" hidden="1">
      <c r="A222" s="26" t="str">
        <f>VLOOKUP(B222,'2020 SRED (JIRA) - Issues and l'!$B:$C,2,FALSE)</f>
        <v>portal-builder-SRED</v>
      </c>
      <c r="B222" s="27" t="str">
        <f>IFERROR(__xludf.DUMMYFUNCTION("""COMPUTED_VALUE"""),"ITP-1797")</f>
        <v>ITP-1797</v>
      </c>
      <c r="C222" s="26" t="str">
        <f>IFERROR(__xludf.DUMMYFUNCTION("""COMPUTED_VALUE"""),"Automate customized Friday digest")</f>
        <v>Automate customized Friday digest</v>
      </c>
      <c r="D222" s="28">
        <f>IFERROR(__xludf.DUMMYFUNCTION("""COMPUTED_VALUE"""),0.25)</f>
        <v>0.25</v>
      </c>
      <c r="E222" s="29">
        <f>IFERROR(__xludf.DUMMYFUNCTION("""COMPUTED_VALUE"""),43923.33333333333)</f>
        <v>43923.33333</v>
      </c>
      <c r="F222" s="26" t="str">
        <f>IFERROR(__xludf.DUMMYFUNCTION("""COMPUTED_VALUE"""),"557058:9827514e-9c5e-4d9d-af37-340b82b8423b")</f>
        <v>557058:9827514e-9c5e-4d9d-af37-340b82b8423b</v>
      </c>
      <c r="G222" s="26" t="str">
        <f>IFERROR(__xludf.DUMMYFUNCTION("""COMPUTED_VALUE"""),"Alyssia Grant")</f>
        <v>Alyssia Grant</v>
      </c>
      <c r="H222" s="26" t="b">
        <v>0</v>
      </c>
    </row>
    <row r="223" hidden="1">
      <c r="A223" s="26" t="str">
        <f>VLOOKUP(B223,'2020 SRED (JIRA) - Issues and l'!$B:$C,2,FALSE)</f>
        <v>portal-builder-SRED</v>
      </c>
      <c r="B223" s="27" t="str">
        <f>IFERROR(__xludf.DUMMYFUNCTION("""COMPUTED_VALUE"""),"ITP-1819")</f>
        <v>ITP-1819</v>
      </c>
      <c r="C223" s="26" t="str">
        <f>IFERROR(__xludf.DUMMYFUNCTION("""COMPUTED_VALUE"""),"Set up one-time login password creation process")</f>
        <v>Set up one-time login password creation process</v>
      </c>
      <c r="D223" s="28">
        <f>IFERROR(__xludf.DUMMYFUNCTION("""COMPUTED_VALUE"""),4.73333333333333)</f>
        <v>4.733333333</v>
      </c>
      <c r="E223" s="29">
        <f>IFERROR(__xludf.DUMMYFUNCTION("""COMPUTED_VALUE"""),43924.0)</f>
        <v>43924</v>
      </c>
      <c r="F223" s="26" t="str">
        <f>IFERROR(__xludf.DUMMYFUNCTION("""COMPUTED_VALUE"""),"557058:3124a1f0-e92a-405c-93f2-c1d4e621bc77")</f>
        <v>557058:3124a1f0-e92a-405c-93f2-c1d4e621bc77</v>
      </c>
      <c r="G223" s="26" t="str">
        <f>IFERROR(__xludf.DUMMYFUNCTION("""COMPUTED_VALUE"""),"Trevor Coehoorn")</f>
        <v>Trevor Coehoorn</v>
      </c>
      <c r="H223" s="26" t="b">
        <v>0</v>
      </c>
    </row>
    <row r="224" hidden="1">
      <c r="A224" s="26" t="str">
        <f>VLOOKUP(B224,'2020 SRED (JIRA) - Issues and l'!$B:$C,2,FALSE)</f>
        <v>portal-builder</v>
      </c>
      <c r="B224" s="27" t="str">
        <f>IFERROR(__xludf.DUMMYFUNCTION("""COMPUTED_VALUE"""),"IV2-158")</f>
        <v>IV2-158</v>
      </c>
      <c r="C224" s="26" t="str">
        <f>IFERROR(__xludf.DUMMYFUNCTION("""COMPUTED_VALUE"""),"UI/Technical Design")</f>
        <v>UI/Technical Design</v>
      </c>
      <c r="D224" s="28">
        <f>IFERROR(__xludf.DUMMYFUNCTION("""COMPUTED_VALUE"""),3.0)</f>
        <v>3</v>
      </c>
      <c r="E224" s="29">
        <f>IFERROR(__xludf.DUMMYFUNCTION("""COMPUTED_VALUE"""),43924.0)</f>
        <v>43924</v>
      </c>
      <c r="F224" s="26" t="str">
        <f>IFERROR(__xludf.DUMMYFUNCTION("""COMPUTED_VALUE"""),"557058:f55c62b5-dc7e-41e5-b0f8-231ca9f23470")</f>
        <v>557058:f55c62b5-dc7e-41e5-b0f8-231ca9f23470</v>
      </c>
      <c r="G224" s="26" t="str">
        <f>IFERROR(__xludf.DUMMYFUNCTION("""COMPUTED_VALUE"""),"Holly Lam")</f>
        <v>Holly Lam</v>
      </c>
      <c r="H224" s="26" t="b">
        <v>0</v>
      </c>
    </row>
    <row r="225" hidden="1">
      <c r="A225" s="26" t="str">
        <f>VLOOKUP(B225,'2020 SRED (JIRA) - Issues and l'!$B:$C,2,FALSE)</f>
        <v>portal-builder-SRED</v>
      </c>
      <c r="B225" s="27" t="str">
        <f>IFERROR(__xludf.DUMMYFUNCTION("""COMPUTED_VALUE"""),"ITP-1819")</f>
        <v>ITP-1819</v>
      </c>
      <c r="C225" s="26" t="str">
        <f>IFERROR(__xludf.DUMMYFUNCTION("""COMPUTED_VALUE"""),"Set up one-time login password creation process")</f>
        <v>Set up one-time login password creation process</v>
      </c>
      <c r="D225" s="28">
        <f>IFERROR(__xludf.DUMMYFUNCTION("""COMPUTED_VALUE"""),7.1)</f>
        <v>7.1</v>
      </c>
      <c r="E225" s="29">
        <f>IFERROR(__xludf.DUMMYFUNCTION("""COMPUTED_VALUE"""),43927.0)</f>
        <v>43927</v>
      </c>
      <c r="F225" s="26" t="str">
        <f>IFERROR(__xludf.DUMMYFUNCTION("""COMPUTED_VALUE"""),"557058:3124a1f0-e92a-405c-93f2-c1d4e621bc77")</f>
        <v>557058:3124a1f0-e92a-405c-93f2-c1d4e621bc77</v>
      </c>
      <c r="G225" s="26" t="str">
        <f>IFERROR(__xludf.DUMMYFUNCTION("""COMPUTED_VALUE"""),"Trevor Coehoorn")</f>
        <v>Trevor Coehoorn</v>
      </c>
      <c r="H225" s="26" t="b">
        <v>0</v>
      </c>
    </row>
    <row r="226" hidden="1">
      <c r="A226" s="26" t="str">
        <f>VLOOKUP(B226,'2020 SRED (JIRA) - Issues and l'!$B:$C,2,FALSE)</f>
        <v>portal-builder-SRED</v>
      </c>
      <c r="B226" s="27" t="str">
        <f>IFERROR(__xludf.DUMMYFUNCTION("""COMPUTED_VALUE"""),"IV2-180")</f>
        <v>IV2-180</v>
      </c>
      <c r="C226" s="26" t="str">
        <f>IFERROR(__xludf.DUMMYFUNCTION("""COMPUTED_VALUE"""),"Remove all comments and webform submissions in a touchpoint")</f>
        <v>Remove all comments and webform submissions in a touchpoint</v>
      </c>
      <c r="D226" s="28">
        <f>IFERROR(__xludf.DUMMYFUNCTION("""COMPUTED_VALUE"""),0.0333333333333333)</f>
        <v>0.03333333333</v>
      </c>
      <c r="E226" s="29">
        <f>IFERROR(__xludf.DUMMYFUNCTION("""COMPUTED_VALUE"""),43927.0)</f>
        <v>43927</v>
      </c>
      <c r="F226" s="26" t="str">
        <f>IFERROR(__xludf.DUMMYFUNCTION("""COMPUTED_VALUE"""),"557058:3124a1f0-e92a-405c-93f2-c1d4e621bc77")</f>
        <v>557058:3124a1f0-e92a-405c-93f2-c1d4e621bc77</v>
      </c>
      <c r="G226" s="26" t="str">
        <f>IFERROR(__xludf.DUMMYFUNCTION("""COMPUTED_VALUE"""),"Trevor Coehoorn")</f>
        <v>Trevor Coehoorn</v>
      </c>
      <c r="H226" s="26" t="b">
        <v>0</v>
      </c>
    </row>
    <row r="227" hidden="1">
      <c r="A227" s="26" t="str">
        <f>VLOOKUP(B227,'2020 SRED (JIRA) - Issues and l'!$B:$C,2,FALSE)</f>
        <v>portal-builder-SRED</v>
      </c>
      <c r="B227" s="27" t="str">
        <f>IFERROR(__xludf.DUMMYFUNCTION("""COMPUTED_VALUE"""),"ITP-1819")</f>
        <v>ITP-1819</v>
      </c>
      <c r="C227" s="26" t="str">
        <f>IFERROR(__xludf.DUMMYFUNCTION("""COMPUTED_VALUE"""),"Set up one-time login password creation process")</f>
        <v>Set up one-time login password creation process</v>
      </c>
      <c r="D227" s="28">
        <f>IFERROR(__xludf.DUMMYFUNCTION("""COMPUTED_VALUE"""),4.91666666666666)</f>
        <v>4.916666667</v>
      </c>
      <c r="E227" s="29">
        <f>IFERROR(__xludf.DUMMYFUNCTION("""COMPUTED_VALUE"""),43928.0)</f>
        <v>43928</v>
      </c>
      <c r="F227" s="26" t="str">
        <f>IFERROR(__xludf.DUMMYFUNCTION("""COMPUTED_VALUE"""),"557058:3124a1f0-e92a-405c-93f2-c1d4e621bc77")</f>
        <v>557058:3124a1f0-e92a-405c-93f2-c1d4e621bc77</v>
      </c>
      <c r="G227" s="26" t="str">
        <f>IFERROR(__xludf.DUMMYFUNCTION("""COMPUTED_VALUE"""),"Trevor Coehoorn")</f>
        <v>Trevor Coehoorn</v>
      </c>
      <c r="H227" s="26" t="b">
        <v>0</v>
      </c>
    </row>
    <row r="228" hidden="1">
      <c r="A228" s="26" t="str">
        <f>VLOOKUP(B228,'2020 SRED (JIRA) - Issues and l'!$B:$C,2,FALSE)</f>
        <v>portal-builder-SRED</v>
      </c>
      <c r="B228" s="27" t="str">
        <f>IFERROR(__xludf.DUMMYFUNCTION("""COMPUTED_VALUE"""),"ITP-1819")</f>
        <v>ITP-1819</v>
      </c>
      <c r="C228" s="26" t="str">
        <f>IFERROR(__xludf.DUMMYFUNCTION("""COMPUTED_VALUE"""),"Set up one-time login password creation process")</f>
        <v>Set up one-time login password creation process</v>
      </c>
      <c r="D228" s="28">
        <f>IFERROR(__xludf.DUMMYFUNCTION("""COMPUTED_VALUE"""),7.75)</f>
        <v>7.75</v>
      </c>
      <c r="E228" s="29">
        <f>IFERROR(__xludf.DUMMYFUNCTION("""COMPUTED_VALUE"""),43929.0)</f>
        <v>43929</v>
      </c>
      <c r="F228" s="26" t="str">
        <f>IFERROR(__xludf.DUMMYFUNCTION("""COMPUTED_VALUE"""),"557058:3124a1f0-e92a-405c-93f2-c1d4e621bc77")</f>
        <v>557058:3124a1f0-e92a-405c-93f2-c1d4e621bc77</v>
      </c>
      <c r="G228" s="26" t="str">
        <f>IFERROR(__xludf.DUMMYFUNCTION("""COMPUTED_VALUE"""),"Trevor Coehoorn")</f>
        <v>Trevor Coehoorn</v>
      </c>
      <c r="H228" s="26" t="b">
        <v>0</v>
      </c>
    </row>
    <row r="229" hidden="1">
      <c r="A229" s="26" t="str">
        <f>VLOOKUP(B229,'2020 SRED (JIRA) - Issues and l'!$B:$C,2,FALSE)</f>
        <v>portal-builder-SRED</v>
      </c>
      <c r="B229" s="27" t="str">
        <f>IFERROR(__xludf.DUMMYFUNCTION("""COMPUTED_VALUE"""),"ITP-1819")</f>
        <v>ITP-1819</v>
      </c>
      <c r="C229" s="26" t="str">
        <f>IFERROR(__xludf.DUMMYFUNCTION("""COMPUTED_VALUE"""),"Set up one-time login password creation process")</f>
        <v>Set up one-time login password creation process</v>
      </c>
      <c r="D229" s="28">
        <f>IFERROR(__xludf.DUMMYFUNCTION("""COMPUTED_VALUE"""),4.65)</f>
        <v>4.65</v>
      </c>
      <c r="E229" s="29">
        <f>IFERROR(__xludf.DUMMYFUNCTION("""COMPUTED_VALUE"""),43930.0)</f>
        <v>43930</v>
      </c>
      <c r="F229" s="26" t="str">
        <f>IFERROR(__xludf.DUMMYFUNCTION("""COMPUTED_VALUE"""),"557058:3124a1f0-e92a-405c-93f2-c1d4e621bc77")</f>
        <v>557058:3124a1f0-e92a-405c-93f2-c1d4e621bc77</v>
      </c>
      <c r="G229" s="26" t="str">
        <f>IFERROR(__xludf.DUMMYFUNCTION("""COMPUTED_VALUE"""),"Trevor Coehoorn")</f>
        <v>Trevor Coehoorn</v>
      </c>
      <c r="H229" s="26" t="b">
        <v>0</v>
      </c>
    </row>
    <row r="230" hidden="1">
      <c r="A230" s="26" t="str">
        <f>VLOOKUP(B230,'2020 SRED (JIRA) - Issues and l'!$B:$C,2,FALSE)</f>
        <v>portal-builder-SRED</v>
      </c>
      <c r="B230" s="27" t="str">
        <f>IFERROR(__xludf.DUMMYFUNCTION("""COMPUTED_VALUE"""),"IV2-180")</f>
        <v>IV2-180</v>
      </c>
      <c r="C230" s="26" t="str">
        <f>IFERROR(__xludf.DUMMYFUNCTION("""COMPUTED_VALUE"""),"Remove all comments and webform submissions in a touchpoint")</f>
        <v>Remove all comments and webform submissions in a touchpoint</v>
      </c>
      <c r="D230" s="28">
        <f>IFERROR(__xludf.DUMMYFUNCTION("""COMPUTED_VALUE"""),0.666666666666666)</f>
        <v>0.6666666667</v>
      </c>
      <c r="E230" s="29">
        <f>IFERROR(__xludf.DUMMYFUNCTION("""COMPUTED_VALUE"""),43934.0)</f>
        <v>43934</v>
      </c>
      <c r="F230" s="26" t="str">
        <f>IFERROR(__xludf.DUMMYFUNCTION("""COMPUTED_VALUE"""),"557058:73c9cac1-5a92-492c-86e8-838810ee0dde")</f>
        <v>557058:73c9cac1-5a92-492c-86e8-838810ee0dde</v>
      </c>
      <c r="G230" s="26" t="str">
        <f>IFERROR(__xludf.DUMMYFUNCTION("""COMPUTED_VALUE"""),"Dan Wells")</f>
        <v>Dan Wells</v>
      </c>
      <c r="H230" s="26" t="b">
        <v>0</v>
      </c>
    </row>
    <row r="231" hidden="1">
      <c r="A231" s="26" t="str">
        <f>VLOOKUP(B231,'2020 SRED (JIRA) - Issues and l'!$B:$C,2,FALSE)</f>
        <v>portal-builder-SRED</v>
      </c>
      <c r="B231" s="27" t="str">
        <f>IFERROR(__xludf.DUMMYFUNCTION("""COMPUTED_VALUE"""),"IV2-180")</f>
        <v>IV2-180</v>
      </c>
      <c r="C231" s="26" t="str">
        <f>IFERROR(__xludf.DUMMYFUNCTION("""COMPUTED_VALUE"""),"Remove all comments and webform submissions in a touchpoint")</f>
        <v>Remove all comments and webform submissions in a touchpoint</v>
      </c>
      <c r="D231" s="28">
        <f>IFERROR(__xludf.DUMMYFUNCTION("""COMPUTED_VALUE"""),0.65)</f>
        <v>0.65</v>
      </c>
      <c r="E231" s="29">
        <f>IFERROR(__xludf.DUMMYFUNCTION("""COMPUTED_VALUE"""),43935.0)</f>
        <v>43935</v>
      </c>
      <c r="F231" s="26" t="str">
        <f>IFERROR(__xludf.DUMMYFUNCTION("""COMPUTED_VALUE"""),"557058:3124a1f0-e92a-405c-93f2-c1d4e621bc77")</f>
        <v>557058:3124a1f0-e92a-405c-93f2-c1d4e621bc77</v>
      </c>
      <c r="G231" s="26" t="str">
        <f>IFERROR(__xludf.DUMMYFUNCTION("""COMPUTED_VALUE"""),"Trevor Coehoorn")</f>
        <v>Trevor Coehoorn</v>
      </c>
      <c r="H231" s="26" t="b">
        <v>0</v>
      </c>
    </row>
    <row r="232" hidden="1">
      <c r="A232" s="26" t="str">
        <f>VLOOKUP(B232,'2020 SRED (JIRA) - Issues and l'!$B:$C,2,FALSE)</f>
        <v>portal-builder</v>
      </c>
      <c r="B232" s="27" t="str">
        <f>IFERROR(__xludf.DUMMYFUNCTION("""COMPUTED_VALUE"""),"IV2-158")</f>
        <v>IV2-158</v>
      </c>
      <c r="C232" s="26" t="str">
        <f>IFERROR(__xludf.DUMMYFUNCTION("""COMPUTED_VALUE"""),"UI/Technical Design")</f>
        <v>UI/Technical Design</v>
      </c>
      <c r="D232" s="28">
        <f>IFERROR(__xludf.DUMMYFUNCTION("""COMPUTED_VALUE"""),0.45)</f>
        <v>0.45</v>
      </c>
      <c r="E232" s="29">
        <f>IFERROR(__xludf.DUMMYFUNCTION("""COMPUTED_VALUE"""),43935.0)</f>
        <v>43935</v>
      </c>
      <c r="F232" s="26" t="str">
        <f>IFERROR(__xludf.DUMMYFUNCTION("""COMPUTED_VALUE"""),"557058:3124a1f0-e92a-405c-93f2-c1d4e621bc77")</f>
        <v>557058:3124a1f0-e92a-405c-93f2-c1d4e621bc77</v>
      </c>
      <c r="G232" s="26" t="str">
        <f>IFERROR(__xludf.DUMMYFUNCTION("""COMPUTED_VALUE"""),"Trevor Coehoorn")</f>
        <v>Trevor Coehoorn</v>
      </c>
      <c r="H232" s="26" t="b">
        <v>0</v>
      </c>
    </row>
    <row r="233" hidden="1">
      <c r="A233" s="26" t="str">
        <f>VLOOKUP(B233,'2020 SRED (JIRA) - Issues and l'!$B:$C,2,FALSE)</f>
        <v>portal-builder-SRED</v>
      </c>
      <c r="B233" s="27" t="str">
        <f>IFERROR(__xludf.DUMMYFUNCTION("""COMPUTED_VALUE"""),"ITP-1819")</f>
        <v>ITP-1819</v>
      </c>
      <c r="C233" s="26" t="str">
        <f>IFERROR(__xludf.DUMMYFUNCTION("""COMPUTED_VALUE"""),"Set up one-time login password creation process")</f>
        <v>Set up one-time login password creation process</v>
      </c>
      <c r="D233" s="28">
        <f>IFERROR(__xludf.DUMMYFUNCTION("""COMPUTED_VALUE"""),2.46666666666666)</f>
        <v>2.466666667</v>
      </c>
      <c r="E233" s="29">
        <f>IFERROR(__xludf.DUMMYFUNCTION("""COMPUTED_VALUE"""),43935.0)</f>
        <v>43935</v>
      </c>
      <c r="F233" s="26" t="str">
        <f>IFERROR(__xludf.DUMMYFUNCTION("""COMPUTED_VALUE"""),"557058:3124a1f0-e92a-405c-93f2-c1d4e621bc77")</f>
        <v>557058:3124a1f0-e92a-405c-93f2-c1d4e621bc77</v>
      </c>
      <c r="G233" s="26" t="str">
        <f>IFERROR(__xludf.DUMMYFUNCTION("""COMPUTED_VALUE"""),"Trevor Coehoorn")</f>
        <v>Trevor Coehoorn</v>
      </c>
      <c r="H233" s="26" t="b">
        <v>0</v>
      </c>
    </row>
    <row r="234" hidden="1">
      <c r="A234" s="26" t="str">
        <f>VLOOKUP(B234,'2020 SRED (JIRA) - Issues and l'!$B:$C,2,FALSE)</f>
        <v>portal-builder</v>
      </c>
      <c r="B234" s="27" t="str">
        <f>IFERROR(__xludf.DUMMYFUNCTION("""COMPUTED_VALUE"""),"IV2-158")</f>
        <v>IV2-158</v>
      </c>
      <c r="C234" s="26" t="str">
        <f>IFERROR(__xludf.DUMMYFUNCTION("""COMPUTED_VALUE"""),"UI/Technical Design")</f>
        <v>UI/Technical Design</v>
      </c>
      <c r="D234" s="28">
        <f>IFERROR(__xludf.DUMMYFUNCTION("""COMPUTED_VALUE"""),0.5)</f>
        <v>0.5</v>
      </c>
      <c r="E234" s="29">
        <f>IFERROR(__xludf.DUMMYFUNCTION("""COMPUTED_VALUE"""),43935.0)</f>
        <v>43935</v>
      </c>
      <c r="F234" s="26" t="str">
        <f>IFERROR(__xludf.DUMMYFUNCTION("""COMPUTED_VALUE"""),"557058:f55c62b5-dc7e-41e5-b0f8-231ca9f23470")</f>
        <v>557058:f55c62b5-dc7e-41e5-b0f8-231ca9f23470</v>
      </c>
      <c r="G234" s="26" t="str">
        <f>IFERROR(__xludf.DUMMYFUNCTION("""COMPUTED_VALUE"""),"Holly Lam")</f>
        <v>Holly Lam</v>
      </c>
      <c r="H234" s="26" t="b">
        <v>0</v>
      </c>
    </row>
    <row r="235" hidden="1">
      <c r="A235" s="26" t="str">
        <f>VLOOKUP(B235,'2020 SRED (JIRA) - Issues and l'!$B:$C,2,FALSE)</f>
        <v>portal-builder-SRED</v>
      </c>
      <c r="B235" s="27" t="str">
        <f>IFERROR(__xludf.DUMMYFUNCTION("""COMPUTED_VALUE"""),"ITP-1819")</f>
        <v>ITP-1819</v>
      </c>
      <c r="C235" s="26" t="str">
        <f>IFERROR(__xludf.DUMMYFUNCTION("""COMPUTED_VALUE"""),"Set up one-time login password creation process")</f>
        <v>Set up one-time login password creation process</v>
      </c>
      <c r="D235" s="28">
        <f>IFERROR(__xludf.DUMMYFUNCTION("""COMPUTED_VALUE"""),0.416666666666666)</f>
        <v>0.4166666667</v>
      </c>
      <c r="E235" s="29">
        <f>IFERROR(__xludf.DUMMYFUNCTION("""COMPUTED_VALUE"""),43936.0)</f>
        <v>43936</v>
      </c>
      <c r="F235" s="26" t="str">
        <f>IFERROR(__xludf.DUMMYFUNCTION("""COMPUTED_VALUE"""),"557058:3124a1f0-e92a-405c-93f2-c1d4e621bc77")</f>
        <v>557058:3124a1f0-e92a-405c-93f2-c1d4e621bc77</v>
      </c>
      <c r="G235" s="26" t="str">
        <f>IFERROR(__xludf.DUMMYFUNCTION("""COMPUTED_VALUE"""),"Trevor Coehoorn")</f>
        <v>Trevor Coehoorn</v>
      </c>
      <c r="H235" s="26" t="b">
        <v>0</v>
      </c>
    </row>
    <row r="236" hidden="1">
      <c r="A236" s="26" t="str">
        <f>VLOOKUP(B236,'2020 SRED (JIRA) - Issues and l'!$B:$C,2,FALSE)</f>
        <v>portal-builder-SRED</v>
      </c>
      <c r="B236" s="27" t="str">
        <f>IFERROR(__xludf.DUMMYFUNCTION("""COMPUTED_VALUE"""),"IV2-180")</f>
        <v>IV2-180</v>
      </c>
      <c r="C236" s="26" t="str">
        <f>IFERROR(__xludf.DUMMYFUNCTION("""COMPUTED_VALUE"""),"Remove all comments and webform submissions in a touchpoint")</f>
        <v>Remove all comments and webform submissions in a touchpoint</v>
      </c>
      <c r="D236" s="28">
        <f>IFERROR(__xludf.DUMMYFUNCTION("""COMPUTED_VALUE"""),0.183333333333333)</f>
        <v>0.1833333333</v>
      </c>
      <c r="E236" s="29">
        <f>IFERROR(__xludf.DUMMYFUNCTION("""COMPUTED_VALUE"""),43936.0)</f>
        <v>43936</v>
      </c>
      <c r="F236" s="26" t="str">
        <f>IFERROR(__xludf.DUMMYFUNCTION("""COMPUTED_VALUE"""),"557058:3124a1f0-e92a-405c-93f2-c1d4e621bc77")</f>
        <v>557058:3124a1f0-e92a-405c-93f2-c1d4e621bc77</v>
      </c>
      <c r="G236" s="26" t="str">
        <f>IFERROR(__xludf.DUMMYFUNCTION("""COMPUTED_VALUE"""),"Trevor Coehoorn")</f>
        <v>Trevor Coehoorn</v>
      </c>
      <c r="H236" s="26" t="b">
        <v>0</v>
      </c>
    </row>
    <row r="237" hidden="1">
      <c r="A237" s="26" t="str">
        <f>VLOOKUP(B237,'2020 SRED (JIRA) - Issues and l'!$B:$C,2,FALSE)</f>
        <v>portal-builder-SRED</v>
      </c>
      <c r="B237" s="27" t="str">
        <f>IFERROR(__xludf.DUMMYFUNCTION("""COMPUTED_VALUE"""),"ITP-1819")</f>
        <v>ITP-1819</v>
      </c>
      <c r="C237" s="26" t="str">
        <f>IFERROR(__xludf.DUMMYFUNCTION("""COMPUTED_VALUE"""),"Set up one-time login password creation process")</f>
        <v>Set up one-time login password creation process</v>
      </c>
      <c r="D237" s="28">
        <f>IFERROR(__xludf.DUMMYFUNCTION("""COMPUTED_VALUE"""),2.18333333333333)</f>
        <v>2.183333333</v>
      </c>
      <c r="E237" s="29">
        <f>IFERROR(__xludf.DUMMYFUNCTION("""COMPUTED_VALUE"""),43937.0)</f>
        <v>43937</v>
      </c>
      <c r="F237" s="26" t="str">
        <f>IFERROR(__xludf.DUMMYFUNCTION("""COMPUTED_VALUE"""),"557058:3124a1f0-e92a-405c-93f2-c1d4e621bc77")</f>
        <v>557058:3124a1f0-e92a-405c-93f2-c1d4e621bc77</v>
      </c>
      <c r="G237" s="26" t="str">
        <f>IFERROR(__xludf.DUMMYFUNCTION("""COMPUTED_VALUE"""),"Trevor Coehoorn")</f>
        <v>Trevor Coehoorn</v>
      </c>
      <c r="H237" s="26" t="b">
        <v>0</v>
      </c>
    </row>
    <row r="238" hidden="1">
      <c r="A238" s="26" t="str">
        <f>VLOOKUP(B238,'2020 SRED (JIRA) - Issues and l'!$B:$C,2,FALSE)</f>
        <v>portal-builder-SRED</v>
      </c>
      <c r="B238" s="27" t="str">
        <f>IFERROR(__xludf.DUMMYFUNCTION("""COMPUTED_VALUE"""),"IV2-180")</f>
        <v>IV2-180</v>
      </c>
      <c r="C238" s="26" t="str">
        <f>IFERROR(__xludf.DUMMYFUNCTION("""COMPUTED_VALUE"""),"Remove all comments and webform submissions in a touchpoint")</f>
        <v>Remove all comments and webform submissions in a touchpoint</v>
      </c>
      <c r="D238" s="28">
        <f>IFERROR(__xludf.DUMMYFUNCTION("""COMPUTED_VALUE"""),0.183333333333333)</f>
        <v>0.1833333333</v>
      </c>
      <c r="E238" s="29">
        <f>IFERROR(__xludf.DUMMYFUNCTION("""COMPUTED_VALUE"""),43937.0)</f>
        <v>43937</v>
      </c>
      <c r="F238" s="26" t="str">
        <f>IFERROR(__xludf.DUMMYFUNCTION("""COMPUTED_VALUE"""),"557058:3124a1f0-e92a-405c-93f2-c1d4e621bc77")</f>
        <v>557058:3124a1f0-e92a-405c-93f2-c1d4e621bc77</v>
      </c>
      <c r="G238" s="26" t="str">
        <f>IFERROR(__xludf.DUMMYFUNCTION("""COMPUTED_VALUE"""),"Trevor Coehoorn")</f>
        <v>Trevor Coehoorn</v>
      </c>
      <c r="H238" s="26" t="b">
        <v>0</v>
      </c>
    </row>
    <row r="239" hidden="1">
      <c r="A239" s="26" t="str">
        <f>VLOOKUP(B239,'2020 SRED (JIRA) - Issues and l'!$B:$C,2,FALSE)</f>
        <v>portal-builder</v>
      </c>
      <c r="B239" s="27" t="str">
        <f>IFERROR(__xludf.DUMMYFUNCTION("""COMPUTED_VALUE"""),"IV2-158")</f>
        <v>IV2-158</v>
      </c>
      <c r="C239" s="26" t="str">
        <f>IFERROR(__xludf.DUMMYFUNCTION("""COMPUTED_VALUE"""),"UI/Technical Design")</f>
        <v>UI/Technical Design</v>
      </c>
      <c r="D239" s="28">
        <f>IFERROR(__xludf.DUMMYFUNCTION("""COMPUTED_VALUE"""),1.0)</f>
        <v>1</v>
      </c>
      <c r="E239" s="29">
        <f>IFERROR(__xludf.DUMMYFUNCTION("""COMPUTED_VALUE"""),43937.535416666666)</f>
        <v>43937.53542</v>
      </c>
      <c r="F239" s="26" t="str">
        <f>IFERROR(__xludf.DUMMYFUNCTION("""COMPUTED_VALUE"""),"557058:f55c62b5-dc7e-41e5-b0f8-231ca9f23470")</f>
        <v>557058:f55c62b5-dc7e-41e5-b0f8-231ca9f23470</v>
      </c>
      <c r="G239" s="26" t="str">
        <f>IFERROR(__xludf.DUMMYFUNCTION("""COMPUTED_VALUE"""),"Holly Lam")</f>
        <v>Holly Lam</v>
      </c>
      <c r="H239" s="26" t="b">
        <v>0</v>
      </c>
    </row>
    <row r="240" hidden="1">
      <c r="A240" s="26" t="str">
        <f>VLOOKUP(B240,'2020 SRED (JIRA) - Issues and l'!$B:$C,2,FALSE)</f>
        <v>portal-builder</v>
      </c>
      <c r="B240" s="27" t="str">
        <f>IFERROR(__xludf.DUMMYFUNCTION("""COMPUTED_VALUE"""),"IV2-158")</f>
        <v>IV2-158</v>
      </c>
      <c r="C240" s="26" t="str">
        <f>IFERROR(__xludf.DUMMYFUNCTION("""COMPUTED_VALUE"""),"UI/Technical Design")</f>
        <v>UI/Technical Design</v>
      </c>
      <c r="D240" s="28">
        <f>IFERROR(__xludf.DUMMYFUNCTION("""COMPUTED_VALUE"""),4.0)</f>
        <v>4</v>
      </c>
      <c r="E240" s="29">
        <f>IFERROR(__xludf.DUMMYFUNCTION("""COMPUTED_VALUE"""),43937.61319444445)</f>
        <v>43937.61319</v>
      </c>
      <c r="F240" s="26" t="str">
        <f>IFERROR(__xludf.DUMMYFUNCTION("""COMPUTED_VALUE"""),"557058:f55c62b5-dc7e-41e5-b0f8-231ca9f23470")</f>
        <v>557058:f55c62b5-dc7e-41e5-b0f8-231ca9f23470</v>
      </c>
      <c r="G240" s="26" t="str">
        <f>IFERROR(__xludf.DUMMYFUNCTION("""COMPUTED_VALUE"""),"Holly Lam")</f>
        <v>Holly Lam</v>
      </c>
      <c r="H240" s="26" t="b">
        <v>0</v>
      </c>
    </row>
    <row r="241" hidden="1">
      <c r="A241" s="26" t="str">
        <f>VLOOKUP(B241,'2020 SRED (JIRA) - Issues and l'!$B:$C,2,FALSE)</f>
        <v>portal-builder-SRED</v>
      </c>
      <c r="B241" s="27" t="str">
        <f>IFERROR(__xludf.DUMMYFUNCTION("""COMPUTED_VALUE"""),"IV2-208")</f>
        <v>IV2-208</v>
      </c>
      <c r="C241" s="26" t="str">
        <f>IFERROR(__xludf.DUMMYFUNCTION("""COMPUTED_VALUE"""),"Allow users to reorder pages in the Portal Builder")</f>
        <v>Allow users to reorder pages in the Portal Builder</v>
      </c>
      <c r="D241" s="28">
        <f>IFERROR(__xludf.DUMMYFUNCTION("""COMPUTED_VALUE"""),1.63333333333333)</f>
        <v>1.633333333</v>
      </c>
      <c r="E241" s="29">
        <f>IFERROR(__xludf.DUMMYFUNCTION("""COMPUTED_VALUE"""),43938.0)</f>
        <v>43938</v>
      </c>
      <c r="F241" s="26" t="str">
        <f>IFERROR(__xludf.DUMMYFUNCTION("""COMPUTED_VALUE"""),"557058:3124a1f0-e92a-405c-93f2-c1d4e621bc77")</f>
        <v>557058:3124a1f0-e92a-405c-93f2-c1d4e621bc77</v>
      </c>
      <c r="G241" s="26" t="str">
        <f>IFERROR(__xludf.DUMMYFUNCTION("""COMPUTED_VALUE"""),"Trevor Coehoorn")</f>
        <v>Trevor Coehoorn</v>
      </c>
      <c r="H241" s="26" t="b">
        <v>0</v>
      </c>
    </row>
    <row r="242" hidden="1">
      <c r="A242" s="26" t="str">
        <f>VLOOKUP(B242,'2020 SRED (JIRA) - Issues and l'!$B:$C,2,FALSE)</f>
        <v>portal-builder-SRED</v>
      </c>
      <c r="B242" s="27" t="str">
        <f>IFERROR(__xludf.DUMMYFUNCTION("""COMPUTED_VALUE"""),"ITP-1819")</f>
        <v>ITP-1819</v>
      </c>
      <c r="C242" s="26" t="str">
        <f>IFERROR(__xludf.DUMMYFUNCTION("""COMPUTED_VALUE"""),"Set up one-time login password creation process")</f>
        <v>Set up one-time login password creation process</v>
      </c>
      <c r="D242" s="28">
        <f>IFERROR(__xludf.DUMMYFUNCTION("""COMPUTED_VALUE"""),0.933333333333333)</f>
        <v>0.9333333333</v>
      </c>
      <c r="E242" s="29">
        <f>IFERROR(__xludf.DUMMYFUNCTION("""COMPUTED_VALUE"""),43938.0)</f>
        <v>43938</v>
      </c>
      <c r="F242" s="26" t="str">
        <f>IFERROR(__xludf.DUMMYFUNCTION("""COMPUTED_VALUE"""),"557058:3124a1f0-e92a-405c-93f2-c1d4e621bc77")</f>
        <v>557058:3124a1f0-e92a-405c-93f2-c1d4e621bc77</v>
      </c>
      <c r="G242" s="26" t="str">
        <f>IFERROR(__xludf.DUMMYFUNCTION("""COMPUTED_VALUE"""),"Trevor Coehoorn")</f>
        <v>Trevor Coehoorn</v>
      </c>
      <c r="H242" s="26" t="b">
        <v>0</v>
      </c>
    </row>
    <row r="243" hidden="1">
      <c r="A243" s="26" t="str">
        <f>VLOOKUP(B243,'2020 SRED (JIRA) - Issues and l'!$B:$C,2,FALSE)</f>
        <v>portal-builder</v>
      </c>
      <c r="B243" s="27" t="str">
        <f>IFERROR(__xludf.DUMMYFUNCTION("""COMPUTED_VALUE"""),"IV2-158")</f>
        <v>IV2-158</v>
      </c>
      <c r="C243" s="26" t="str">
        <f>IFERROR(__xludf.DUMMYFUNCTION("""COMPUTED_VALUE"""),"UI/Technical Design")</f>
        <v>UI/Technical Design</v>
      </c>
      <c r="D243" s="28">
        <f>IFERROR(__xludf.DUMMYFUNCTION("""COMPUTED_VALUE"""),0.233333333333333)</f>
        <v>0.2333333333</v>
      </c>
      <c r="E243" s="29">
        <f>IFERROR(__xludf.DUMMYFUNCTION("""COMPUTED_VALUE"""),43938.0)</f>
        <v>43938</v>
      </c>
      <c r="F243" s="26" t="str">
        <f>IFERROR(__xludf.DUMMYFUNCTION("""COMPUTED_VALUE"""),"557058:3124a1f0-e92a-405c-93f2-c1d4e621bc77")</f>
        <v>557058:3124a1f0-e92a-405c-93f2-c1d4e621bc77</v>
      </c>
      <c r="G243" s="26" t="str">
        <f>IFERROR(__xludf.DUMMYFUNCTION("""COMPUTED_VALUE"""),"Trevor Coehoorn")</f>
        <v>Trevor Coehoorn</v>
      </c>
      <c r="H243" s="26" t="b">
        <v>0</v>
      </c>
    </row>
    <row r="244" hidden="1">
      <c r="A244" s="26" t="str">
        <f>VLOOKUP(B244,'2020 SRED (JIRA) - Issues and l'!$B:$C,2,FALSE)</f>
        <v>portal-builder</v>
      </c>
      <c r="B244" s="27" t="str">
        <f>IFERROR(__xludf.DUMMYFUNCTION("""COMPUTED_VALUE"""),"IV2-158")</f>
        <v>IV2-158</v>
      </c>
      <c r="C244" s="26" t="str">
        <f>IFERROR(__xludf.DUMMYFUNCTION("""COMPUTED_VALUE"""),"UI/Technical Design")</f>
        <v>UI/Technical Design</v>
      </c>
      <c r="D244" s="28">
        <f>IFERROR(__xludf.DUMMYFUNCTION("""COMPUTED_VALUE"""),2.0)</f>
        <v>2</v>
      </c>
      <c r="E244" s="29">
        <f>IFERROR(__xludf.DUMMYFUNCTION("""COMPUTED_VALUE"""),43938.0)</f>
        <v>43938</v>
      </c>
      <c r="F244" s="26" t="str">
        <f>IFERROR(__xludf.DUMMYFUNCTION("""COMPUTED_VALUE"""),"557058:f55c62b5-dc7e-41e5-b0f8-231ca9f23470")</f>
        <v>557058:f55c62b5-dc7e-41e5-b0f8-231ca9f23470</v>
      </c>
      <c r="G244" s="26" t="str">
        <f>IFERROR(__xludf.DUMMYFUNCTION("""COMPUTED_VALUE"""),"Holly Lam")</f>
        <v>Holly Lam</v>
      </c>
      <c r="H244" s="26" t="b">
        <v>0</v>
      </c>
    </row>
    <row r="245" hidden="1">
      <c r="A245" s="26" t="str">
        <f>VLOOKUP(B245,'2020 SRED (JIRA) - Issues and l'!$B:$C,2,FALSE)</f>
        <v>portal-builder-SRED</v>
      </c>
      <c r="B245" s="27" t="str">
        <f>IFERROR(__xludf.DUMMYFUNCTION("""COMPUTED_VALUE"""),"ITP-1819")</f>
        <v>ITP-1819</v>
      </c>
      <c r="C245" s="26" t="str">
        <f>IFERROR(__xludf.DUMMYFUNCTION("""COMPUTED_VALUE"""),"Set up one-time login password creation process")</f>
        <v>Set up one-time login password creation process</v>
      </c>
      <c r="D245" s="28">
        <f>IFERROR(__xludf.DUMMYFUNCTION("""COMPUTED_VALUE"""),1.0)</f>
        <v>1</v>
      </c>
      <c r="E245" s="29">
        <f>IFERROR(__xludf.DUMMYFUNCTION("""COMPUTED_VALUE"""),43938.52222222222)</f>
        <v>43938.52222</v>
      </c>
      <c r="F245" s="26" t="str">
        <f>IFERROR(__xludf.DUMMYFUNCTION("""COMPUTED_VALUE"""),"557058:f55c62b5-dc7e-41e5-b0f8-231ca9f23470")</f>
        <v>557058:f55c62b5-dc7e-41e5-b0f8-231ca9f23470</v>
      </c>
      <c r="G245" s="26" t="str">
        <f>IFERROR(__xludf.DUMMYFUNCTION("""COMPUTED_VALUE"""),"Holly Lam")</f>
        <v>Holly Lam</v>
      </c>
      <c r="H245" s="26" t="b">
        <v>0</v>
      </c>
    </row>
    <row r="246" hidden="1">
      <c r="A246" s="26" t="str">
        <f>VLOOKUP(B246,'2020 SRED (JIRA) - Issues and l'!$B:$C,2,FALSE)</f>
        <v>portal-builder-SRED</v>
      </c>
      <c r="B246" s="27" t="str">
        <f>IFERROR(__xludf.DUMMYFUNCTION("""COMPUTED_VALUE"""),"IV2-208")</f>
        <v>IV2-208</v>
      </c>
      <c r="C246" s="26" t="str">
        <f>IFERROR(__xludf.DUMMYFUNCTION("""COMPUTED_VALUE"""),"Allow users to reorder pages in the Portal Builder")</f>
        <v>Allow users to reorder pages in the Portal Builder</v>
      </c>
      <c r="D246" s="28">
        <f>IFERROR(__xludf.DUMMYFUNCTION("""COMPUTED_VALUE"""),2.96666666666666)</f>
        <v>2.966666667</v>
      </c>
      <c r="E246" s="29">
        <f>IFERROR(__xludf.DUMMYFUNCTION("""COMPUTED_VALUE"""),43941.0)</f>
        <v>43941</v>
      </c>
      <c r="F246" s="26" t="str">
        <f>IFERROR(__xludf.DUMMYFUNCTION("""COMPUTED_VALUE"""),"557058:3124a1f0-e92a-405c-93f2-c1d4e621bc77")</f>
        <v>557058:3124a1f0-e92a-405c-93f2-c1d4e621bc77</v>
      </c>
      <c r="G246" s="26" t="str">
        <f>IFERROR(__xludf.DUMMYFUNCTION("""COMPUTED_VALUE"""),"Trevor Coehoorn")</f>
        <v>Trevor Coehoorn</v>
      </c>
      <c r="H246" s="26" t="b">
        <v>0</v>
      </c>
    </row>
    <row r="247" hidden="1">
      <c r="A247" s="26" t="str">
        <f>VLOOKUP(B247,'2020 SRED (JIRA) - Issues and l'!$B:$C,2,FALSE)</f>
        <v>insite-event-SRED</v>
      </c>
      <c r="B247" s="27" t="str">
        <f>IFERROR(__xludf.DUMMYFUNCTION("""COMPUTED_VALUE"""),"ZAPI-26")</f>
        <v>ZAPI-26</v>
      </c>
      <c r="C247" s="26" t="str">
        <f>IFERROR(__xludf.DUMMYFUNCTION("""COMPUTED_VALUE"""),"URGENT: Review Web Meeting APIs today")</f>
        <v>URGENT: Review Web Meeting APIs today</v>
      </c>
      <c r="D247" s="28">
        <f>IFERROR(__xludf.DUMMYFUNCTION("""COMPUTED_VALUE"""),1.9)</f>
        <v>1.9</v>
      </c>
      <c r="E247" s="29">
        <f>IFERROR(__xludf.DUMMYFUNCTION("""COMPUTED_VALUE"""),43941.0)</f>
        <v>43941</v>
      </c>
      <c r="F247" s="26" t="str">
        <f>IFERROR(__xludf.DUMMYFUNCTION("""COMPUTED_VALUE"""),"557058:3124a1f0-e92a-405c-93f2-c1d4e621bc77")</f>
        <v>557058:3124a1f0-e92a-405c-93f2-c1d4e621bc77</v>
      </c>
      <c r="G247" s="26" t="str">
        <f>IFERROR(__xludf.DUMMYFUNCTION("""COMPUTED_VALUE"""),"Trevor Coehoorn")</f>
        <v>Trevor Coehoorn</v>
      </c>
      <c r="H247" s="26" t="b">
        <v>0</v>
      </c>
    </row>
    <row r="248" hidden="1">
      <c r="A248" s="26" t="str">
        <f>VLOOKUP(B248,'2020 SRED (JIRA) - Issues and l'!$B:$C,2,FALSE)</f>
        <v>portal-builder-SRED</v>
      </c>
      <c r="B248" s="27" t="str">
        <f>IFERROR(__xludf.DUMMYFUNCTION("""COMPUTED_VALUE"""),"ITP-1819")</f>
        <v>ITP-1819</v>
      </c>
      <c r="C248" s="26" t="str">
        <f>IFERROR(__xludf.DUMMYFUNCTION("""COMPUTED_VALUE"""),"Set up one-time login password creation process")</f>
        <v>Set up one-time login password creation process</v>
      </c>
      <c r="D248" s="28">
        <f>IFERROR(__xludf.DUMMYFUNCTION("""COMPUTED_VALUE"""),0.133333333333333)</f>
        <v>0.1333333333</v>
      </c>
      <c r="E248" s="29">
        <f>IFERROR(__xludf.DUMMYFUNCTION("""COMPUTED_VALUE"""),43941.0)</f>
        <v>43941</v>
      </c>
      <c r="F248" s="26" t="str">
        <f>IFERROR(__xludf.DUMMYFUNCTION("""COMPUTED_VALUE"""),"557058:3124a1f0-e92a-405c-93f2-c1d4e621bc77")</f>
        <v>557058:3124a1f0-e92a-405c-93f2-c1d4e621bc77</v>
      </c>
      <c r="G248" s="26" t="str">
        <f>IFERROR(__xludf.DUMMYFUNCTION("""COMPUTED_VALUE"""),"Trevor Coehoorn")</f>
        <v>Trevor Coehoorn</v>
      </c>
      <c r="H248" s="26" t="b">
        <v>0</v>
      </c>
    </row>
    <row r="249" hidden="1">
      <c r="A249" s="26" t="str">
        <f>VLOOKUP(B249,'2020 SRED (JIRA) - Issues and l'!$B:$C,2,FALSE)</f>
        <v>insite-event-SRED</v>
      </c>
      <c r="B249" s="27" t="str">
        <f>IFERROR(__xludf.DUMMYFUNCTION("""COMPUTED_VALUE"""),"ZAPI-27")</f>
        <v>ZAPI-27</v>
      </c>
      <c r="C249" s="26" t="str">
        <f>IFERROR(__xludf.DUMMYFUNCTION("""COMPUTED_VALUE"""),"As a meeting administrator, I can add a web meeting panel/widget to my touchpoint content page and start/join a meeting from there")</f>
        <v>As a meeting administrator, I can add a web meeting panel/widget to my touchpoint content page and start/join a meeting from there</v>
      </c>
      <c r="D249" s="28">
        <f>IFERROR(__xludf.DUMMYFUNCTION("""COMPUTED_VALUE"""),0.666666666666666)</f>
        <v>0.6666666667</v>
      </c>
      <c r="E249" s="29">
        <f>IFERROR(__xludf.DUMMYFUNCTION("""COMPUTED_VALUE"""),43942.0)</f>
        <v>43942</v>
      </c>
      <c r="F249" s="26" t="str">
        <f>IFERROR(__xludf.DUMMYFUNCTION("""COMPUTED_VALUE"""),"557058:3124a1f0-e92a-405c-93f2-c1d4e621bc77")</f>
        <v>557058:3124a1f0-e92a-405c-93f2-c1d4e621bc77</v>
      </c>
      <c r="G249" s="26" t="str">
        <f>IFERROR(__xludf.DUMMYFUNCTION("""COMPUTED_VALUE"""),"Trevor Coehoorn")</f>
        <v>Trevor Coehoorn</v>
      </c>
      <c r="H249" s="26" t="b">
        <v>0</v>
      </c>
    </row>
    <row r="250" hidden="1">
      <c r="A250" s="26" t="str">
        <f>VLOOKUP(B250,'2020 SRED (JIRA) - Issues and l'!$B:$C,2,FALSE)</f>
        <v>portal-builder-SRED</v>
      </c>
      <c r="B250" s="27" t="str">
        <f>IFERROR(__xludf.DUMMYFUNCTION("""COMPUTED_VALUE"""),"IV2-208")</f>
        <v>IV2-208</v>
      </c>
      <c r="C250" s="26" t="str">
        <f>IFERROR(__xludf.DUMMYFUNCTION("""COMPUTED_VALUE"""),"Allow users to reorder pages in the Portal Builder")</f>
        <v>Allow users to reorder pages in the Portal Builder</v>
      </c>
      <c r="D250" s="28">
        <f>IFERROR(__xludf.DUMMYFUNCTION("""COMPUTED_VALUE"""),5.0)</f>
        <v>5</v>
      </c>
      <c r="E250" s="29">
        <f>IFERROR(__xludf.DUMMYFUNCTION("""COMPUTED_VALUE"""),43942.0)</f>
        <v>43942</v>
      </c>
      <c r="F250" s="26" t="str">
        <f>IFERROR(__xludf.DUMMYFUNCTION("""COMPUTED_VALUE"""),"557058:3124a1f0-e92a-405c-93f2-c1d4e621bc77")</f>
        <v>557058:3124a1f0-e92a-405c-93f2-c1d4e621bc77</v>
      </c>
      <c r="G250" s="26" t="str">
        <f>IFERROR(__xludf.DUMMYFUNCTION("""COMPUTED_VALUE"""),"Trevor Coehoorn")</f>
        <v>Trevor Coehoorn</v>
      </c>
      <c r="H250" s="26" t="b">
        <v>0</v>
      </c>
    </row>
    <row r="251" hidden="1">
      <c r="A251" s="26" t="str">
        <f>VLOOKUP(B251,'2020 SRED (JIRA) - Issues and l'!$B:$C,2,FALSE)</f>
        <v>portal-builder-SRED</v>
      </c>
      <c r="B251" s="27" t="str">
        <f>IFERROR(__xludf.DUMMYFUNCTION("""COMPUTED_VALUE"""),"IV2-180")</f>
        <v>IV2-180</v>
      </c>
      <c r="C251" s="26" t="str">
        <f>IFERROR(__xludf.DUMMYFUNCTION("""COMPUTED_VALUE"""),"Remove all comments and webform submissions in a touchpoint")</f>
        <v>Remove all comments and webform submissions in a touchpoint</v>
      </c>
      <c r="D251" s="28">
        <f>IFERROR(__xludf.DUMMYFUNCTION("""COMPUTED_VALUE"""),0.766666666666666)</f>
        <v>0.7666666667</v>
      </c>
      <c r="E251" s="29">
        <f>IFERROR(__xludf.DUMMYFUNCTION("""COMPUTED_VALUE"""),43942.0)</f>
        <v>43942</v>
      </c>
      <c r="F251" s="26" t="str">
        <f>IFERROR(__xludf.DUMMYFUNCTION("""COMPUTED_VALUE"""),"557058:3124a1f0-e92a-405c-93f2-c1d4e621bc77")</f>
        <v>557058:3124a1f0-e92a-405c-93f2-c1d4e621bc77</v>
      </c>
      <c r="G251" s="26" t="str">
        <f>IFERROR(__xludf.DUMMYFUNCTION("""COMPUTED_VALUE"""),"Trevor Coehoorn")</f>
        <v>Trevor Coehoorn</v>
      </c>
      <c r="H251" s="26" t="b">
        <v>0</v>
      </c>
    </row>
    <row r="252" hidden="1">
      <c r="A252" s="26" t="str">
        <f>VLOOKUP(B252,'2020 SRED (JIRA) - Issues and l'!$B:$C,2,FALSE)</f>
        <v>portal-builder-SRED</v>
      </c>
      <c r="B252" s="27" t="str">
        <f>IFERROR(__xludf.DUMMYFUNCTION("""COMPUTED_VALUE"""),"IV2-208")</f>
        <v>IV2-208</v>
      </c>
      <c r="C252" s="26" t="str">
        <f>IFERROR(__xludf.DUMMYFUNCTION("""COMPUTED_VALUE"""),"Allow users to reorder pages in the Portal Builder")</f>
        <v>Allow users to reorder pages in the Portal Builder</v>
      </c>
      <c r="D252" s="28">
        <f>IFERROR(__xludf.DUMMYFUNCTION("""COMPUTED_VALUE"""),3.7)</f>
        <v>3.7</v>
      </c>
      <c r="E252" s="29">
        <f>IFERROR(__xludf.DUMMYFUNCTION("""COMPUTED_VALUE"""),43943.0)</f>
        <v>43943</v>
      </c>
      <c r="F252" s="26" t="str">
        <f>IFERROR(__xludf.DUMMYFUNCTION("""COMPUTED_VALUE"""),"557058:3124a1f0-e92a-405c-93f2-c1d4e621bc77")</f>
        <v>557058:3124a1f0-e92a-405c-93f2-c1d4e621bc77</v>
      </c>
      <c r="G252" s="26" t="str">
        <f>IFERROR(__xludf.DUMMYFUNCTION("""COMPUTED_VALUE"""),"Trevor Coehoorn")</f>
        <v>Trevor Coehoorn</v>
      </c>
      <c r="H252" s="26" t="b">
        <v>0</v>
      </c>
    </row>
    <row r="253" hidden="1">
      <c r="A253" s="26" t="str">
        <f>VLOOKUP(B253,'2020 SRED (JIRA) - Issues and l'!$B:$C,2,FALSE)</f>
        <v>portal-builder-SRED</v>
      </c>
      <c r="B253" s="27" t="str">
        <f>IFERROR(__xludf.DUMMYFUNCTION("""COMPUTED_VALUE"""),"ITP-1819")</f>
        <v>ITP-1819</v>
      </c>
      <c r="C253" s="26" t="str">
        <f>IFERROR(__xludf.DUMMYFUNCTION("""COMPUTED_VALUE"""),"Set up one-time login password creation process")</f>
        <v>Set up one-time login password creation process</v>
      </c>
      <c r="D253" s="28">
        <f>IFERROR(__xludf.DUMMYFUNCTION("""COMPUTED_VALUE"""),1.55)</f>
        <v>1.55</v>
      </c>
      <c r="E253" s="29">
        <f>IFERROR(__xludf.DUMMYFUNCTION("""COMPUTED_VALUE"""),43943.0)</f>
        <v>43943</v>
      </c>
      <c r="F253" s="26" t="str">
        <f>IFERROR(__xludf.DUMMYFUNCTION("""COMPUTED_VALUE"""),"557058:3124a1f0-e92a-405c-93f2-c1d4e621bc77")</f>
        <v>557058:3124a1f0-e92a-405c-93f2-c1d4e621bc77</v>
      </c>
      <c r="G253" s="26" t="str">
        <f>IFERROR(__xludf.DUMMYFUNCTION("""COMPUTED_VALUE"""),"Trevor Coehoorn")</f>
        <v>Trevor Coehoorn</v>
      </c>
      <c r="H253" s="26" t="b">
        <v>0</v>
      </c>
    </row>
    <row r="254" hidden="1">
      <c r="A254" s="26" t="str">
        <f>VLOOKUP(B254,'2020 SRED (JIRA) - Issues and l'!$B:$C,2,FALSE)</f>
        <v>portal-builder-SRED</v>
      </c>
      <c r="B254" s="27" t="str">
        <f>IFERROR(__xludf.DUMMYFUNCTION("""COMPUTED_VALUE"""),"ITP-1819")</f>
        <v>ITP-1819</v>
      </c>
      <c r="C254" s="26" t="str">
        <f>IFERROR(__xludf.DUMMYFUNCTION("""COMPUTED_VALUE"""),"Set up one-time login password creation process")</f>
        <v>Set up one-time login password creation process</v>
      </c>
      <c r="D254" s="28">
        <f>IFERROR(__xludf.DUMMYFUNCTION("""COMPUTED_VALUE"""),5.56666666666666)</f>
        <v>5.566666667</v>
      </c>
      <c r="E254" s="29">
        <f>IFERROR(__xludf.DUMMYFUNCTION("""COMPUTED_VALUE"""),43944.0)</f>
        <v>43944</v>
      </c>
      <c r="F254" s="26" t="str">
        <f>IFERROR(__xludf.DUMMYFUNCTION("""COMPUTED_VALUE"""),"557058:3124a1f0-e92a-405c-93f2-c1d4e621bc77")</f>
        <v>557058:3124a1f0-e92a-405c-93f2-c1d4e621bc77</v>
      </c>
      <c r="G254" s="26" t="str">
        <f>IFERROR(__xludf.DUMMYFUNCTION("""COMPUTED_VALUE"""),"Trevor Coehoorn")</f>
        <v>Trevor Coehoorn</v>
      </c>
      <c r="H254" s="26" t="b">
        <v>0</v>
      </c>
    </row>
    <row r="255" hidden="1">
      <c r="A255" s="26" t="str">
        <f>VLOOKUP(B255,'2020 SRED (JIRA) - Issues and l'!$B:$C,2,FALSE)</f>
        <v>insite-event-SRED</v>
      </c>
      <c r="B255" s="27" t="str">
        <f>IFERROR(__xludf.DUMMYFUNCTION("""COMPUTED_VALUE"""),"ZAPI-27")</f>
        <v>ZAPI-27</v>
      </c>
      <c r="C255" s="26" t="str">
        <f>IFERROR(__xludf.DUMMYFUNCTION("""COMPUTED_VALUE"""),"As a meeting administrator, I can add a web meeting panel/widget to my touchpoint content page and start/join a meeting from there")</f>
        <v>As a meeting administrator, I can add a web meeting panel/widget to my touchpoint content page and start/join a meeting from there</v>
      </c>
      <c r="D255" s="28">
        <f>IFERROR(__xludf.DUMMYFUNCTION("""COMPUTED_VALUE"""),0.366666666666666)</f>
        <v>0.3666666667</v>
      </c>
      <c r="E255" s="29">
        <f>IFERROR(__xludf.DUMMYFUNCTION("""COMPUTED_VALUE"""),43945.0)</f>
        <v>43945</v>
      </c>
      <c r="F255" s="26" t="str">
        <f>IFERROR(__xludf.DUMMYFUNCTION("""COMPUTED_VALUE"""),"557058:3124a1f0-e92a-405c-93f2-c1d4e621bc77")</f>
        <v>557058:3124a1f0-e92a-405c-93f2-c1d4e621bc77</v>
      </c>
      <c r="G255" s="26" t="str">
        <f>IFERROR(__xludf.DUMMYFUNCTION("""COMPUTED_VALUE"""),"Trevor Coehoorn")</f>
        <v>Trevor Coehoorn</v>
      </c>
      <c r="H255" s="26" t="b">
        <v>0</v>
      </c>
    </row>
    <row r="256" hidden="1">
      <c r="A256" s="26" t="str">
        <f>VLOOKUP(B256,'2020 SRED (JIRA) - Issues and l'!$B:$C,2,FALSE)</f>
        <v>portal-builder-SRED</v>
      </c>
      <c r="B256" s="27" t="str">
        <f>IFERROR(__xludf.DUMMYFUNCTION("""COMPUTED_VALUE"""),"IV2-207")</f>
        <v>IV2-207</v>
      </c>
      <c r="C256" s="26" t="str">
        <f>IFERROR(__xludf.DUMMYFUNCTION("""COMPUTED_VALUE"""),"Prevent users from losing changes when they navigate away from pages")</f>
        <v>Prevent users from losing changes when they navigate away from pages</v>
      </c>
      <c r="D256" s="28">
        <f>IFERROR(__xludf.DUMMYFUNCTION("""COMPUTED_VALUE"""),5.7)</f>
        <v>5.7</v>
      </c>
      <c r="E256" s="29">
        <f>IFERROR(__xludf.DUMMYFUNCTION("""COMPUTED_VALUE"""),43945.0)</f>
        <v>43945</v>
      </c>
      <c r="F256" s="26" t="str">
        <f>IFERROR(__xludf.DUMMYFUNCTION("""COMPUTED_VALUE"""),"557058:3124a1f0-e92a-405c-93f2-c1d4e621bc77")</f>
        <v>557058:3124a1f0-e92a-405c-93f2-c1d4e621bc77</v>
      </c>
      <c r="G256" s="26" t="str">
        <f>IFERROR(__xludf.DUMMYFUNCTION("""COMPUTED_VALUE"""),"Trevor Coehoorn")</f>
        <v>Trevor Coehoorn</v>
      </c>
      <c r="H256" s="26" t="b">
        <v>0</v>
      </c>
    </row>
    <row r="257" hidden="1">
      <c r="A257" s="26" t="str">
        <f>VLOOKUP(B257,'2020 SRED (JIRA) - Issues and l'!$B:$C,2,FALSE)</f>
        <v>portal-builder-SRED</v>
      </c>
      <c r="B257" s="27" t="str">
        <f>IFERROR(__xludf.DUMMYFUNCTION("""COMPUTED_VALUE"""),"IV2-207")</f>
        <v>IV2-207</v>
      </c>
      <c r="C257" s="26" t="str">
        <f>IFERROR(__xludf.DUMMYFUNCTION("""COMPUTED_VALUE"""),"Prevent users from losing changes when they navigate away from pages")</f>
        <v>Prevent users from losing changes when they navigate away from pages</v>
      </c>
      <c r="D257" s="28">
        <f>IFERROR(__xludf.DUMMYFUNCTION("""COMPUTED_VALUE"""),3.46666666666666)</f>
        <v>3.466666667</v>
      </c>
      <c r="E257" s="29">
        <f>IFERROR(__xludf.DUMMYFUNCTION("""COMPUTED_VALUE"""),43948.0)</f>
        <v>43948</v>
      </c>
      <c r="F257" s="26" t="str">
        <f>IFERROR(__xludf.DUMMYFUNCTION("""COMPUTED_VALUE"""),"557058:3124a1f0-e92a-405c-93f2-c1d4e621bc77")</f>
        <v>557058:3124a1f0-e92a-405c-93f2-c1d4e621bc77</v>
      </c>
      <c r="G257" s="26" t="str">
        <f>IFERROR(__xludf.DUMMYFUNCTION("""COMPUTED_VALUE"""),"Trevor Coehoorn")</f>
        <v>Trevor Coehoorn</v>
      </c>
      <c r="H257" s="26" t="b">
        <v>0</v>
      </c>
    </row>
    <row r="258" hidden="1">
      <c r="A258" s="26" t="str">
        <f>VLOOKUP(B258,'2020 SRED (JIRA) - Issues and l'!$B:$C,2,FALSE)</f>
        <v>portal-builder</v>
      </c>
      <c r="B258" s="27" t="str">
        <f>IFERROR(__xludf.DUMMYFUNCTION("""COMPUTED_VALUE"""),"IV2-31")</f>
        <v>IV2-31</v>
      </c>
      <c r="C258" s="26" t="str">
        <f>IFERROR(__xludf.DUMMYFUNCTION("""COMPUTED_VALUE"""),"V2 Status Meetings")</f>
        <v>V2 Status Meetings</v>
      </c>
      <c r="D258" s="28">
        <f>IFERROR(__xludf.DUMMYFUNCTION("""COMPUTED_VALUE"""),0.283333333333333)</f>
        <v>0.2833333333</v>
      </c>
      <c r="E258" s="29">
        <f>IFERROR(__xludf.DUMMYFUNCTION("""COMPUTED_VALUE"""),43948.0)</f>
        <v>43948</v>
      </c>
      <c r="F258" s="26" t="str">
        <f>IFERROR(__xludf.DUMMYFUNCTION("""COMPUTED_VALUE"""),"557058:3124a1f0-e92a-405c-93f2-c1d4e621bc77")</f>
        <v>557058:3124a1f0-e92a-405c-93f2-c1d4e621bc77</v>
      </c>
      <c r="G258" s="26" t="str">
        <f>IFERROR(__xludf.DUMMYFUNCTION("""COMPUTED_VALUE"""),"Trevor Coehoorn")</f>
        <v>Trevor Coehoorn</v>
      </c>
      <c r="H258" s="26" t="b">
        <v>0</v>
      </c>
    </row>
    <row r="259" hidden="1">
      <c r="A259" s="26" t="str">
        <f>VLOOKUP(B259,'2020 SRED (JIRA) - Issues and l'!$B:$C,2,FALSE)</f>
        <v>insite-event-SRED</v>
      </c>
      <c r="B259" s="27" t="str">
        <f>IFERROR(__xludf.DUMMYFUNCTION("""COMPUTED_VALUE"""),"ZAPI-27")</f>
        <v>ZAPI-27</v>
      </c>
      <c r="C259" s="26" t="str">
        <f>IFERROR(__xludf.DUMMYFUNCTION("""COMPUTED_VALUE"""),"As a meeting administrator, I can add a web meeting panel/widget to my touchpoint content page and start/join a meeting from there")</f>
        <v>As a meeting administrator, I can add a web meeting panel/widget to my touchpoint content page and start/join a meeting from there</v>
      </c>
      <c r="D259" s="28">
        <f>IFERROR(__xludf.DUMMYFUNCTION("""COMPUTED_VALUE"""),0.233333333333333)</f>
        <v>0.2333333333</v>
      </c>
      <c r="E259" s="29">
        <f>IFERROR(__xludf.DUMMYFUNCTION("""COMPUTED_VALUE"""),43948.0)</f>
        <v>43948</v>
      </c>
      <c r="F259" s="26" t="str">
        <f>IFERROR(__xludf.DUMMYFUNCTION("""COMPUTED_VALUE"""),"557058:3124a1f0-e92a-405c-93f2-c1d4e621bc77")</f>
        <v>557058:3124a1f0-e92a-405c-93f2-c1d4e621bc77</v>
      </c>
      <c r="G259" s="26" t="str">
        <f>IFERROR(__xludf.DUMMYFUNCTION("""COMPUTED_VALUE"""),"Trevor Coehoorn")</f>
        <v>Trevor Coehoorn</v>
      </c>
      <c r="H259" s="26" t="b">
        <v>0</v>
      </c>
    </row>
    <row r="260" hidden="1">
      <c r="A260" s="26" t="str">
        <f>VLOOKUP(B260,'2020 SRED (JIRA) - Issues and l'!$B:$C,2,FALSE)</f>
        <v>portal-builder-SRED</v>
      </c>
      <c r="B260" s="27" t="str">
        <f>IFERROR(__xludf.DUMMYFUNCTION("""COMPUTED_VALUE"""),"ITP-1819")</f>
        <v>ITP-1819</v>
      </c>
      <c r="C260" s="26" t="str">
        <f>IFERROR(__xludf.DUMMYFUNCTION("""COMPUTED_VALUE"""),"Set up one-time login password creation process")</f>
        <v>Set up one-time login password creation process</v>
      </c>
      <c r="D260" s="28">
        <f>IFERROR(__xludf.DUMMYFUNCTION("""COMPUTED_VALUE"""),0.5)</f>
        <v>0.5</v>
      </c>
      <c r="E260" s="29">
        <f>IFERROR(__xludf.DUMMYFUNCTION("""COMPUTED_VALUE"""),43948.46875)</f>
        <v>43948.46875</v>
      </c>
      <c r="F260" s="26" t="str">
        <f>IFERROR(__xludf.DUMMYFUNCTION("""COMPUTED_VALUE"""),"557058:9827514e-9c5e-4d9d-af37-340b82b8423b")</f>
        <v>557058:9827514e-9c5e-4d9d-af37-340b82b8423b</v>
      </c>
      <c r="G260" s="26" t="str">
        <f>IFERROR(__xludf.DUMMYFUNCTION("""COMPUTED_VALUE"""),"Alyssia Grant")</f>
        <v>Alyssia Grant</v>
      </c>
      <c r="H260" s="26" t="b">
        <v>0</v>
      </c>
    </row>
    <row r="261" hidden="1">
      <c r="A261" s="26" t="str">
        <f>VLOOKUP(B261,'2020 SRED (JIRA) - Issues and l'!$B:$C,2,FALSE)</f>
        <v>portal-builder-SRED</v>
      </c>
      <c r="B261" s="27" t="str">
        <f>IFERROR(__xludf.DUMMYFUNCTION("""COMPUTED_VALUE"""),"IOP-1224")</f>
        <v>IOP-1224</v>
      </c>
      <c r="C261" s="26" t="str">
        <f>IFERROR(__xludf.DUMMYFUNCTION("""COMPUTED_VALUE"""),"Tracking how long someone watches a video")</f>
        <v>Tracking how long someone watches a video</v>
      </c>
      <c r="D261" s="28">
        <f>IFERROR(__xludf.DUMMYFUNCTION("""COMPUTED_VALUE"""),0.3)</f>
        <v>0.3</v>
      </c>
      <c r="E261" s="29">
        <f>IFERROR(__xludf.DUMMYFUNCTION("""COMPUTED_VALUE"""),43949.0)</f>
        <v>43949</v>
      </c>
      <c r="F261" s="26" t="str">
        <f>IFERROR(__xludf.DUMMYFUNCTION("""COMPUTED_VALUE"""),"557058:3124a1f0-e92a-405c-93f2-c1d4e621bc77")</f>
        <v>557058:3124a1f0-e92a-405c-93f2-c1d4e621bc77</v>
      </c>
      <c r="G261" s="26" t="str">
        <f>IFERROR(__xludf.DUMMYFUNCTION("""COMPUTED_VALUE"""),"Trevor Coehoorn")</f>
        <v>Trevor Coehoorn</v>
      </c>
      <c r="H261" s="26" t="b">
        <v>0</v>
      </c>
    </row>
    <row r="262" hidden="1">
      <c r="A262" s="26" t="str">
        <f>VLOOKUP(B262,'2020 SRED (JIRA) - Issues and l'!$B:$C,2,FALSE)</f>
        <v>portal-builder-SRED</v>
      </c>
      <c r="B262" s="27" t="str">
        <f>IFERROR(__xludf.DUMMYFUNCTION("""COMPUTED_VALUE"""),"IV2-206")</f>
        <v>IV2-206</v>
      </c>
      <c r="C262" s="26" t="str">
        <f>IFERROR(__xludf.DUMMYFUNCTION("""COMPUTED_VALUE"""),"Make it easier to add images to pages and emails in the Portal Builder")</f>
        <v>Make it easier to add images to pages and emails in the Portal Builder</v>
      </c>
      <c r="D262" s="28">
        <f>IFERROR(__xludf.DUMMYFUNCTION("""COMPUTED_VALUE"""),3.45)</f>
        <v>3.45</v>
      </c>
      <c r="E262" s="29">
        <f>IFERROR(__xludf.DUMMYFUNCTION("""COMPUTED_VALUE"""),43949.0)</f>
        <v>43949</v>
      </c>
      <c r="F262" s="26" t="str">
        <f>IFERROR(__xludf.DUMMYFUNCTION("""COMPUTED_VALUE"""),"557058:3124a1f0-e92a-405c-93f2-c1d4e621bc77")</f>
        <v>557058:3124a1f0-e92a-405c-93f2-c1d4e621bc77</v>
      </c>
      <c r="G262" s="26" t="str">
        <f>IFERROR(__xludf.DUMMYFUNCTION("""COMPUTED_VALUE"""),"Trevor Coehoorn")</f>
        <v>Trevor Coehoorn</v>
      </c>
      <c r="H262" s="26" t="b">
        <v>0</v>
      </c>
    </row>
    <row r="263" hidden="1">
      <c r="A263" s="26" t="str">
        <f>VLOOKUP(B263,'2020 SRED (JIRA) - Issues and l'!$B:$C,2,FALSE)</f>
        <v>portal-builder-SRED</v>
      </c>
      <c r="B263" s="27" t="str">
        <f>IFERROR(__xludf.DUMMYFUNCTION("""COMPUTED_VALUE"""),"IV2-207")</f>
        <v>IV2-207</v>
      </c>
      <c r="C263" s="26" t="str">
        <f>IFERROR(__xludf.DUMMYFUNCTION("""COMPUTED_VALUE"""),"Prevent users from losing changes when they navigate away from pages")</f>
        <v>Prevent users from losing changes when they navigate away from pages</v>
      </c>
      <c r="D263" s="28">
        <f>IFERROR(__xludf.DUMMYFUNCTION("""COMPUTED_VALUE"""),0.35)</f>
        <v>0.35</v>
      </c>
      <c r="E263" s="29">
        <f>IFERROR(__xludf.DUMMYFUNCTION("""COMPUTED_VALUE"""),43949.0)</f>
        <v>43949</v>
      </c>
      <c r="F263" s="26" t="str">
        <f>IFERROR(__xludf.DUMMYFUNCTION("""COMPUTED_VALUE"""),"557058:3124a1f0-e92a-405c-93f2-c1d4e621bc77")</f>
        <v>557058:3124a1f0-e92a-405c-93f2-c1d4e621bc77</v>
      </c>
      <c r="G263" s="26" t="str">
        <f>IFERROR(__xludf.DUMMYFUNCTION("""COMPUTED_VALUE"""),"Trevor Coehoorn")</f>
        <v>Trevor Coehoorn</v>
      </c>
      <c r="H263" s="26" t="b">
        <v>0</v>
      </c>
    </row>
    <row r="264" hidden="1">
      <c r="A264" s="26" t="str">
        <f>VLOOKUP(B264,'2020 SRED (JIRA) - Issues and l'!$B:$C,2,FALSE)</f>
        <v>portal-builder-SRED</v>
      </c>
      <c r="B264" s="27" t="str">
        <f>IFERROR(__xludf.DUMMYFUNCTION("""COMPUTED_VALUE"""),"IV2-206")</f>
        <v>IV2-206</v>
      </c>
      <c r="C264" s="26" t="str">
        <f>IFERROR(__xludf.DUMMYFUNCTION("""COMPUTED_VALUE"""),"Make it easier to add images to pages and emails in the Portal Builder")</f>
        <v>Make it easier to add images to pages and emails in the Portal Builder</v>
      </c>
      <c r="D264" s="28">
        <f>IFERROR(__xludf.DUMMYFUNCTION("""COMPUTED_VALUE"""),4.75)</f>
        <v>4.75</v>
      </c>
      <c r="E264" s="29">
        <f>IFERROR(__xludf.DUMMYFUNCTION("""COMPUTED_VALUE"""),43950.0)</f>
        <v>43950</v>
      </c>
      <c r="F264" s="26" t="str">
        <f>IFERROR(__xludf.DUMMYFUNCTION("""COMPUTED_VALUE"""),"557058:3124a1f0-e92a-405c-93f2-c1d4e621bc77")</f>
        <v>557058:3124a1f0-e92a-405c-93f2-c1d4e621bc77</v>
      </c>
      <c r="G264" s="26" t="str">
        <f>IFERROR(__xludf.DUMMYFUNCTION("""COMPUTED_VALUE"""),"Trevor Coehoorn")</f>
        <v>Trevor Coehoorn</v>
      </c>
      <c r="H264" s="26" t="b">
        <v>0</v>
      </c>
    </row>
    <row r="265" hidden="1">
      <c r="A265" s="26" t="str">
        <f>VLOOKUP(B265,'2020 SRED (JIRA) - Issues and l'!$B:$C,2,FALSE)</f>
        <v>portal-builder-SRED</v>
      </c>
      <c r="B265" s="27" t="str">
        <f>IFERROR(__xludf.DUMMYFUNCTION("""COMPUTED_VALUE"""),"ITP-1819")</f>
        <v>ITP-1819</v>
      </c>
      <c r="C265" s="26" t="str">
        <f>IFERROR(__xludf.DUMMYFUNCTION("""COMPUTED_VALUE"""),"Set up one-time login password creation process")</f>
        <v>Set up one-time login password creation process</v>
      </c>
      <c r="D265" s="28">
        <f>IFERROR(__xludf.DUMMYFUNCTION("""COMPUTED_VALUE"""),1.56666666666666)</f>
        <v>1.566666667</v>
      </c>
      <c r="E265" s="29">
        <f>IFERROR(__xludf.DUMMYFUNCTION("""COMPUTED_VALUE"""),43950.0)</f>
        <v>43950</v>
      </c>
      <c r="F265" s="26" t="str">
        <f>IFERROR(__xludf.DUMMYFUNCTION("""COMPUTED_VALUE"""),"557058:3124a1f0-e92a-405c-93f2-c1d4e621bc77")</f>
        <v>557058:3124a1f0-e92a-405c-93f2-c1d4e621bc77</v>
      </c>
      <c r="G265" s="26" t="str">
        <f>IFERROR(__xludf.DUMMYFUNCTION("""COMPUTED_VALUE"""),"Trevor Coehoorn")</f>
        <v>Trevor Coehoorn</v>
      </c>
      <c r="H265" s="26" t="b">
        <v>0</v>
      </c>
    </row>
    <row r="266" hidden="1">
      <c r="A266" s="26" t="str">
        <f>VLOOKUP(B266,'2020 SRED (JIRA) - Issues and l'!$B:$C,2,FALSE)</f>
        <v>portal-builder-SRED</v>
      </c>
      <c r="B266" s="27" t="str">
        <f>IFERROR(__xludf.DUMMYFUNCTION("""COMPUTED_VALUE"""),"IOP-1224")</f>
        <v>IOP-1224</v>
      </c>
      <c r="C266" s="26" t="str">
        <f>IFERROR(__xludf.DUMMYFUNCTION("""COMPUTED_VALUE"""),"Tracking how long someone watches a video")</f>
        <v>Tracking how long someone watches a video</v>
      </c>
      <c r="D266" s="28">
        <f>IFERROR(__xludf.DUMMYFUNCTION("""COMPUTED_VALUE"""),0.0666666666666666)</f>
        <v>0.06666666667</v>
      </c>
      <c r="E266" s="29">
        <f>IFERROR(__xludf.DUMMYFUNCTION("""COMPUTED_VALUE"""),43950.0)</f>
        <v>43950</v>
      </c>
      <c r="F266" s="26" t="str">
        <f>IFERROR(__xludf.DUMMYFUNCTION("""COMPUTED_VALUE"""),"557058:3124a1f0-e92a-405c-93f2-c1d4e621bc77")</f>
        <v>557058:3124a1f0-e92a-405c-93f2-c1d4e621bc77</v>
      </c>
      <c r="G266" s="26" t="str">
        <f>IFERROR(__xludf.DUMMYFUNCTION("""COMPUTED_VALUE"""),"Trevor Coehoorn")</f>
        <v>Trevor Coehoorn</v>
      </c>
      <c r="H266" s="26" t="b">
        <v>0</v>
      </c>
    </row>
    <row r="267" hidden="1">
      <c r="A267" s="26" t="str">
        <f>VLOOKUP(B267,'2020 SRED (JIRA) - Issues and l'!$B:$C,2,FALSE)</f>
        <v>insite-event-SRED</v>
      </c>
      <c r="B267" s="27" t="str">
        <f>IFERROR(__xludf.DUMMYFUNCTION("""COMPUTED_VALUE"""),"ZAPI-28")</f>
        <v>ZAPI-28</v>
      </c>
      <c r="C267" s="26" t="str">
        <f>IFERROR(__xludf.DUMMYFUNCTION("""COMPUTED_VALUE"""),"As a meeting administrator, I can enable activity tracking and reminders for a web meeting")</f>
        <v>As a meeting administrator, I can enable activity tracking and reminders for a web meeting</v>
      </c>
      <c r="D267" s="28">
        <f>IFERROR(__xludf.DUMMYFUNCTION("""COMPUTED_VALUE"""),0.533333333333333)</f>
        <v>0.5333333333</v>
      </c>
      <c r="E267" s="29">
        <f>IFERROR(__xludf.DUMMYFUNCTION("""COMPUTED_VALUE"""),43951.0)</f>
        <v>43951</v>
      </c>
      <c r="F267" s="26" t="str">
        <f>IFERROR(__xludf.DUMMYFUNCTION("""COMPUTED_VALUE"""),"557058:3124a1f0-e92a-405c-93f2-c1d4e621bc77")</f>
        <v>557058:3124a1f0-e92a-405c-93f2-c1d4e621bc77</v>
      </c>
      <c r="G267" s="26" t="str">
        <f>IFERROR(__xludf.DUMMYFUNCTION("""COMPUTED_VALUE"""),"Trevor Coehoorn")</f>
        <v>Trevor Coehoorn</v>
      </c>
      <c r="H267" s="26" t="b">
        <v>0</v>
      </c>
    </row>
    <row r="268" hidden="1">
      <c r="A268" s="26" t="str">
        <f>VLOOKUP(B268,'2020 SRED (JIRA) - Issues and l'!$B:$C,2,FALSE)</f>
        <v>portal-builder-SRED</v>
      </c>
      <c r="B268" s="27" t="str">
        <f>IFERROR(__xludf.DUMMYFUNCTION("""COMPUTED_VALUE"""),"IOP-1224")</f>
        <v>IOP-1224</v>
      </c>
      <c r="C268" s="26" t="str">
        <f>IFERROR(__xludf.DUMMYFUNCTION("""COMPUTED_VALUE"""),"Tracking how long someone watches a video")</f>
        <v>Tracking how long someone watches a video</v>
      </c>
      <c r="D268" s="28">
        <f>IFERROR(__xludf.DUMMYFUNCTION("""COMPUTED_VALUE"""),4.18333333333333)</f>
        <v>4.183333333</v>
      </c>
      <c r="E268" s="29">
        <f>IFERROR(__xludf.DUMMYFUNCTION("""COMPUTED_VALUE"""),43951.0)</f>
        <v>43951</v>
      </c>
      <c r="F268" s="26" t="str">
        <f>IFERROR(__xludf.DUMMYFUNCTION("""COMPUTED_VALUE"""),"557058:3124a1f0-e92a-405c-93f2-c1d4e621bc77")</f>
        <v>557058:3124a1f0-e92a-405c-93f2-c1d4e621bc77</v>
      </c>
      <c r="G268" s="26" t="str">
        <f>IFERROR(__xludf.DUMMYFUNCTION("""COMPUTED_VALUE"""),"Trevor Coehoorn")</f>
        <v>Trevor Coehoorn</v>
      </c>
      <c r="H268" s="26" t="b">
        <v>0</v>
      </c>
    </row>
    <row r="269" hidden="1">
      <c r="A269" s="26" t="str">
        <f>VLOOKUP(B269,'2020 SRED (JIRA) - Issues and l'!$B:$C,2,FALSE)</f>
        <v>portal-builder-SRED</v>
      </c>
      <c r="B269" s="27" t="str">
        <f>IFERROR(__xludf.DUMMYFUNCTION("""COMPUTED_VALUE"""),"IV2-206")</f>
        <v>IV2-206</v>
      </c>
      <c r="C269" s="26" t="str">
        <f>IFERROR(__xludf.DUMMYFUNCTION("""COMPUTED_VALUE"""),"Make it easier to add images to pages and emails in the Portal Builder")</f>
        <v>Make it easier to add images to pages and emails in the Portal Builder</v>
      </c>
      <c r="D269" s="28">
        <f>IFERROR(__xludf.DUMMYFUNCTION("""COMPUTED_VALUE"""),0.1)</f>
        <v>0.1</v>
      </c>
      <c r="E269" s="29">
        <f>IFERROR(__xludf.DUMMYFUNCTION("""COMPUTED_VALUE"""),43951.0)</f>
        <v>43951</v>
      </c>
      <c r="F269" s="26" t="str">
        <f>IFERROR(__xludf.DUMMYFUNCTION("""COMPUTED_VALUE"""),"557058:3124a1f0-e92a-405c-93f2-c1d4e621bc77")</f>
        <v>557058:3124a1f0-e92a-405c-93f2-c1d4e621bc77</v>
      </c>
      <c r="G269" s="26" t="str">
        <f>IFERROR(__xludf.DUMMYFUNCTION("""COMPUTED_VALUE"""),"Trevor Coehoorn")</f>
        <v>Trevor Coehoorn</v>
      </c>
      <c r="H269" s="26" t="b">
        <v>0</v>
      </c>
    </row>
    <row r="270" hidden="1">
      <c r="A270" s="26" t="str">
        <f>VLOOKUP(B270,'2020 SRED (JIRA) - Issues and l'!$B:$C,2,FALSE)</f>
        <v>portal-builder-SRED</v>
      </c>
      <c r="B270" s="27" t="str">
        <f>IFERROR(__xludf.DUMMYFUNCTION("""COMPUTED_VALUE"""),"IOP-1224")</f>
        <v>IOP-1224</v>
      </c>
      <c r="C270" s="26" t="str">
        <f>IFERROR(__xludf.DUMMYFUNCTION("""COMPUTED_VALUE"""),"Tracking how long someone watches a video")</f>
        <v>Tracking how long someone watches a video</v>
      </c>
      <c r="D270" s="28">
        <f>IFERROR(__xludf.DUMMYFUNCTION("""COMPUTED_VALUE"""),0.416666666666666)</f>
        <v>0.4166666667</v>
      </c>
      <c r="E270" s="29">
        <f>IFERROR(__xludf.DUMMYFUNCTION("""COMPUTED_VALUE"""),43951.51041666667)</f>
        <v>43951.51042</v>
      </c>
      <c r="F270" s="26" t="str">
        <f>IFERROR(__xludf.DUMMYFUNCTION("""COMPUTED_VALUE"""),"557058:f55c62b5-dc7e-41e5-b0f8-231ca9f23470")</f>
        <v>557058:f55c62b5-dc7e-41e5-b0f8-231ca9f23470</v>
      </c>
      <c r="G270" s="26" t="str">
        <f>IFERROR(__xludf.DUMMYFUNCTION("""COMPUTED_VALUE"""),"Holly Lam")</f>
        <v>Holly Lam</v>
      </c>
      <c r="H270" s="26" t="b">
        <v>0</v>
      </c>
    </row>
    <row r="271" hidden="1">
      <c r="A271" s="26" t="str">
        <f>VLOOKUP(B271,'2020 SRED (JIRA) - Issues and l'!$B:$C,2,FALSE)</f>
        <v>portal-builder-SRED</v>
      </c>
      <c r="B271" s="27" t="str">
        <f>IFERROR(__xludf.DUMMYFUNCTION("""COMPUTED_VALUE"""),"IOP-1224")</f>
        <v>IOP-1224</v>
      </c>
      <c r="C271" s="26" t="str">
        <f>IFERROR(__xludf.DUMMYFUNCTION("""COMPUTED_VALUE"""),"Tracking how long someone watches a video")</f>
        <v>Tracking how long someone watches a video</v>
      </c>
      <c r="D271" s="28">
        <f>IFERROR(__xludf.DUMMYFUNCTION("""COMPUTED_VALUE"""),3.8)</f>
        <v>3.8</v>
      </c>
      <c r="E271" s="29">
        <f>IFERROR(__xludf.DUMMYFUNCTION("""COMPUTED_VALUE"""),43952.0)</f>
        <v>43952</v>
      </c>
      <c r="F271" s="26" t="str">
        <f>IFERROR(__xludf.DUMMYFUNCTION("""COMPUTED_VALUE"""),"557058:3124a1f0-e92a-405c-93f2-c1d4e621bc77")</f>
        <v>557058:3124a1f0-e92a-405c-93f2-c1d4e621bc77</v>
      </c>
      <c r="G271" s="26" t="str">
        <f>IFERROR(__xludf.DUMMYFUNCTION("""COMPUTED_VALUE"""),"Trevor Coehoorn")</f>
        <v>Trevor Coehoorn</v>
      </c>
      <c r="H271" s="26" t="b">
        <v>0</v>
      </c>
    </row>
    <row r="272" hidden="1">
      <c r="A272" s="26" t="str">
        <f>VLOOKUP(B272,'2020 SRED (JIRA) - Issues and l'!$B:$C,2,FALSE)</f>
        <v>portal-builder-SRED</v>
      </c>
      <c r="B272" s="27" t="str">
        <f>IFERROR(__xludf.DUMMYFUNCTION("""COMPUTED_VALUE"""),"IOP-1224")</f>
        <v>IOP-1224</v>
      </c>
      <c r="C272" s="26" t="str">
        <f>IFERROR(__xludf.DUMMYFUNCTION("""COMPUTED_VALUE"""),"Tracking how long someone watches a video")</f>
        <v>Tracking how long someone watches a video</v>
      </c>
      <c r="D272" s="28">
        <f>IFERROR(__xludf.DUMMYFUNCTION("""COMPUTED_VALUE"""),0.0666666666666666)</f>
        <v>0.06666666667</v>
      </c>
      <c r="E272" s="29">
        <f>IFERROR(__xludf.DUMMYFUNCTION("""COMPUTED_VALUE"""),43952.6625)</f>
        <v>43952.6625</v>
      </c>
      <c r="F272" s="26" t="str">
        <f>IFERROR(__xludf.DUMMYFUNCTION("""COMPUTED_VALUE"""),"557058:f55c62b5-dc7e-41e5-b0f8-231ca9f23470")</f>
        <v>557058:f55c62b5-dc7e-41e5-b0f8-231ca9f23470</v>
      </c>
      <c r="G272" s="26" t="str">
        <f>IFERROR(__xludf.DUMMYFUNCTION("""COMPUTED_VALUE"""),"Holly Lam")</f>
        <v>Holly Lam</v>
      </c>
      <c r="H272" s="26" t="b">
        <v>0</v>
      </c>
    </row>
    <row r="273" hidden="1">
      <c r="A273" s="26" t="str">
        <f>VLOOKUP(B273,'2020 SRED (JIRA) - Issues and l'!$B:$C,2,FALSE)</f>
        <v>portal-builder-SRED</v>
      </c>
      <c r="B273" s="27" t="str">
        <f>IFERROR(__xludf.DUMMYFUNCTION("""COMPUTED_VALUE"""),"IOP-1224")</f>
        <v>IOP-1224</v>
      </c>
      <c r="C273" s="26" t="str">
        <f>IFERROR(__xludf.DUMMYFUNCTION("""COMPUTED_VALUE"""),"Tracking how long someone watches a video")</f>
        <v>Tracking how long someone watches a video</v>
      </c>
      <c r="D273" s="28">
        <f>IFERROR(__xludf.DUMMYFUNCTION("""COMPUTED_VALUE"""),1.66666666666666)</f>
        <v>1.666666667</v>
      </c>
      <c r="E273" s="29">
        <f>IFERROR(__xludf.DUMMYFUNCTION("""COMPUTED_VALUE"""),43955.0)</f>
        <v>43955</v>
      </c>
      <c r="F273" s="26" t="str">
        <f>IFERROR(__xludf.DUMMYFUNCTION("""COMPUTED_VALUE"""),"557058:3124a1f0-e92a-405c-93f2-c1d4e621bc77")</f>
        <v>557058:3124a1f0-e92a-405c-93f2-c1d4e621bc77</v>
      </c>
      <c r="G273" s="26" t="str">
        <f>IFERROR(__xludf.DUMMYFUNCTION("""COMPUTED_VALUE"""),"Trevor Coehoorn")</f>
        <v>Trevor Coehoorn</v>
      </c>
      <c r="H273" s="26" t="b">
        <v>0</v>
      </c>
    </row>
    <row r="274" hidden="1">
      <c r="A274" s="26" t="str">
        <f>VLOOKUP(B274,'2020 SRED (JIRA) - Issues and l'!$B:$C,2,FALSE)</f>
        <v>insite-event-SRED</v>
      </c>
      <c r="B274" s="27" t="str">
        <f>IFERROR(__xludf.DUMMYFUNCTION("""COMPUTED_VALUE"""),"ZAPI-28")</f>
        <v>ZAPI-28</v>
      </c>
      <c r="C274" s="26" t="str">
        <f>IFERROR(__xludf.DUMMYFUNCTION("""COMPUTED_VALUE"""),"As a meeting administrator, I can enable activity tracking and reminders for a web meeting")</f>
        <v>As a meeting administrator, I can enable activity tracking and reminders for a web meeting</v>
      </c>
      <c r="D274" s="28">
        <f>IFERROR(__xludf.DUMMYFUNCTION("""COMPUTED_VALUE"""),0.583333333333333)</f>
        <v>0.5833333333</v>
      </c>
      <c r="E274" s="29">
        <f>IFERROR(__xludf.DUMMYFUNCTION("""COMPUTED_VALUE"""),43955.0)</f>
        <v>43955</v>
      </c>
      <c r="F274" s="26" t="str">
        <f>IFERROR(__xludf.DUMMYFUNCTION("""COMPUTED_VALUE"""),"557058:3124a1f0-e92a-405c-93f2-c1d4e621bc77")</f>
        <v>557058:3124a1f0-e92a-405c-93f2-c1d4e621bc77</v>
      </c>
      <c r="G274" s="26" t="str">
        <f>IFERROR(__xludf.DUMMYFUNCTION("""COMPUTED_VALUE"""),"Trevor Coehoorn")</f>
        <v>Trevor Coehoorn</v>
      </c>
      <c r="H274" s="26" t="b">
        <v>0</v>
      </c>
    </row>
    <row r="275" hidden="1">
      <c r="A275" s="26" t="str">
        <f>VLOOKUP(B275,'2020 SRED (JIRA) - Issues and l'!$B:$C,2,FALSE)</f>
        <v>insite-event-SRED</v>
      </c>
      <c r="B275" s="27" t="str">
        <f>IFERROR(__xludf.DUMMYFUNCTION("""COMPUTED_VALUE"""),"ZAPI-34")</f>
        <v>ZAPI-34</v>
      </c>
      <c r="C275" s="26" t="str">
        <f>IFERROR(__xludf.DUMMYFUNCTION("""COMPUTED_VALUE"""),"Record web meeting attendance")</f>
        <v>Record web meeting attendance</v>
      </c>
      <c r="D275" s="28">
        <f>IFERROR(__xludf.DUMMYFUNCTION("""COMPUTED_VALUE"""),1.31666666666666)</f>
        <v>1.316666667</v>
      </c>
      <c r="E275" s="29">
        <f>IFERROR(__xludf.DUMMYFUNCTION("""COMPUTED_VALUE"""),43955.0)</f>
        <v>43955</v>
      </c>
      <c r="F275" s="26" t="str">
        <f>IFERROR(__xludf.DUMMYFUNCTION("""COMPUTED_VALUE"""),"557058:3124a1f0-e92a-405c-93f2-c1d4e621bc77")</f>
        <v>557058:3124a1f0-e92a-405c-93f2-c1d4e621bc77</v>
      </c>
      <c r="G275" s="26" t="str">
        <f>IFERROR(__xludf.DUMMYFUNCTION("""COMPUTED_VALUE"""),"Trevor Coehoorn")</f>
        <v>Trevor Coehoorn</v>
      </c>
      <c r="H275" s="26" t="b">
        <v>0</v>
      </c>
    </row>
    <row r="276" hidden="1">
      <c r="A276" s="26" t="str">
        <f>VLOOKUP(B276,'2020 SRED (JIRA) - Issues and l'!$B:$C,2,FALSE)</f>
        <v>portal-builder-SRED</v>
      </c>
      <c r="B276" s="27" t="str">
        <f>IFERROR(__xludf.DUMMYFUNCTION("""COMPUTED_VALUE"""),"ITP-1819")</f>
        <v>ITP-1819</v>
      </c>
      <c r="C276" s="26" t="str">
        <f>IFERROR(__xludf.DUMMYFUNCTION("""COMPUTED_VALUE"""),"Set up one-time login password creation process")</f>
        <v>Set up one-time login password creation process</v>
      </c>
      <c r="D276" s="28">
        <f>IFERROR(__xludf.DUMMYFUNCTION("""COMPUTED_VALUE"""),1.0)</f>
        <v>1</v>
      </c>
      <c r="E276" s="29">
        <f>IFERROR(__xludf.DUMMYFUNCTION("""COMPUTED_VALUE"""),43956.0)</f>
        <v>43956</v>
      </c>
      <c r="F276" s="26" t="str">
        <f>IFERROR(__xludf.DUMMYFUNCTION("""COMPUTED_VALUE"""),"557058:3124a1f0-e92a-405c-93f2-c1d4e621bc77")</f>
        <v>557058:3124a1f0-e92a-405c-93f2-c1d4e621bc77</v>
      </c>
      <c r="G276" s="26" t="str">
        <f>IFERROR(__xludf.DUMMYFUNCTION("""COMPUTED_VALUE"""),"Trevor Coehoorn")</f>
        <v>Trevor Coehoorn</v>
      </c>
      <c r="H276" s="26" t="b">
        <v>0</v>
      </c>
    </row>
    <row r="277" hidden="1">
      <c r="A277" s="26" t="str">
        <f>VLOOKUP(B277,'2020 SRED (JIRA) - Issues and l'!$B:$C,2,FALSE)</f>
        <v>portal-builder-SRED</v>
      </c>
      <c r="B277" s="27" t="str">
        <f>IFERROR(__xludf.DUMMYFUNCTION("""COMPUTED_VALUE"""),"IOP-1224")</f>
        <v>IOP-1224</v>
      </c>
      <c r="C277" s="26" t="str">
        <f>IFERROR(__xludf.DUMMYFUNCTION("""COMPUTED_VALUE"""),"Tracking how long someone watches a video")</f>
        <v>Tracking how long someone watches a video</v>
      </c>
      <c r="D277" s="28">
        <f>IFERROR(__xludf.DUMMYFUNCTION("""COMPUTED_VALUE"""),1.08333333333333)</f>
        <v>1.083333333</v>
      </c>
      <c r="E277" s="29">
        <f>IFERROR(__xludf.DUMMYFUNCTION("""COMPUTED_VALUE"""),43956.0)</f>
        <v>43956</v>
      </c>
      <c r="F277" s="26" t="str">
        <f>IFERROR(__xludf.DUMMYFUNCTION("""COMPUTED_VALUE"""),"557058:3124a1f0-e92a-405c-93f2-c1d4e621bc77")</f>
        <v>557058:3124a1f0-e92a-405c-93f2-c1d4e621bc77</v>
      </c>
      <c r="G277" s="26" t="str">
        <f>IFERROR(__xludf.DUMMYFUNCTION("""COMPUTED_VALUE"""),"Trevor Coehoorn")</f>
        <v>Trevor Coehoorn</v>
      </c>
      <c r="H277" s="26" t="b">
        <v>0</v>
      </c>
    </row>
    <row r="278" hidden="1">
      <c r="A278" s="26" t="str">
        <f>VLOOKUP(B278,'2020 SRED (JIRA) - Issues and l'!$B:$C,2,FALSE)</f>
        <v>portal-builder</v>
      </c>
      <c r="B278" s="27" t="str">
        <f>IFERROR(__xludf.DUMMYFUNCTION("""COMPUTED_VALUE"""),"IV2-31")</f>
        <v>IV2-31</v>
      </c>
      <c r="C278" s="26" t="str">
        <f>IFERROR(__xludf.DUMMYFUNCTION("""COMPUTED_VALUE"""),"V2 Status Meetings")</f>
        <v>V2 Status Meetings</v>
      </c>
      <c r="D278" s="28">
        <f>IFERROR(__xludf.DUMMYFUNCTION("""COMPUTED_VALUE"""),0.166666666666666)</f>
        <v>0.1666666667</v>
      </c>
      <c r="E278" s="29">
        <f>IFERROR(__xludf.DUMMYFUNCTION("""COMPUTED_VALUE"""),43956.0)</f>
        <v>43956</v>
      </c>
      <c r="F278" s="26" t="str">
        <f>IFERROR(__xludf.DUMMYFUNCTION("""COMPUTED_VALUE"""),"557058:3124a1f0-e92a-405c-93f2-c1d4e621bc77")</f>
        <v>557058:3124a1f0-e92a-405c-93f2-c1d4e621bc77</v>
      </c>
      <c r="G278" s="26" t="str">
        <f>IFERROR(__xludf.DUMMYFUNCTION("""COMPUTED_VALUE"""),"Trevor Coehoorn")</f>
        <v>Trevor Coehoorn</v>
      </c>
      <c r="H278" s="26" t="b">
        <v>0</v>
      </c>
    </row>
    <row r="279" hidden="1">
      <c r="A279" s="26" t="str">
        <f>VLOOKUP(B279,'2020 SRED (JIRA) - Issues and l'!$B:$C,2,FALSE)</f>
        <v>portal-builder-SRED</v>
      </c>
      <c r="B279" s="27" t="str">
        <f>IFERROR(__xludf.DUMMYFUNCTION("""COMPUTED_VALUE"""),"IV2-206")</f>
        <v>IV2-206</v>
      </c>
      <c r="C279" s="26" t="str">
        <f>IFERROR(__xludf.DUMMYFUNCTION("""COMPUTED_VALUE"""),"Make it easier to add images to pages and emails in the Portal Builder")</f>
        <v>Make it easier to add images to pages and emails in the Portal Builder</v>
      </c>
      <c r="D279" s="28">
        <f>IFERROR(__xludf.DUMMYFUNCTION("""COMPUTED_VALUE"""),1.13333333333333)</f>
        <v>1.133333333</v>
      </c>
      <c r="E279" s="29">
        <f>IFERROR(__xludf.DUMMYFUNCTION("""COMPUTED_VALUE"""),43956.0)</f>
        <v>43956</v>
      </c>
      <c r="F279" s="26" t="str">
        <f>IFERROR(__xludf.DUMMYFUNCTION("""COMPUTED_VALUE"""),"557058:3124a1f0-e92a-405c-93f2-c1d4e621bc77")</f>
        <v>557058:3124a1f0-e92a-405c-93f2-c1d4e621bc77</v>
      </c>
      <c r="G279" s="26" t="str">
        <f>IFERROR(__xludf.DUMMYFUNCTION("""COMPUTED_VALUE"""),"Trevor Coehoorn")</f>
        <v>Trevor Coehoorn</v>
      </c>
      <c r="H279" s="26" t="b">
        <v>0</v>
      </c>
    </row>
    <row r="280" hidden="1">
      <c r="A280" s="26" t="str">
        <f>VLOOKUP(B280,'2020 SRED (JIRA) - Issues and l'!$B:$C,2,FALSE)</f>
        <v>portal-builder-SRED</v>
      </c>
      <c r="B280" s="27" t="str">
        <f>IFERROR(__xludf.DUMMYFUNCTION("""COMPUTED_VALUE"""),"IOP-1224")</f>
        <v>IOP-1224</v>
      </c>
      <c r="C280" s="26" t="str">
        <f>IFERROR(__xludf.DUMMYFUNCTION("""COMPUTED_VALUE"""),"Tracking how long someone watches a video")</f>
        <v>Tracking how long someone watches a video</v>
      </c>
      <c r="D280" s="28">
        <f>IFERROR(__xludf.DUMMYFUNCTION("""COMPUTED_VALUE"""),0.333333333333333)</f>
        <v>0.3333333333</v>
      </c>
      <c r="E280" s="29">
        <f>IFERROR(__xludf.DUMMYFUNCTION("""COMPUTED_VALUE"""),43956.0)</f>
        <v>43956</v>
      </c>
      <c r="F280" s="26" t="str">
        <f>IFERROR(__xludf.DUMMYFUNCTION("""COMPUTED_VALUE"""),"557058:3124a1f0-e92a-405c-93f2-c1d4e621bc77")</f>
        <v>557058:3124a1f0-e92a-405c-93f2-c1d4e621bc77</v>
      </c>
      <c r="G280" s="26" t="str">
        <f>IFERROR(__xludf.DUMMYFUNCTION("""COMPUTED_VALUE"""),"Trevor Coehoorn")</f>
        <v>Trevor Coehoorn</v>
      </c>
      <c r="H280" s="26" t="b">
        <v>0</v>
      </c>
    </row>
    <row r="281" hidden="1">
      <c r="A281" s="26" t="str">
        <f>VLOOKUP(B281,'2020 SRED (JIRA) - Issues and l'!$B:$C,2,FALSE)</f>
        <v>portal-builder-SRED</v>
      </c>
      <c r="B281" s="27" t="str">
        <f>IFERROR(__xludf.DUMMYFUNCTION("""COMPUTED_VALUE"""),"IOP-1224")</f>
        <v>IOP-1224</v>
      </c>
      <c r="C281" s="26" t="str">
        <f>IFERROR(__xludf.DUMMYFUNCTION("""COMPUTED_VALUE"""),"Tracking how long someone watches a video")</f>
        <v>Tracking how long someone watches a video</v>
      </c>
      <c r="D281" s="28">
        <f>IFERROR(__xludf.DUMMYFUNCTION("""COMPUTED_VALUE"""),0.1)</f>
        <v>0.1</v>
      </c>
      <c r="E281" s="29">
        <f>IFERROR(__xludf.DUMMYFUNCTION("""COMPUTED_VALUE"""),43956.634722222225)</f>
        <v>43956.63472</v>
      </c>
      <c r="F281" s="26" t="str">
        <f>IFERROR(__xludf.DUMMYFUNCTION("""COMPUTED_VALUE"""),"557058:f55c62b5-dc7e-41e5-b0f8-231ca9f23470")</f>
        <v>557058:f55c62b5-dc7e-41e5-b0f8-231ca9f23470</v>
      </c>
      <c r="G281" s="26" t="str">
        <f>IFERROR(__xludf.DUMMYFUNCTION("""COMPUTED_VALUE"""),"Holly Lam")</f>
        <v>Holly Lam</v>
      </c>
      <c r="H281" s="26" t="b">
        <v>0</v>
      </c>
    </row>
    <row r="282" hidden="1">
      <c r="A282" s="26" t="str">
        <f>VLOOKUP(B282,'2020 SRED (JIRA) - Issues and l'!$B:$C,2,FALSE)</f>
        <v>portal-builder-SRED</v>
      </c>
      <c r="B282" s="27" t="str">
        <f>IFERROR(__xludf.DUMMYFUNCTION("""COMPUTED_VALUE"""),"IOP-1224")</f>
        <v>IOP-1224</v>
      </c>
      <c r="C282" s="26" t="str">
        <f>IFERROR(__xludf.DUMMYFUNCTION("""COMPUTED_VALUE"""),"Tracking how long someone watches a video")</f>
        <v>Tracking how long someone watches a video</v>
      </c>
      <c r="D282" s="28">
        <f>IFERROR(__xludf.DUMMYFUNCTION("""COMPUTED_VALUE"""),3.75)</f>
        <v>3.75</v>
      </c>
      <c r="E282" s="29">
        <f>IFERROR(__xludf.DUMMYFUNCTION("""COMPUTED_VALUE"""),43957.0)</f>
        <v>43957</v>
      </c>
      <c r="F282" s="26" t="str">
        <f>IFERROR(__xludf.DUMMYFUNCTION("""COMPUTED_VALUE"""),"557058:3124a1f0-e92a-405c-93f2-c1d4e621bc77")</f>
        <v>557058:3124a1f0-e92a-405c-93f2-c1d4e621bc77</v>
      </c>
      <c r="G282" s="26" t="str">
        <f>IFERROR(__xludf.DUMMYFUNCTION("""COMPUTED_VALUE"""),"Trevor Coehoorn")</f>
        <v>Trevor Coehoorn</v>
      </c>
      <c r="H282" s="26" t="b">
        <v>0</v>
      </c>
    </row>
    <row r="283" hidden="1">
      <c r="A283" s="26" t="str">
        <f>VLOOKUP(B283,'2020 SRED (JIRA) - Issues and l'!$B:$C,2,FALSE)</f>
        <v>portal-builder-SRED</v>
      </c>
      <c r="B283" s="27" t="str">
        <f>IFERROR(__xludf.DUMMYFUNCTION("""COMPUTED_VALUE"""),"IV2-206")</f>
        <v>IV2-206</v>
      </c>
      <c r="C283" s="26" t="str">
        <f>IFERROR(__xludf.DUMMYFUNCTION("""COMPUTED_VALUE"""),"Make it easier to add images to pages and emails in the Portal Builder")</f>
        <v>Make it easier to add images to pages and emails in the Portal Builder</v>
      </c>
      <c r="D283" s="28">
        <f>IFERROR(__xludf.DUMMYFUNCTION("""COMPUTED_VALUE"""),2.81666666666666)</f>
        <v>2.816666667</v>
      </c>
      <c r="E283" s="29">
        <f>IFERROR(__xludf.DUMMYFUNCTION("""COMPUTED_VALUE"""),43957.0)</f>
        <v>43957</v>
      </c>
      <c r="F283" s="26" t="str">
        <f>IFERROR(__xludf.DUMMYFUNCTION("""COMPUTED_VALUE"""),"557058:3124a1f0-e92a-405c-93f2-c1d4e621bc77")</f>
        <v>557058:3124a1f0-e92a-405c-93f2-c1d4e621bc77</v>
      </c>
      <c r="G283" s="26" t="str">
        <f>IFERROR(__xludf.DUMMYFUNCTION("""COMPUTED_VALUE"""),"Trevor Coehoorn")</f>
        <v>Trevor Coehoorn</v>
      </c>
      <c r="H283" s="26" t="b">
        <v>0</v>
      </c>
    </row>
    <row r="284" hidden="1">
      <c r="A284" s="26" t="str">
        <f>VLOOKUP(B284,'2020 SRED (JIRA) - Issues and l'!$B:$C,2,FALSE)</f>
        <v>portal-builder-SRED</v>
      </c>
      <c r="B284" s="27" t="str">
        <f>IFERROR(__xludf.DUMMYFUNCTION("""COMPUTED_VALUE"""),"IOP-1224")</f>
        <v>IOP-1224</v>
      </c>
      <c r="C284" s="26" t="str">
        <f>IFERROR(__xludf.DUMMYFUNCTION("""COMPUTED_VALUE"""),"Tracking how long someone watches a video")</f>
        <v>Tracking how long someone watches a video</v>
      </c>
      <c r="D284" s="28">
        <f>IFERROR(__xludf.DUMMYFUNCTION("""COMPUTED_VALUE"""),0.0833333333333333)</f>
        <v>0.08333333333</v>
      </c>
      <c r="E284" s="29">
        <f>IFERROR(__xludf.DUMMYFUNCTION("""COMPUTED_VALUE"""),43957.59444444445)</f>
        <v>43957.59444</v>
      </c>
      <c r="F284" s="26" t="str">
        <f>IFERROR(__xludf.DUMMYFUNCTION("""COMPUTED_VALUE"""),"557058:f55c62b5-dc7e-41e5-b0f8-231ca9f23470")</f>
        <v>557058:f55c62b5-dc7e-41e5-b0f8-231ca9f23470</v>
      </c>
      <c r="G284" s="26" t="str">
        <f>IFERROR(__xludf.DUMMYFUNCTION("""COMPUTED_VALUE"""),"Holly Lam")</f>
        <v>Holly Lam</v>
      </c>
      <c r="H284" s="26" t="b">
        <v>0</v>
      </c>
    </row>
    <row r="285" hidden="1">
      <c r="A285" s="26" t="str">
        <f>VLOOKUP(B285,'2020 SRED (JIRA) - Issues and l'!$B:$C,2,FALSE)</f>
        <v>portal-builder-SRED</v>
      </c>
      <c r="B285" s="27" t="str">
        <f>IFERROR(__xludf.DUMMYFUNCTION("""COMPUTED_VALUE"""),"IV2-207")</f>
        <v>IV2-207</v>
      </c>
      <c r="C285" s="26" t="str">
        <f>IFERROR(__xludf.DUMMYFUNCTION("""COMPUTED_VALUE"""),"Prevent users from losing changes when they navigate away from pages")</f>
        <v>Prevent users from losing changes when they navigate away from pages</v>
      </c>
      <c r="D285" s="28">
        <f>IFERROR(__xludf.DUMMYFUNCTION("""COMPUTED_VALUE"""),0.7)</f>
        <v>0.7</v>
      </c>
      <c r="E285" s="29">
        <f>IFERROR(__xludf.DUMMYFUNCTION("""COMPUTED_VALUE"""),43957.63611111111)</f>
        <v>43957.63611</v>
      </c>
      <c r="F285" s="26" t="str">
        <f>IFERROR(__xludf.DUMMYFUNCTION("""COMPUTED_VALUE"""),"557058:f55c62b5-dc7e-41e5-b0f8-231ca9f23470")</f>
        <v>557058:f55c62b5-dc7e-41e5-b0f8-231ca9f23470</v>
      </c>
      <c r="G285" s="26" t="str">
        <f>IFERROR(__xludf.DUMMYFUNCTION("""COMPUTED_VALUE"""),"Holly Lam")</f>
        <v>Holly Lam</v>
      </c>
      <c r="H285" s="26" t="b">
        <v>0</v>
      </c>
    </row>
    <row r="286" hidden="1">
      <c r="A286" s="26" t="str">
        <f>VLOOKUP(B286,'2020 SRED (JIRA) - Issues and l'!$B:$C,2,FALSE)</f>
        <v>portal-builder-SRED</v>
      </c>
      <c r="B286" s="27" t="str">
        <f>IFERROR(__xludf.DUMMYFUNCTION("""COMPUTED_VALUE"""),"IV2-208")</f>
        <v>IV2-208</v>
      </c>
      <c r="C286" s="26" t="str">
        <f>IFERROR(__xludf.DUMMYFUNCTION("""COMPUTED_VALUE"""),"Allow users to reorder pages in the Portal Builder")</f>
        <v>Allow users to reorder pages in the Portal Builder</v>
      </c>
      <c r="D286" s="28">
        <f>IFERROR(__xludf.DUMMYFUNCTION("""COMPUTED_VALUE"""),0.116666666666666)</f>
        <v>0.1166666667</v>
      </c>
      <c r="E286" s="29">
        <f>IFERROR(__xludf.DUMMYFUNCTION("""COMPUTED_VALUE"""),43957.67361111111)</f>
        <v>43957.67361</v>
      </c>
      <c r="F286" s="26" t="str">
        <f>IFERROR(__xludf.DUMMYFUNCTION("""COMPUTED_VALUE"""),"557058:f55c62b5-dc7e-41e5-b0f8-231ca9f23470")</f>
        <v>557058:f55c62b5-dc7e-41e5-b0f8-231ca9f23470</v>
      </c>
      <c r="G286" s="26" t="str">
        <f>IFERROR(__xludf.DUMMYFUNCTION("""COMPUTED_VALUE"""),"Holly Lam")</f>
        <v>Holly Lam</v>
      </c>
      <c r="H286" s="26" t="b">
        <v>0</v>
      </c>
    </row>
    <row r="287" hidden="1">
      <c r="A287" s="26" t="str">
        <f>VLOOKUP(B287,'2020 SRED (JIRA) - Issues and l'!$B:$C,2,FALSE)</f>
        <v>portal-builder-SRED</v>
      </c>
      <c r="B287" s="27" t="str">
        <f>IFERROR(__xludf.DUMMYFUNCTION("""COMPUTED_VALUE"""),"ITP-1819")</f>
        <v>ITP-1819</v>
      </c>
      <c r="C287" s="26" t="str">
        <f>IFERROR(__xludf.DUMMYFUNCTION("""COMPUTED_VALUE"""),"Set up one-time login password creation process")</f>
        <v>Set up one-time login password creation process</v>
      </c>
      <c r="D287" s="28">
        <f>IFERROR(__xludf.DUMMYFUNCTION("""COMPUTED_VALUE"""),0.45)</f>
        <v>0.45</v>
      </c>
      <c r="E287" s="29">
        <f>IFERROR(__xludf.DUMMYFUNCTION("""COMPUTED_VALUE"""),43957.68125)</f>
        <v>43957.68125</v>
      </c>
      <c r="F287" s="26" t="str">
        <f>IFERROR(__xludf.DUMMYFUNCTION("""COMPUTED_VALUE"""),"557058:f55c62b5-dc7e-41e5-b0f8-231ca9f23470")</f>
        <v>557058:f55c62b5-dc7e-41e5-b0f8-231ca9f23470</v>
      </c>
      <c r="G287" s="26" t="str">
        <f>IFERROR(__xludf.DUMMYFUNCTION("""COMPUTED_VALUE"""),"Holly Lam")</f>
        <v>Holly Lam</v>
      </c>
      <c r="H287" s="26" t="b">
        <v>0</v>
      </c>
    </row>
    <row r="288" hidden="1">
      <c r="A288" s="26" t="str">
        <f>VLOOKUP(B288,'2020 SRED (JIRA) - Issues and l'!$B:$C,2,FALSE)</f>
        <v>portal-builder-SRED</v>
      </c>
      <c r="B288" s="27" t="str">
        <f>IFERROR(__xludf.DUMMYFUNCTION("""COMPUTED_VALUE"""),"IV2-207")</f>
        <v>IV2-207</v>
      </c>
      <c r="C288" s="26" t="str">
        <f>IFERROR(__xludf.DUMMYFUNCTION("""COMPUTED_VALUE"""),"Prevent users from losing changes when they navigate away from pages")</f>
        <v>Prevent users from losing changes when they navigate away from pages</v>
      </c>
      <c r="D288" s="28">
        <f>IFERROR(__xludf.DUMMYFUNCTION("""COMPUTED_VALUE"""),0.183333333333333)</f>
        <v>0.1833333333</v>
      </c>
      <c r="E288" s="29">
        <f>IFERROR(__xludf.DUMMYFUNCTION("""COMPUTED_VALUE"""),43958.0)</f>
        <v>43958</v>
      </c>
      <c r="F288" s="26" t="str">
        <f>IFERROR(__xludf.DUMMYFUNCTION("""COMPUTED_VALUE"""),"557058:3124a1f0-e92a-405c-93f2-c1d4e621bc77")</f>
        <v>557058:3124a1f0-e92a-405c-93f2-c1d4e621bc77</v>
      </c>
      <c r="G288" s="26" t="str">
        <f>IFERROR(__xludf.DUMMYFUNCTION("""COMPUTED_VALUE"""),"Trevor Coehoorn")</f>
        <v>Trevor Coehoorn</v>
      </c>
      <c r="H288" s="26" t="b">
        <v>0</v>
      </c>
    </row>
    <row r="289" hidden="1">
      <c r="A289" s="26" t="str">
        <f>VLOOKUP(B289,'2020 SRED (JIRA) - Issues and l'!$B:$C,2,FALSE)</f>
        <v>portal-builder-SRED</v>
      </c>
      <c r="B289" s="27" t="str">
        <f>IFERROR(__xludf.DUMMYFUNCTION("""COMPUTED_VALUE"""),"IOP-1224")</f>
        <v>IOP-1224</v>
      </c>
      <c r="C289" s="26" t="str">
        <f>IFERROR(__xludf.DUMMYFUNCTION("""COMPUTED_VALUE"""),"Tracking how long someone watches a video")</f>
        <v>Tracking how long someone watches a video</v>
      </c>
      <c r="D289" s="28">
        <f>IFERROR(__xludf.DUMMYFUNCTION("""COMPUTED_VALUE"""),5.51666666666666)</f>
        <v>5.516666667</v>
      </c>
      <c r="E289" s="29">
        <f>IFERROR(__xludf.DUMMYFUNCTION("""COMPUTED_VALUE"""),43958.0)</f>
        <v>43958</v>
      </c>
      <c r="F289" s="26" t="str">
        <f>IFERROR(__xludf.DUMMYFUNCTION("""COMPUTED_VALUE"""),"557058:3124a1f0-e92a-405c-93f2-c1d4e621bc77")</f>
        <v>557058:3124a1f0-e92a-405c-93f2-c1d4e621bc77</v>
      </c>
      <c r="G289" s="26" t="str">
        <f>IFERROR(__xludf.DUMMYFUNCTION("""COMPUTED_VALUE"""),"Trevor Coehoorn")</f>
        <v>Trevor Coehoorn</v>
      </c>
      <c r="H289" s="26" t="b">
        <v>0</v>
      </c>
    </row>
    <row r="290" hidden="1">
      <c r="A290" s="26" t="str">
        <f>VLOOKUP(B290,'2020 SRED (JIRA) - Issues and l'!$B:$C,2,FALSE)</f>
        <v>portal-builder-SRED</v>
      </c>
      <c r="B290" s="27" t="str">
        <f>IFERROR(__xludf.DUMMYFUNCTION("""COMPUTED_VALUE"""),"ITP-1819")</f>
        <v>ITP-1819</v>
      </c>
      <c r="C290" s="26" t="str">
        <f>IFERROR(__xludf.DUMMYFUNCTION("""COMPUTED_VALUE"""),"Set up one-time login password creation process")</f>
        <v>Set up one-time login password creation process</v>
      </c>
      <c r="D290" s="28">
        <f>IFERROR(__xludf.DUMMYFUNCTION("""COMPUTED_VALUE"""),0.65)</f>
        <v>0.65</v>
      </c>
      <c r="E290" s="29">
        <f>IFERROR(__xludf.DUMMYFUNCTION("""COMPUTED_VALUE"""),43958.0)</f>
        <v>43958</v>
      </c>
      <c r="F290" s="26" t="str">
        <f>IFERROR(__xludf.DUMMYFUNCTION("""COMPUTED_VALUE"""),"557058:3124a1f0-e92a-405c-93f2-c1d4e621bc77")</f>
        <v>557058:3124a1f0-e92a-405c-93f2-c1d4e621bc77</v>
      </c>
      <c r="G290" s="26" t="str">
        <f>IFERROR(__xludf.DUMMYFUNCTION("""COMPUTED_VALUE"""),"Trevor Coehoorn")</f>
        <v>Trevor Coehoorn</v>
      </c>
      <c r="H290" s="26" t="b">
        <v>0</v>
      </c>
    </row>
    <row r="291">
      <c r="A291" s="26" t="str">
        <f>VLOOKUP(B291,'2020 SRED (JIRA) - Issues and l'!$B:$C,2,FALSE)</f>
        <v>portal-builder-SRED</v>
      </c>
      <c r="B291" s="27" t="str">
        <f>IFERROR(__xludf.DUMMYFUNCTION("""COMPUTED_VALUE"""),"IOP-1224")</f>
        <v>IOP-1224</v>
      </c>
      <c r="C291" s="26" t="str">
        <f>IFERROR(__xludf.DUMMYFUNCTION("""COMPUTED_VALUE"""),"Tracking how long someone watches a video")</f>
        <v>Tracking how long someone watches a video</v>
      </c>
      <c r="D291" s="28">
        <f>IFERROR(__xludf.DUMMYFUNCTION("""COMPUTED_VALUE"""),1.5)</f>
        <v>1.5</v>
      </c>
      <c r="E291" s="29">
        <f>IFERROR(__xludf.DUMMYFUNCTION("""COMPUTED_VALUE"""),43958.0)</f>
        <v>43958</v>
      </c>
      <c r="F291" s="26" t="str">
        <f>IFERROR(__xludf.DUMMYFUNCTION("""COMPUTED_VALUE"""),"557058:ed1ddc66-d84d-405c-a815-0fcc6147ba14")</f>
        <v>557058:ed1ddc66-d84d-405c-a815-0fcc6147ba14</v>
      </c>
      <c r="G291" s="26" t="str">
        <f>IFERROR(__xludf.DUMMYFUNCTION("""COMPUTED_VALUE"""),"Mark Corrigan")</f>
        <v>Mark Corrigan</v>
      </c>
      <c r="H291" s="26" t="b">
        <v>0</v>
      </c>
    </row>
    <row r="292" hidden="1">
      <c r="A292" s="26" t="str">
        <f>VLOOKUP(B292,'2020 SRED (JIRA) - Issues and l'!$B:$C,2,FALSE)</f>
        <v>portal-builder-SRED</v>
      </c>
      <c r="B292" s="27" t="str">
        <f>IFERROR(__xludf.DUMMYFUNCTION("""COMPUTED_VALUE"""),"IOP-1224")</f>
        <v>IOP-1224</v>
      </c>
      <c r="C292" s="26" t="str">
        <f>IFERROR(__xludf.DUMMYFUNCTION("""COMPUTED_VALUE"""),"Tracking how long someone watches a video")</f>
        <v>Tracking how long someone watches a video</v>
      </c>
      <c r="D292" s="28">
        <f>IFERROR(__xludf.DUMMYFUNCTION("""COMPUTED_VALUE"""),0.333333333333333)</f>
        <v>0.3333333333</v>
      </c>
      <c r="E292" s="29">
        <f>IFERROR(__xludf.DUMMYFUNCTION("""COMPUTED_VALUE"""),43958.75625)</f>
        <v>43958.75625</v>
      </c>
      <c r="F292" s="26" t="str">
        <f>IFERROR(__xludf.DUMMYFUNCTION("""COMPUTED_VALUE"""),"557058:f55c62b5-dc7e-41e5-b0f8-231ca9f23470")</f>
        <v>557058:f55c62b5-dc7e-41e5-b0f8-231ca9f23470</v>
      </c>
      <c r="G292" s="26" t="str">
        <f>IFERROR(__xludf.DUMMYFUNCTION("""COMPUTED_VALUE"""),"Holly Lam")</f>
        <v>Holly Lam</v>
      </c>
      <c r="H292" s="26" t="b">
        <v>0</v>
      </c>
    </row>
    <row r="293" hidden="1">
      <c r="A293" s="26" t="str">
        <f>VLOOKUP(B293,'2020 SRED (JIRA) - Issues and l'!$B:$C,2,FALSE)</f>
        <v>portal-builder-SRED</v>
      </c>
      <c r="B293" s="27" t="str">
        <f>IFERROR(__xludf.DUMMYFUNCTION("""COMPUTED_VALUE"""),"IOP-1224")</f>
        <v>IOP-1224</v>
      </c>
      <c r="C293" s="26" t="str">
        <f>IFERROR(__xludf.DUMMYFUNCTION("""COMPUTED_VALUE"""),"Tracking how long someone watches a video")</f>
        <v>Tracking how long someone watches a video</v>
      </c>
      <c r="D293" s="28">
        <f>IFERROR(__xludf.DUMMYFUNCTION("""COMPUTED_VALUE"""),4.06666666666666)</f>
        <v>4.066666667</v>
      </c>
      <c r="E293" s="29">
        <f>IFERROR(__xludf.DUMMYFUNCTION("""COMPUTED_VALUE"""),43959.0)</f>
        <v>43959</v>
      </c>
      <c r="F293" s="26" t="str">
        <f>IFERROR(__xludf.DUMMYFUNCTION("""COMPUTED_VALUE"""),"557058:3124a1f0-e92a-405c-93f2-c1d4e621bc77")</f>
        <v>557058:3124a1f0-e92a-405c-93f2-c1d4e621bc77</v>
      </c>
      <c r="G293" s="26" t="str">
        <f>IFERROR(__xludf.DUMMYFUNCTION("""COMPUTED_VALUE"""),"Trevor Coehoorn")</f>
        <v>Trevor Coehoorn</v>
      </c>
      <c r="H293" s="26" t="b">
        <v>0</v>
      </c>
    </row>
    <row r="294" hidden="1">
      <c r="A294" s="26" t="str">
        <f>VLOOKUP(B294,'2020 SRED (JIRA) - Issues and l'!$B:$C,2,FALSE)</f>
        <v>portal-builder-SRED</v>
      </c>
      <c r="B294" s="27" t="str">
        <f>IFERROR(__xludf.DUMMYFUNCTION("""COMPUTED_VALUE"""),"IOP-1224")</f>
        <v>IOP-1224</v>
      </c>
      <c r="C294" s="26" t="str">
        <f>IFERROR(__xludf.DUMMYFUNCTION("""COMPUTED_VALUE"""),"Tracking how long someone watches a video")</f>
        <v>Tracking how long someone watches a video</v>
      </c>
      <c r="D294" s="28">
        <f>IFERROR(__xludf.DUMMYFUNCTION("""COMPUTED_VALUE"""),0.333333333333333)</f>
        <v>0.3333333333</v>
      </c>
      <c r="E294" s="29">
        <f>IFERROR(__xludf.DUMMYFUNCTION("""COMPUTED_VALUE"""),43959.56319444445)</f>
        <v>43959.56319</v>
      </c>
      <c r="F294" s="26" t="str">
        <f>IFERROR(__xludf.DUMMYFUNCTION("""COMPUTED_VALUE"""),"557058:f55c62b5-dc7e-41e5-b0f8-231ca9f23470")</f>
        <v>557058:f55c62b5-dc7e-41e5-b0f8-231ca9f23470</v>
      </c>
      <c r="G294" s="26" t="str">
        <f>IFERROR(__xludf.DUMMYFUNCTION("""COMPUTED_VALUE"""),"Holly Lam")</f>
        <v>Holly Lam</v>
      </c>
      <c r="H294" s="26" t="b">
        <v>0</v>
      </c>
    </row>
    <row r="295" hidden="1">
      <c r="A295" s="26" t="str">
        <f>VLOOKUP(B295,'2020 SRED (JIRA) - Issues and l'!$B:$C,2,FALSE)</f>
        <v>portal-builder</v>
      </c>
      <c r="B295" s="27" t="str">
        <f>IFERROR(__xludf.DUMMYFUNCTION("""COMPUTED_VALUE"""),"IV2-31")</f>
        <v>IV2-31</v>
      </c>
      <c r="C295" s="26" t="str">
        <f>IFERROR(__xludf.DUMMYFUNCTION("""COMPUTED_VALUE"""),"V2 Status Meetings")</f>
        <v>V2 Status Meetings</v>
      </c>
      <c r="D295" s="28">
        <f>IFERROR(__xludf.DUMMYFUNCTION("""COMPUTED_VALUE"""),0.166666666666666)</f>
        <v>0.1666666667</v>
      </c>
      <c r="E295" s="29">
        <f>IFERROR(__xludf.DUMMYFUNCTION("""COMPUTED_VALUE"""),43962.0)</f>
        <v>43962</v>
      </c>
      <c r="F295" s="26" t="str">
        <f>IFERROR(__xludf.DUMMYFUNCTION("""COMPUTED_VALUE"""),"557058:3124a1f0-e92a-405c-93f2-c1d4e621bc77")</f>
        <v>557058:3124a1f0-e92a-405c-93f2-c1d4e621bc77</v>
      </c>
      <c r="G295" s="26" t="str">
        <f>IFERROR(__xludf.DUMMYFUNCTION("""COMPUTED_VALUE"""),"Trevor Coehoorn")</f>
        <v>Trevor Coehoorn</v>
      </c>
      <c r="H295" s="26" t="b">
        <v>0</v>
      </c>
    </row>
    <row r="296" hidden="1">
      <c r="A296" s="26" t="str">
        <f>VLOOKUP(B296,'2020 SRED (JIRA) - Issues and l'!$B:$C,2,FALSE)</f>
        <v>portal-builder-SRED</v>
      </c>
      <c r="B296" s="27" t="str">
        <f>IFERROR(__xludf.DUMMYFUNCTION("""COMPUTED_VALUE"""),"IOP-1224")</f>
        <v>IOP-1224</v>
      </c>
      <c r="C296" s="26" t="str">
        <f>IFERROR(__xludf.DUMMYFUNCTION("""COMPUTED_VALUE"""),"Tracking how long someone watches a video")</f>
        <v>Tracking how long someone watches a video</v>
      </c>
      <c r="D296" s="28">
        <f>IFERROR(__xludf.DUMMYFUNCTION("""COMPUTED_VALUE"""),3.85)</f>
        <v>3.85</v>
      </c>
      <c r="E296" s="29">
        <f>IFERROR(__xludf.DUMMYFUNCTION("""COMPUTED_VALUE"""),43962.0)</f>
        <v>43962</v>
      </c>
      <c r="F296" s="26" t="str">
        <f>IFERROR(__xludf.DUMMYFUNCTION("""COMPUTED_VALUE"""),"557058:3124a1f0-e92a-405c-93f2-c1d4e621bc77")</f>
        <v>557058:3124a1f0-e92a-405c-93f2-c1d4e621bc77</v>
      </c>
      <c r="G296" s="26" t="str">
        <f>IFERROR(__xludf.DUMMYFUNCTION("""COMPUTED_VALUE"""),"Trevor Coehoorn")</f>
        <v>Trevor Coehoorn</v>
      </c>
      <c r="H296" s="26" t="b">
        <v>0</v>
      </c>
    </row>
    <row r="297" hidden="1">
      <c r="A297" s="26" t="str">
        <f>VLOOKUP(B297,'2020 SRED (JIRA) - Issues and l'!$B:$C,2,FALSE)</f>
        <v>portal-builder-SRED</v>
      </c>
      <c r="B297" s="27" t="str">
        <f>IFERROR(__xludf.DUMMYFUNCTION("""COMPUTED_VALUE"""),"IOP-1224")</f>
        <v>IOP-1224</v>
      </c>
      <c r="C297" s="26" t="str">
        <f>IFERROR(__xludf.DUMMYFUNCTION("""COMPUTED_VALUE"""),"Tracking how long someone watches a video")</f>
        <v>Tracking how long someone watches a video</v>
      </c>
      <c r="D297" s="28">
        <f>IFERROR(__xludf.DUMMYFUNCTION("""COMPUTED_VALUE"""),1.0)</f>
        <v>1</v>
      </c>
      <c r="E297" s="29">
        <f>IFERROR(__xludf.DUMMYFUNCTION("""COMPUTED_VALUE"""),43962.59861111111)</f>
        <v>43962.59861</v>
      </c>
      <c r="F297" s="26" t="str">
        <f>IFERROR(__xludf.DUMMYFUNCTION("""COMPUTED_VALUE"""),"557058:f55c62b5-dc7e-41e5-b0f8-231ca9f23470")</f>
        <v>557058:f55c62b5-dc7e-41e5-b0f8-231ca9f23470</v>
      </c>
      <c r="G297" s="26" t="str">
        <f>IFERROR(__xludf.DUMMYFUNCTION("""COMPUTED_VALUE"""),"Holly Lam")</f>
        <v>Holly Lam</v>
      </c>
      <c r="H297" s="26" t="b">
        <v>0</v>
      </c>
    </row>
    <row r="298" hidden="1">
      <c r="A298" s="26" t="str">
        <f>VLOOKUP(B298,'2020 SRED (JIRA) - Issues and l'!$B:$C,2,FALSE)</f>
        <v>portal-builder-SRED</v>
      </c>
      <c r="B298" s="27" t="str">
        <f>IFERROR(__xludf.DUMMYFUNCTION("""COMPUTED_VALUE"""),"ITP-1819")</f>
        <v>ITP-1819</v>
      </c>
      <c r="C298" s="26" t="str">
        <f>IFERROR(__xludf.DUMMYFUNCTION("""COMPUTED_VALUE"""),"Set up one-time login password creation process")</f>
        <v>Set up one-time login password creation process</v>
      </c>
      <c r="D298" s="28">
        <f>IFERROR(__xludf.DUMMYFUNCTION("""COMPUTED_VALUE"""),0.333333333333333)</f>
        <v>0.3333333333</v>
      </c>
      <c r="E298" s="29">
        <f>IFERROR(__xludf.DUMMYFUNCTION("""COMPUTED_VALUE"""),43962.774305555555)</f>
        <v>43962.77431</v>
      </c>
      <c r="F298" s="26" t="str">
        <f>IFERROR(__xludf.DUMMYFUNCTION("""COMPUTED_VALUE"""),"557058:f55c62b5-dc7e-41e5-b0f8-231ca9f23470")</f>
        <v>557058:f55c62b5-dc7e-41e5-b0f8-231ca9f23470</v>
      </c>
      <c r="G298" s="26" t="str">
        <f>IFERROR(__xludf.DUMMYFUNCTION("""COMPUTED_VALUE"""),"Holly Lam")</f>
        <v>Holly Lam</v>
      </c>
      <c r="H298" s="26" t="b">
        <v>0</v>
      </c>
    </row>
    <row r="299" hidden="1">
      <c r="A299" s="26" t="str">
        <f>VLOOKUP(B299,'2020 SRED (JIRA) - Issues and l'!$B:$C,2,FALSE)</f>
        <v>portal-builder-SRED</v>
      </c>
      <c r="B299" s="27" t="str">
        <f>IFERROR(__xludf.DUMMYFUNCTION("""COMPUTED_VALUE"""),"ITP-1819")</f>
        <v>ITP-1819</v>
      </c>
      <c r="C299" s="26" t="str">
        <f>IFERROR(__xludf.DUMMYFUNCTION("""COMPUTED_VALUE"""),"Set up one-time login password creation process")</f>
        <v>Set up one-time login password creation process</v>
      </c>
      <c r="D299" s="28">
        <f>IFERROR(__xludf.DUMMYFUNCTION("""COMPUTED_VALUE"""),0.1)</f>
        <v>0.1</v>
      </c>
      <c r="E299" s="29">
        <f>IFERROR(__xludf.DUMMYFUNCTION("""COMPUTED_VALUE"""),43963.0)</f>
        <v>43963</v>
      </c>
      <c r="F299" s="26" t="str">
        <f>IFERROR(__xludf.DUMMYFUNCTION("""COMPUTED_VALUE"""),"557058:3124a1f0-e92a-405c-93f2-c1d4e621bc77")</f>
        <v>557058:3124a1f0-e92a-405c-93f2-c1d4e621bc77</v>
      </c>
      <c r="G299" s="26" t="str">
        <f>IFERROR(__xludf.DUMMYFUNCTION("""COMPUTED_VALUE"""),"Trevor Coehoorn")</f>
        <v>Trevor Coehoorn</v>
      </c>
      <c r="H299" s="26" t="b">
        <v>0</v>
      </c>
    </row>
    <row r="300" hidden="1">
      <c r="A300" s="26" t="str">
        <f>VLOOKUP(B300,'2020 SRED (JIRA) - Issues and l'!$B:$C,2,FALSE)</f>
        <v>portal-builder</v>
      </c>
      <c r="B300" s="27" t="str">
        <f>IFERROR(__xludf.DUMMYFUNCTION("""COMPUTED_VALUE"""),"IV2-31")</f>
        <v>IV2-31</v>
      </c>
      <c r="C300" s="26" t="str">
        <f>IFERROR(__xludf.DUMMYFUNCTION("""COMPUTED_VALUE"""),"V2 Status Meetings")</f>
        <v>V2 Status Meetings</v>
      </c>
      <c r="D300" s="28">
        <f>IFERROR(__xludf.DUMMYFUNCTION("""COMPUTED_VALUE"""),0.266666666666666)</f>
        <v>0.2666666667</v>
      </c>
      <c r="E300" s="29">
        <f>IFERROR(__xludf.DUMMYFUNCTION("""COMPUTED_VALUE"""),43963.0)</f>
        <v>43963</v>
      </c>
      <c r="F300" s="26" t="str">
        <f>IFERROR(__xludf.DUMMYFUNCTION("""COMPUTED_VALUE"""),"557058:3124a1f0-e92a-405c-93f2-c1d4e621bc77")</f>
        <v>557058:3124a1f0-e92a-405c-93f2-c1d4e621bc77</v>
      </c>
      <c r="G300" s="26" t="str">
        <f>IFERROR(__xludf.DUMMYFUNCTION("""COMPUTED_VALUE"""),"Trevor Coehoorn")</f>
        <v>Trevor Coehoorn</v>
      </c>
      <c r="H300" s="26" t="b">
        <v>0</v>
      </c>
    </row>
    <row r="301" hidden="1">
      <c r="A301" s="26" t="str">
        <f>VLOOKUP(B301,'2020 SRED (JIRA) - Issues and l'!$B:$C,2,FALSE)</f>
        <v>portal-builder-SRED</v>
      </c>
      <c r="B301" s="27" t="str">
        <f>IFERROR(__xludf.DUMMYFUNCTION("""COMPUTED_VALUE"""),"IV2-207")</f>
        <v>IV2-207</v>
      </c>
      <c r="C301" s="26" t="str">
        <f>IFERROR(__xludf.DUMMYFUNCTION("""COMPUTED_VALUE"""),"Prevent users from losing changes when they navigate away from pages")</f>
        <v>Prevent users from losing changes when they navigate away from pages</v>
      </c>
      <c r="D301" s="28">
        <f>IFERROR(__xludf.DUMMYFUNCTION("""COMPUTED_VALUE"""),0.733333333333333)</f>
        <v>0.7333333333</v>
      </c>
      <c r="E301" s="29">
        <f>IFERROR(__xludf.DUMMYFUNCTION("""COMPUTED_VALUE"""),43964.0)</f>
        <v>43964</v>
      </c>
      <c r="F301" s="26" t="str">
        <f>IFERROR(__xludf.DUMMYFUNCTION("""COMPUTED_VALUE"""),"557058:3124a1f0-e92a-405c-93f2-c1d4e621bc77")</f>
        <v>557058:3124a1f0-e92a-405c-93f2-c1d4e621bc77</v>
      </c>
      <c r="G301" s="26" t="str">
        <f>IFERROR(__xludf.DUMMYFUNCTION("""COMPUTED_VALUE"""),"Trevor Coehoorn")</f>
        <v>Trevor Coehoorn</v>
      </c>
      <c r="H301" s="26" t="b">
        <v>0</v>
      </c>
    </row>
    <row r="302" hidden="1">
      <c r="A302" s="26" t="str">
        <f>VLOOKUP(B302,'2020 SRED (JIRA) - Issues and l'!$B:$C,2,FALSE)</f>
        <v>portal-builder-SRED</v>
      </c>
      <c r="B302" s="27" t="str">
        <f>IFERROR(__xludf.DUMMYFUNCTION("""COMPUTED_VALUE"""),"ITP-1819")</f>
        <v>ITP-1819</v>
      </c>
      <c r="C302" s="26" t="str">
        <f>IFERROR(__xludf.DUMMYFUNCTION("""COMPUTED_VALUE"""),"Set up one-time login password creation process")</f>
        <v>Set up one-time login password creation process</v>
      </c>
      <c r="D302" s="28">
        <f>IFERROR(__xludf.DUMMYFUNCTION("""COMPUTED_VALUE"""),0.45)</f>
        <v>0.45</v>
      </c>
      <c r="E302" s="29">
        <f>IFERROR(__xludf.DUMMYFUNCTION("""COMPUTED_VALUE"""),43964.0)</f>
        <v>43964</v>
      </c>
      <c r="F302" s="26" t="str">
        <f>IFERROR(__xludf.DUMMYFUNCTION("""COMPUTED_VALUE"""),"557058:3124a1f0-e92a-405c-93f2-c1d4e621bc77")</f>
        <v>557058:3124a1f0-e92a-405c-93f2-c1d4e621bc77</v>
      </c>
      <c r="G302" s="26" t="str">
        <f>IFERROR(__xludf.DUMMYFUNCTION("""COMPUTED_VALUE"""),"Trevor Coehoorn")</f>
        <v>Trevor Coehoorn</v>
      </c>
      <c r="H302" s="26" t="b">
        <v>0</v>
      </c>
    </row>
    <row r="303" hidden="1">
      <c r="A303" s="26" t="str">
        <f>VLOOKUP(B303,'2020 SRED (JIRA) - Issues and l'!$B:$C,2,FALSE)</f>
        <v>insite-event-SRED</v>
      </c>
      <c r="B303" s="27" t="str">
        <f>IFERROR(__xludf.DUMMYFUNCTION("""COMPUTED_VALUE"""),"ZAPI-27")</f>
        <v>ZAPI-27</v>
      </c>
      <c r="C303" s="26" t="str">
        <f>IFERROR(__xludf.DUMMYFUNCTION("""COMPUTED_VALUE"""),"As a meeting administrator, I can add a web meeting panel/widget to my touchpoint content page and start/join a meeting from there")</f>
        <v>As a meeting administrator, I can add a web meeting panel/widget to my touchpoint content page and start/join a meeting from there</v>
      </c>
      <c r="D303" s="28">
        <f>IFERROR(__xludf.DUMMYFUNCTION("""COMPUTED_VALUE"""),1.75)</f>
        <v>1.75</v>
      </c>
      <c r="E303" s="29">
        <f>IFERROR(__xludf.DUMMYFUNCTION("""COMPUTED_VALUE"""),43964.0)</f>
        <v>43964</v>
      </c>
      <c r="F303" s="26" t="str">
        <f>IFERROR(__xludf.DUMMYFUNCTION("""COMPUTED_VALUE"""),"557058:3124a1f0-e92a-405c-93f2-c1d4e621bc77")</f>
        <v>557058:3124a1f0-e92a-405c-93f2-c1d4e621bc77</v>
      </c>
      <c r="G303" s="26" t="str">
        <f>IFERROR(__xludf.DUMMYFUNCTION("""COMPUTED_VALUE"""),"Trevor Coehoorn")</f>
        <v>Trevor Coehoorn</v>
      </c>
      <c r="H303" s="26" t="b">
        <v>0</v>
      </c>
    </row>
    <row r="304" hidden="1">
      <c r="A304" s="26" t="str">
        <f>VLOOKUP(B304,'2020 SRED (JIRA) - Issues and l'!$B:$C,2,FALSE)</f>
        <v>portal-builder-SRED</v>
      </c>
      <c r="B304" s="27" t="str">
        <f>IFERROR(__xludf.DUMMYFUNCTION("""COMPUTED_VALUE"""),"IV2-208")</f>
        <v>IV2-208</v>
      </c>
      <c r="C304" s="26" t="str">
        <f>IFERROR(__xludf.DUMMYFUNCTION("""COMPUTED_VALUE"""),"Allow users to reorder pages in the Portal Builder")</f>
        <v>Allow users to reorder pages in the Portal Builder</v>
      </c>
      <c r="D304" s="28">
        <f>IFERROR(__xludf.DUMMYFUNCTION("""COMPUTED_VALUE"""),0.716666666666666)</f>
        <v>0.7166666667</v>
      </c>
      <c r="E304" s="29">
        <f>IFERROR(__xludf.DUMMYFUNCTION("""COMPUTED_VALUE"""),43964.0)</f>
        <v>43964</v>
      </c>
      <c r="F304" s="26" t="str">
        <f>IFERROR(__xludf.DUMMYFUNCTION("""COMPUTED_VALUE"""),"557058:3124a1f0-e92a-405c-93f2-c1d4e621bc77")</f>
        <v>557058:3124a1f0-e92a-405c-93f2-c1d4e621bc77</v>
      </c>
      <c r="G304" s="26" t="str">
        <f>IFERROR(__xludf.DUMMYFUNCTION("""COMPUTED_VALUE"""),"Trevor Coehoorn")</f>
        <v>Trevor Coehoorn</v>
      </c>
      <c r="H304" s="26" t="b">
        <v>0</v>
      </c>
    </row>
    <row r="305" hidden="1">
      <c r="A305" s="26" t="str">
        <f>VLOOKUP(B305,'2020 SRED (JIRA) - Issues and l'!$B:$C,2,FALSE)</f>
        <v>insite-mapping-SRED</v>
      </c>
      <c r="B305" s="27" t="str">
        <f>IFERROR(__xludf.DUMMYFUNCTION("""COMPUTED_VALUE"""),"ITP-1836")</f>
        <v>ITP-1836</v>
      </c>
      <c r="C305" s="26" t="str">
        <f>IFERROR(__xludf.DUMMYFUNCTION("""COMPUTED_VALUE"""),"Configurable Sails &amp; Anchors activity")</f>
        <v>Configurable Sails &amp; Anchors activity</v>
      </c>
      <c r="D305" s="28">
        <f>IFERROR(__xludf.DUMMYFUNCTION("""COMPUTED_VALUE"""),0.7)</f>
        <v>0.7</v>
      </c>
      <c r="E305" s="29">
        <f>IFERROR(__xludf.DUMMYFUNCTION("""COMPUTED_VALUE"""),43964.0)</f>
        <v>43964</v>
      </c>
      <c r="F305" s="26" t="str">
        <f>IFERROR(__xludf.DUMMYFUNCTION("""COMPUTED_VALUE"""),"557058:3124a1f0-e92a-405c-93f2-c1d4e621bc77")</f>
        <v>557058:3124a1f0-e92a-405c-93f2-c1d4e621bc77</v>
      </c>
      <c r="G305" s="26" t="str">
        <f>IFERROR(__xludf.DUMMYFUNCTION("""COMPUTED_VALUE"""),"Trevor Coehoorn")</f>
        <v>Trevor Coehoorn</v>
      </c>
      <c r="H305" s="26" t="b">
        <v>0</v>
      </c>
    </row>
    <row r="306" hidden="1">
      <c r="A306" s="26" t="str">
        <f>VLOOKUP(B306,'2020 SRED (JIRA) - Issues and l'!$B:$C,2,FALSE)</f>
        <v>portal-builder-SRED</v>
      </c>
      <c r="B306" s="27" t="str">
        <f>IFERROR(__xludf.DUMMYFUNCTION("""COMPUTED_VALUE"""),"IOP-1224")</f>
        <v>IOP-1224</v>
      </c>
      <c r="C306" s="26" t="str">
        <f>IFERROR(__xludf.DUMMYFUNCTION("""COMPUTED_VALUE"""),"Tracking how long someone watches a video")</f>
        <v>Tracking how long someone watches a video</v>
      </c>
      <c r="D306" s="28">
        <f>IFERROR(__xludf.DUMMYFUNCTION("""COMPUTED_VALUE"""),0.0833333333333333)</f>
        <v>0.08333333333</v>
      </c>
      <c r="E306" s="29">
        <f>IFERROR(__xludf.DUMMYFUNCTION("""COMPUTED_VALUE"""),43965.0)</f>
        <v>43965</v>
      </c>
      <c r="F306" s="26" t="str">
        <f>IFERROR(__xludf.DUMMYFUNCTION("""COMPUTED_VALUE"""),"557058:3124a1f0-e92a-405c-93f2-c1d4e621bc77")</f>
        <v>557058:3124a1f0-e92a-405c-93f2-c1d4e621bc77</v>
      </c>
      <c r="G306" s="26" t="str">
        <f>IFERROR(__xludf.DUMMYFUNCTION("""COMPUTED_VALUE"""),"Trevor Coehoorn")</f>
        <v>Trevor Coehoorn</v>
      </c>
      <c r="H306" s="26" t="b">
        <v>0</v>
      </c>
    </row>
    <row r="307" hidden="1">
      <c r="A307" s="26" t="str">
        <f>VLOOKUP(B307,'2020 SRED (JIRA) - Issues and l'!$B:$C,2,FALSE)</f>
        <v>insite-mapping-SRED</v>
      </c>
      <c r="B307" s="27" t="str">
        <f>IFERROR(__xludf.DUMMYFUNCTION("""COMPUTED_VALUE"""),"ITP-1836")</f>
        <v>ITP-1836</v>
      </c>
      <c r="C307" s="26" t="str">
        <f>IFERROR(__xludf.DUMMYFUNCTION("""COMPUTED_VALUE"""),"Configurable Sails &amp; Anchors activity")</f>
        <v>Configurable Sails &amp; Anchors activity</v>
      </c>
      <c r="D307" s="28">
        <f>IFERROR(__xludf.DUMMYFUNCTION("""COMPUTED_VALUE"""),0.183333333333333)</f>
        <v>0.1833333333</v>
      </c>
      <c r="E307" s="29">
        <f>IFERROR(__xludf.DUMMYFUNCTION("""COMPUTED_VALUE"""),43965.0)</f>
        <v>43965</v>
      </c>
      <c r="F307" s="26" t="str">
        <f>IFERROR(__xludf.DUMMYFUNCTION("""COMPUTED_VALUE"""),"557058:3124a1f0-e92a-405c-93f2-c1d4e621bc77")</f>
        <v>557058:3124a1f0-e92a-405c-93f2-c1d4e621bc77</v>
      </c>
      <c r="G307" s="26" t="str">
        <f>IFERROR(__xludf.DUMMYFUNCTION("""COMPUTED_VALUE"""),"Trevor Coehoorn")</f>
        <v>Trevor Coehoorn</v>
      </c>
      <c r="H307" s="26" t="b">
        <v>0</v>
      </c>
    </row>
    <row r="308" hidden="1">
      <c r="A308" s="26" t="str">
        <f>VLOOKUP(B308,'2020 SRED (JIRA) - Issues and l'!$B:$C,2,FALSE)</f>
        <v>portal-builder-SRED</v>
      </c>
      <c r="B308" s="27" t="str">
        <f>IFERROR(__xludf.DUMMYFUNCTION("""COMPUTED_VALUE"""),"IV2-207")</f>
        <v>IV2-207</v>
      </c>
      <c r="C308" s="26" t="str">
        <f>IFERROR(__xludf.DUMMYFUNCTION("""COMPUTED_VALUE"""),"Prevent users from losing changes when they navigate away from pages")</f>
        <v>Prevent users from losing changes when they navigate away from pages</v>
      </c>
      <c r="D308" s="28">
        <f>IFERROR(__xludf.DUMMYFUNCTION("""COMPUTED_VALUE"""),1.76666666666666)</f>
        <v>1.766666667</v>
      </c>
      <c r="E308" s="29">
        <f>IFERROR(__xludf.DUMMYFUNCTION("""COMPUTED_VALUE"""),43965.0)</f>
        <v>43965</v>
      </c>
      <c r="F308" s="26" t="str">
        <f>IFERROR(__xludf.DUMMYFUNCTION("""COMPUTED_VALUE"""),"557058:3124a1f0-e92a-405c-93f2-c1d4e621bc77")</f>
        <v>557058:3124a1f0-e92a-405c-93f2-c1d4e621bc77</v>
      </c>
      <c r="G308" s="26" t="str">
        <f>IFERROR(__xludf.DUMMYFUNCTION("""COMPUTED_VALUE"""),"Trevor Coehoorn")</f>
        <v>Trevor Coehoorn</v>
      </c>
      <c r="H308" s="26" t="b">
        <v>0</v>
      </c>
    </row>
    <row r="309" hidden="1">
      <c r="A309" s="26" t="str">
        <f>VLOOKUP(B309,'2020 SRED (JIRA) - Issues and l'!$B:$C,2,FALSE)</f>
        <v>portal-builder-SRED</v>
      </c>
      <c r="B309" s="27" t="str">
        <f>IFERROR(__xludf.DUMMYFUNCTION("""COMPUTED_VALUE"""),"ITP-1819")</f>
        <v>ITP-1819</v>
      </c>
      <c r="C309" s="26" t="str">
        <f>IFERROR(__xludf.DUMMYFUNCTION("""COMPUTED_VALUE"""),"Set up one-time login password creation process")</f>
        <v>Set up one-time login password creation process</v>
      </c>
      <c r="D309" s="28">
        <f>IFERROR(__xludf.DUMMYFUNCTION("""COMPUTED_VALUE"""),0.3)</f>
        <v>0.3</v>
      </c>
      <c r="E309" s="29">
        <f>IFERROR(__xludf.DUMMYFUNCTION("""COMPUTED_VALUE"""),43965.0)</f>
        <v>43965</v>
      </c>
      <c r="F309" s="26" t="str">
        <f>IFERROR(__xludf.DUMMYFUNCTION("""COMPUTED_VALUE"""),"557058:3124a1f0-e92a-405c-93f2-c1d4e621bc77")</f>
        <v>557058:3124a1f0-e92a-405c-93f2-c1d4e621bc77</v>
      </c>
      <c r="G309" s="26" t="str">
        <f>IFERROR(__xludf.DUMMYFUNCTION("""COMPUTED_VALUE"""),"Trevor Coehoorn")</f>
        <v>Trevor Coehoorn</v>
      </c>
      <c r="H309" s="26" t="b">
        <v>0</v>
      </c>
    </row>
    <row r="310" hidden="1">
      <c r="A310" s="26" t="str">
        <f>VLOOKUP(B310,'2020 SRED (JIRA) - Issues and l'!$B:$C,2,FALSE)</f>
        <v>insite-event-SRED</v>
      </c>
      <c r="B310" s="27" t="str">
        <f>IFERROR(__xludf.DUMMYFUNCTION("""COMPUTED_VALUE"""),"ZAPI-27")</f>
        <v>ZAPI-27</v>
      </c>
      <c r="C310" s="26" t="str">
        <f>IFERROR(__xludf.DUMMYFUNCTION("""COMPUTED_VALUE"""),"As a meeting administrator, I can add a web meeting panel/widget to my touchpoint content page and start/join a meeting from there")</f>
        <v>As a meeting administrator, I can add a web meeting panel/widget to my touchpoint content page and start/join a meeting from there</v>
      </c>
      <c r="D310" s="28">
        <f>IFERROR(__xludf.DUMMYFUNCTION("""COMPUTED_VALUE"""),1.41666666666666)</f>
        <v>1.416666667</v>
      </c>
      <c r="E310" s="29">
        <f>IFERROR(__xludf.DUMMYFUNCTION("""COMPUTED_VALUE"""),43965.0)</f>
        <v>43965</v>
      </c>
      <c r="F310" s="26" t="str">
        <f>IFERROR(__xludf.DUMMYFUNCTION("""COMPUTED_VALUE"""),"557058:3124a1f0-e92a-405c-93f2-c1d4e621bc77")</f>
        <v>557058:3124a1f0-e92a-405c-93f2-c1d4e621bc77</v>
      </c>
      <c r="G310" s="26" t="str">
        <f>IFERROR(__xludf.DUMMYFUNCTION("""COMPUTED_VALUE"""),"Trevor Coehoorn")</f>
        <v>Trevor Coehoorn</v>
      </c>
      <c r="H310" s="26" t="b">
        <v>0</v>
      </c>
    </row>
    <row r="311" hidden="1">
      <c r="A311" s="26" t="str">
        <f>VLOOKUP(B311,'2020 SRED (JIRA) - Issues and l'!$B:$C,2,FALSE)</f>
        <v>portal-builder-SRED</v>
      </c>
      <c r="B311" s="27" t="str">
        <f>IFERROR(__xludf.DUMMYFUNCTION("""COMPUTED_VALUE"""),"IV2-207")</f>
        <v>IV2-207</v>
      </c>
      <c r="C311" s="26" t="str">
        <f>IFERROR(__xludf.DUMMYFUNCTION("""COMPUTED_VALUE"""),"Prevent users from losing changes when they navigate away from pages")</f>
        <v>Prevent users from losing changes when they navigate away from pages</v>
      </c>
      <c r="D311" s="28">
        <f>IFERROR(__xludf.DUMMYFUNCTION("""COMPUTED_VALUE"""),0.0833333333333333)</f>
        <v>0.08333333333</v>
      </c>
      <c r="E311" s="29">
        <f>IFERROR(__xludf.DUMMYFUNCTION("""COMPUTED_VALUE"""),43965.71736111111)</f>
        <v>43965.71736</v>
      </c>
      <c r="F311" s="26" t="str">
        <f>IFERROR(__xludf.DUMMYFUNCTION("""COMPUTED_VALUE"""),"557058:f55c62b5-dc7e-41e5-b0f8-231ca9f23470")</f>
        <v>557058:f55c62b5-dc7e-41e5-b0f8-231ca9f23470</v>
      </c>
      <c r="G311" s="26" t="str">
        <f>IFERROR(__xludf.DUMMYFUNCTION("""COMPUTED_VALUE"""),"Holly Lam")</f>
        <v>Holly Lam</v>
      </c>
      <c r="H311" s="26" t="b">
        <v>0</v>
      </c>
    </row>
    <row r="312" hidden="1">
      <c r="A312" s="26" t="str">
        <f>VLOOKUP(B312,'2020 SRED (JIRA) - Issues and l'!$B:$C,2,FALSE)</f>
        <v>insite-mapping-SRED</v>
      </c>
      <c r="B312" s="27" t="str">
        <f>IFERROR(__xludf.DUMMYFUNCTION("""COMPUTED_VALUE"""),"ITP-1836")</f>
        <v>ITP-1836</v>
      </c>
      <c r="C312" s="26" t="str">
        <f>IFERROR(__xludf.DUMMYFUNCTION("""COMPUTED_VALUE"""),"Configurable Sails &amp; Anchors activity")</f>
        <v>Configurable Sails &amp; Anchors activity</v>
      </c>
      <c r="D312" s="28">
        <f>IFERROR(__xludf.DUMMYFUNCTION("""COMPUTED_VALUE"""),3.61666666666666)</f>
        <v>3.616666667</v>
      </c>
      <c r="E312" s="29">
        <f>IFERROR(__xludf.DUMMYFUNCTION("""COMPUTED_VALUE"""),43966.0)</f>
        <v>43966</v>
      </c>
      <c r="F312" s="26" t="str">
        <f>IFERROR(__xludf.DUMMYFUNCTION("""COMPUTED_VALUE"""),"557058:3124a1f0-e92a-405c-93f2-c1d4e621bc77")</f>
        <v>557058:3124a1f0-e92a-405c-93f2-c1d4e621bc77</v>
      </c>
      <c r="G312" s="26" t="str">
        <f>IFERROR(__xludf.DUMMYFUNCTION("""COMPUTED_VALUE"""),"Trevor Coehoorn")</f>
        <v>Trevor Coehoorn</v>
      </c>
      <c r="H312" s="26" t="b">
        <v>0</v>
      </c>
    </row>
    <row r="313" hidden="1">
      <c r="A313" s="26" t="str">
        <f>VLOOKUP(B313,'2020 SRED (JIRA) - Issues and l'!$B:$C,2,FALSE)</f>
        <v>portal-builder-SRED</v>
      </c>
      <c r="B313" s="27" t="str">
        <f>IFERROR(__xludf.DUMMYFUNCTION("""COMPUTED_VALUE"""),"IV2-207")</f>
        <v>IV2-207</v>
      </c>
      <c r="C313" s="26" t="str">
        <f>IFERROR(__xludf.DUMMYFUNCTION("""COMPUTED_VALUE"""),"Prevent users from losing changes when they navigate away from pages")</f>
        <v>Prevent users from losing changes when they navigate away from pages</v>
      </c>
      <c r="D313" s="28">
        <f>IFERROR(__xludf.DUMMYFUNCTION("""COMPUTED_VALUE"""),0.133333333333333)</f>
        <v>0.1333333333</v>
      </c>
      <c r="E313" s="29">
        <f>IFERROR(__xludf.DUMMYFUNCTION("""COMPUTED_VALUE"""),43966.0)</f>
        <v>43966</v>
      </c>
      <c r="F313" s="26" t="str">
        <f>IFERROR(__xludf.DUMMYFUNCTION("""COMPUTED_VALUE"""),"557058:3124a1f0-e92a-405c-93f2-c1d4e621bc77")</f>
        <v>557058:3124a1f0-e92a-405c-93f2-c1d4e621bc77</v>
      </c>
      <c r="G313" s="26" t="str">
        <f>IFERROR(__xludf.DUMMYFUNCTION("""COMPUTED_VALUE"""),"Trevor Coehoorn")</f>
        <v>Trevor Coehoorn</v>
      </c>
      <c r="H313" s="26" t="b">
        <v>0</v>
      </c>
    </row>
    <row r="314" hidden="1">
      <c r="A314" s="26" t="str">
        <f>VLOOKUP(B314,'2020 SRED (JIRA) - Issues and l'!$B:$C,2,FALSE)</f>
        <v>insite-event-SRED</v>
      </c>
      <c r="B314" s="27" t="str">
        <f>IFERROR(__xludf.DUMMYFUNCTION("""COMPUTED_VALUE"""),"ZAPI-27")</f>
        <v>ZAPI-27</v>
      </c>
      <c r="C314" s="26" t="str">
        <f>IFERROR(__xludf.DUMMYFUNCTION("""COMPUTED_VALUE"""),"As a meeting administrator, I can add a web meeting panel/widget to my touchpoint content page and start/join a meeting from there")</f>
        <v>As a meeting administrator, I can add a web meeting panel/widget to my touchpoint content page and start/join a meeting from there</v>
      </c>
      <c r="D314" s="28">
        <f>IFERROR(__xludf.DUMMYFUNCTION("""COMPUTED_VALUE"""),3.15)</f>
        <v>3.15</v>
      </c>
      <c r="E314" s="29">
        <f>IFERROR(__xludf.DUMMYFUNCTION("""COMPUTED_VALUE"""),43966.0)</f>
        <v>43966</v>
      </c>
      <c r="F314" s="26" t="str">
        <f>IFERROR(__xludf.DUMMYFUNCTION("""COMPUTED_VALUE"""),"557058:3124a1f0-e92a-405c-93f2-c1d4e621bc77")</f>
        <v>557058:3124a1f0-e92a-405c-93f2-c1d4e621bc77</v>
      </c>
      <c r="G314" s="26" t="str">
        <f>IFERROR(__xludf.DUMMYFUNCTION("""COMPUTED_VALUE"""),"Trevor Coehoorn")</f>
        <v>Trevor Coehoorn</v>
      </c>
      <c r="H314" s="26" t="b">
        <v>0</v>
      </c>
    </row>
    <row r="315" hidden="1">
      <c r="A315" s="26" t="str">
        <f>VLOOKUP(B315,'2020 SRED (JIRA) - Issues and l'!$B:$C,2,FALSE)</f>
        <v>insite-event-SRED</v>
      </c>
      <c r="B315" s="27" t="str">
        <f>IFERROR(__xludf.DUMMYFUNCTION("""COMPUTED_VALUE"""),"ZAPI-38")</f>
        <v>ZAPI-38</v>
      </c>
      <c r="C315" s="26" t="str">
        <f>IFERROR(__xludf.DUMMYFUNCTION("""COMPUTED_VALUE"""),"Disable the join meeting link 12 hours after a meeting ends")</f>
        <v>Disable the join meeting link 12 hours after a meeting ends</v>
      </c>
      <c r="D315" s="28">
        <f>IFERROR(__xludf.DUMMYFUNCTION("""COMPUTED_VALUE"""),0.166666666666666)</f>
        <v>0.1666666667</v>
      </c>
      <c r="E315" s="29">
        <f>IFERROR(__xludf.DUMMYFUNCTION("""COMPUTED_VALUE"""),43966.0)</f>
        <v>43966</v>
      </c>
      <c r="F315" s="26" t="str">
        <f>IFERROR(__xludf.DUMMYFUNCTION("""COMPUTED_VALUE"""),"557058:3124a1f0-e92a-405c-93f2-c1d4e621bc77")</f>
        <v>557058:3124a1f0-e92a-405c-93f2-c1d4e621bc77</v>
      </c>
      <c r="G315" s="26" t="str">
        <f>IFERROR(__xludf.DUMMYFUNCTION("""COMPUTED_VALUE"""),"Trevor Coehoorn")</f>
        <v>Trevor Coehoorn</v>
      </c>
      <c r="H315" s="26" t="b">
        <v>0</v>
      </c>
    </row>
    <row r="316" hidden="1">
      <c r="A316" s="26" t="str">
        <f>VLOOKUP(B316,'2020 SRED (JIRA) - Issues and l'!$B:$C,2,FALSE)</f>
        <v>insite-event-SRED</v>
      </c>
      <c r="B316" s="27" t="str">
        <f>IFERROR(__xludf.DUMMYFUNCTION("""COMPUTED_VALUE"""),"ZAPI-40")</f>
        <v>ZAPI-40</v>
      </c>
      <c r="C316" s="26" t="str">
        <f>IFERROR(__xludf.DUMMYFUNCTION("""COMPUTED_VALUE"""),"Allow administrators to configure Zoom meeting settings")</f>
        <v>Allow administrators to configure Zoom meeting settings</v>
      </c>
      <c r="D316" s="28">
        <f>IFERROR(__xludf.DUMMYFUNCTION("""COMPUTED_VALUE"""),1.03333333333333)</f>
        <v>1.033333333</v>
      </c>
      <c r="E316" s="29">
        <f>IFERROR(__xludf.DUMMYFUNCTION("""COMPUTED_VALUE"""),43970.0)</f>
        <v>43970</v>
      </c>
      <c r="F316" s="26" t="str">
        <f>IFERROR(__xludf.DUMMYFUNCTION("""COMPUTED_VALUE"""),"557058:3124a1f0-e92a-405c-93f2-c1d4e621bc77")</f>
        <v>557058:3124a1f0-e92a-405c-93f2-c1d4e621bc77</v>
      </c>
      <c r="G316" s="26" t="str">
        <f>IFERROR(__xludf.DUMMYFUNCTION("""COMPUTED_VALUE"""),"Trevor Coehoorn")</f>
        <v>Trevor Coehoorn</v>
      </c>
      <c r="H316" s="26" t="b">
        <v>0</v>
      </c>
    </row>
    <row r="317" hidden="1">
      <c r="A317" s="26" t="str">
        <f>VLOOKUP(B317,'2020 SRED (JIRA) - Issues and l'!$B:$C,2,FALSE)</f>
        <v>insite-event-SRED</v>
      </c>
      <c r="B317" s="27" t="str">
        <f>IFERROR(__xludf.DUMMYFUNCTION("""COMPUTED_VALUE"""),"ZAPI-37")</f>
        <v>ZAPI-37</v>
      </c>
      <c r="C317" s="26" t="str">
        <f>IFERROR(__xludf.DUMMYFUNCTION("""COMPUTED_VALUE"""),"Renew the start meeting url when it expires")</f>
        <v>Renew the start meeting url when it expires</v>
      </c>
      <c r="D317" s="28">
        <f>IFERROR(__xludf.DUMMYFUNCTION("""COMPUTED_VALUE"""),0.0833333333333333)</f>
        <v>0.08333333333</v>
      </c>
      <c r="E317" s="29">
        <f>IFERROR(__xludf.DUMMYFUNCTION("""COMPUTED_VALUE"""),43970.0)</f>
        <v>43970</v>
      </c>
      <c r="F317" s="26" t="str">
        <f>IFERROR(__xludf.DUMMYFUNCTION("""COMPUTED_VALUE"""),"557058:3124a1f0-e92a-405c-93f2-c1d4e621bc77")</f>
        <v>557058:3124a1f0-e92a-405c-93f2-c1d4e621bc77</v>
      </c>
      <c r="G317" s="26" t="str">
        <f>IFERROR(__xludf.DUMMYFUNCTION("""COMPUTED_VALUE"""),"Trevor Coehoorn")</f>
        <v>Trevor Coehoorn</v>
      </c>
      <c r="H317" s="26" t="b">
        <v>0</v>
      </c>
    </row>
    <row r="318" hidden="1">
      <c r="A318" s="26" t="str">
        <f>VLOOKUP(B318,'2020 SRED (JIRA) - Issues and l'!$B:$C,2,FALSE)</f>
        <v>insite-event-SRED</v>
      </c>
      <c r="B318" s="27" t="str">
        <f>IFERROR(__xludf.DUMMYFUNCTION("""COMPUTED_VALUE"""),"ZAPI-47")</f>
        <v>ZAPI-47</v>
      </c>
      <c r="C318" s="26" t="str">
        <f>IFERROR(__xludf.DUMMYFUNCTION("""COMPUTED_VALUE"""),"Validate web meeting admin options")</f>
        <v>Validate web meeting admin options</v>
      </c>
      <c r="D318" s="28">
        <f>IFERROR(__xludf.DUMMYFUNCTION("""COMPUTED_VALUE"""),0.133333333333333)</f>
        <v>0.1333333333</v>
      </c>
      <c r="E318" s="29">
        <f>IFERROR(__xludf.DUMMYFUNCTION("""COMPUTED_VALUE"""),43970.0)</f>
        <v>43970</v>
      </c>
      <c r="F318" s="26" t="str">
        <f>IFERROR(__xludf.DUMMYFUNCTION("""COMPUTED_VALUE"""),"557058:3124a1f0-e92a-405c-93f2-c1d4e621bc77")</f>
        <v>557058:3124a1f0-e92a-405c-93f2-c1d4e621bc77</v>
      </c>
      <c r="G318" s="26" t="str">
        <f>IFERROR(__xludf.DUMMYFUNCTION("""COMPUTED_VALUE"""),"Trevor Coehoorn")</f>
        <v>Trevor Coehoorn</v>
      </c>
      <c r="H318" s="26" t="b">
        <v>0</v>
      </c>
    </row>
    <row r="319" hidden="1">
      <c r="A319" s="26" t="str">
        <f>VLOOKUP(B319,'2020 SRED (JIRA) - Issues and l'!$B:$C,2,FALSE)</f>
        <v>insite-event-SRED</v>
      </c>
      <c r="B319" s="27" t="str">
        <f>IFERROR(__xludf.DUMMYFUNCTION("""COMPUTED_VALUE"""),"ZAPI-46")</f>
        <v>ZAPI-46</v>
      </c>
      <c r="C319" s="26" t="str">
        <f>IFERROR(__xludf.DUMMYFUNCTION("""COMPUTED_VALUE"""),"Update meeting registrants when a user group is modified")</f>
        <v>Update meeting registrants when a user group is modified</v>
      </c>
      <c r="D319" s="28">
        <f>IFERROR(__xludf.DUMMYFUNCTION("""COMPUTED_VALUE"""),0.533333333333333)</f>
        <v>0.5333333333</v>
      </c>
      <c r="E319" s="29">
        <f>IFERROR(__xludf.DUMMYFUNCTION("""COMPUTED_VALUE"""),43970.0)</f>
        <v>43970</v>
      </c>
      <c r="F319" s="26" t="str">
        <f>IFERROR(__xludf.DUMMYFUNCTION("""COMPUTED_VALUE"""),"557058:3124a1f0-e92a-405c-93f2-c1d4e621bc77")</f>
        <v>557058:3124a1f0-e92a-405c-93f2-c1d4e621bc77</v>
      </c>
      <c r="G319" s="26" t="str">
        <f>IFERROR(__xludf.DUMMYFUNCTION("""COMPUTED_VALUE"""),"Trevor Coehoorn")</f>
        <v>Trevor Coehoorn</v>
      </c>
      <c r="H319" s="26" t="b">
        <v>0</v>
      </c>
    </row>
    <row r="320" hidden="1">
      <c r="A320" s="26" t="str">
        <f>VLOOKUP(B320,'2020 SRED (JIRA) - Issues and l'!$B:$C,2,FALSE)</f>
        <v>insite-event-SRED</v>
      </c>
      <c r="B320" s="27" t="str">
        <f>IFERROR(__xludf.DUMMYFUNCTION("""COMPUTED_VALUE"""),"ZAPI-43")</f>
        <v>ZAPI-43</v>
      </c>
      <c r="C320" s="26" t="str">
        <f>IFERROR(__xludf.DUMMYFUNCTION("""COMPUTED_VALUE"""),"Remove registrant when a user is removed from a meeting group or user list")</f>
        <v>Remove registrant when a user is removed from a meeting group or user list</v>
      </c>
      <c r="D320" s="28">
        <f>IFERROR(__xludf.DUMMYFUNCTION("""COMPUTED_VALUE"""),0.55)</f>
        <v>0.55</v>
      </c>
      <c r="E320" s="29">
        <f>IFERROR(__xludf.DUMMYFUNCTION("""COMPUTED_VALUE"""),43970.0)</f>
        <v>43970</v>
      </c>
      <c r="F320" s="26" t="str">
        <f>IFERROR(__xludf.DUMMYFUNCTION("""COMPUTED_VALUE"""),"557058:3124a1f0-e92a-405c-93f2-c1d4e621bc77")</f>
        <v>557058:3124a1f0-e92a-405c-93f2-c1d4e621bc77</v>
      </c>
      <c r="G320" s="26" t="str">
        <f>IFERROR(__xludf.DUMMYFUNCTION("""COMPUTED_VALUE"""),"Trevor Coehoorn")</f>
        <v>Trevor Coehoorn</v>
      </c>
      <c r="H320" s="26" t="b">
        <v>0</v>
      </c>
    </row>
    <row r="321" hidden="1">
      <c r="A321" s="26" t="str">
        <f>VLOOKUP(B321,'2020 SRED (JIRA) - Issues and l'!$B:$C,2,FALSE)</f>
        <v>insite-event-SRED</v>
      </c>
      <c r="B321" s="27" t="str">
        <f>IFERROR(__xludf.DUMMYFUNCTION("""COMPUTED_VALUE"""),"ZAPI-40")</f>
        <v>ZAPI-40</v>
      </c>
      <c r="C321" s="26" t="str">
        <f>IFERROR(__xludf.DUMMYFUNCTION("""COMPUTED_VALUE"""),"Allow administrators to configure Zoom meeting settings")</f>
        <v>Allow administrators to configure Zoom meeting settings</v>
      </c>
      <c r="D321" s="28">
        <f>IFERROR(__xludf.DUMMYFUNCTION("""COMPUTED_VALUE"""),0.816666666666666)</f>
        <v>0.8166666667</v>
      </c>
      <c r="E321" s="29">
        <f>IFERROR(__xludf.DUMMYFUNCTION("""COMPUTED_VALUE"""),43971.0)</f>
        <v>43971</v>
      </c>
      <c r="F321" s="26" t="str">
        <f>IFERROR(__xludf.DUMMYFUNCTION("""COMPUTED_VALUE"""),"557058:3124a1f0-e92a-405c-93f2-c1d4e621bc77")</f>
        <v>557058:3124a1f0-e92a-405c-93f2-c1d4e621bc77</v>
      </c>
      <c r="G321" s="26" t="str">
        <f>IFERROR(__xludf.DUMMYFUNCTION("""COMPUTED_VALUE"""),"Trevor Coehoorn")</f>
        <v>Trevor Coehoorn</v>
      </c>
      <c r="H321" s="26" t="b">
        <v>0</v>
      </c>
    </row>
    <row r="322" hidden="1">
      <c r="A322" s="26" t="str">
        <f>VLOOKUP(B322,'2020 SRED (JIRA) - Issues and l'!$B:$C,2,FALSE)</f>
        <v>insite-mapping-SRED</v>
      </c>
      <c r="B322" s="27" t="str">
        <f>IFERROR(__xludf.DUMMYFUNCTION("""COMPUTED_VALUE"""),"ITP-1836")</f>
        <v>ITP-1836</v>
      </c>
      <c r="C322" s="26" t="str">
        <f>IFERROR(__xludf.DUMMYFUNCTION("""COMPUTED_VALUE"""),"Configurable Sails &amp; Anchors activity")</f>
        <v>Configurable Sails &amp; Anchors activity</v>
      </c>
      <c r="D322" s="28">
        <f>IFERROR(__xludf.DUMMYFUNCTION("""COMPUTED_VALUE"""),1.01666666666666)</f>
        <v>1.016666667</v>
      </c>
      <c r="E322" s="29">
        <f>IFERROR(__xludf.DUMMYFUNCTION("""COMPUTED_VALUE"""),43971.0)</f>
        <v>43971</v>
      </c>
      <c r="F322" s="26" t="str">
        <f>IFERROR(__xludf.DUMMYFUNCTION("""COMPUTED_VALUE"""),"557058:3124a1f0-e92a-405c-93f2-c1d4e621bc77")</f>
        <v>557058:3124a1f0-e92a-405c-93f2-c1d4e621bc77</v>
      </c>
      <c r="G322" s="26" t="str">
        <f>IFERROR(__xludf.DUMMYFUNCTION("""COMPUTED_VALUE"""),"Trevor Coehoorn")</f>
        <v>Trevor Coehoorn</v>
      </c>
      <c r="H322" s="26" t="b">
        <v>0</v>
      </c>
    </row>
    <row r="323" hidden="1">
      <c r="A323" s="26" t="str">
        <f>VLOOKUP(B323,'2020 SRED (JIRA) - Issues and l'!$B:$C,2,FALSE)</f>
        <v>insite-event-SRED</v>
      </c>
      <c r="B323" s="27" t="str">
        <f>IFERROR(__xludf.DUMMYFUNCTION("""COMPUTED_VALUE"""),"ZAPI-46")</f>
        <v>ZAPI-46</v>
      </c>
      <c r="C323" s="26" t="str">
        <f>IFERROR(__xludf.DUMMYFUNCTION("""COMPUTED_VALUE"""),"Update meeting registrants when a user group is modified")</f>
        <v>Update meeting registrants when a user group is modified</v>
      </c>
      <c r="D323" s="28">
        <f>IFERROR(__xludf.DUMMYFUNCTION("""COMPUTED_VALUE"""),0.133333333333333)</f>
        <v>0.1333333333</v>
      </c>
      <c r="E323" s="29">
        <f>IFERROR(__xludf.DUMMYFUNCTION("""COMPUTED_VALUE"""),43971.0)</f>
        <v>43971</v>
      </c>
      <c r="F323" s="26" t="str">
        <f>IFERROR(__xludf.DUMMYFUNCTION("""COMPUTED_VALUE"""),"557058:3124a1f0-e92a-405c-93f2-c1d4e621bc77")</f>
        <v>557058:3124a1f0-e92a-405c-93f2-c1d4e621bc77</v>
      </c>
      <c r="G323" s="26" t="str">
        <f>IFERROR(__xludf.DUMMYFUNCTION("""COMPUTED_VALUE"""),"Trevor Coehoorn")</f>
        <v>Trevor Coehoorn</v>
      </c>
      <c r="H323" s="26" t="b">
        <v>0</v>
      </c>
    </row>
    <row r="324" hidden="1">
      <c r="A324" s="26" t="str">
        <f>VLOOKUP(B324,'2020 SRED (JIRA) - Issues and l'!$B:$C,2,FALSE)</f>
        <v>insite-event-SRED</v>
      </c>
      <c r="B324" s="27" t="str">
        <f>IFERROR(__xludf.DUMMYFUNCTION("""COMPUTED_VALUE"""),"ZAPI-48")</f>
        <v>ZAPI-48</v>
      </c>
      <c r="C324" s="26" t="str">
        <f>IFERROR(__xludf.DUMMYFUNCTION("""COMPUTED_VALUE"""),"Prevent users from modifying past meetings")</f>
        <v>Prevent users from modifying past meetings</v>
      </c>
      <c r="D324" s="28">
        <f>IFERROR(__xludf.DUMMYFUNCTION("""COMPUTED_VALUE"""),0.233333333333333)</f>
        <v>0.2333333333</v>
      </c>
      <c r="E324" s="29">
        <f>IFERROR(__xludf.DUMMYFUNCTION("""COMPUTED_VALUE"""),43971.0)</f>
        <v>43971</v>
      </c>
      <c r="F324" s="26" t="str">
        <f>IFERROR(__xludf.DUMMYFUNCTION("""COMPUTED_VALUE"""),"557058:3124a1f0-e92a-405c-93f2-c1d4e621bc77")</f>
        <v>557058:3124a1f0-e92a-405c-93f2-c1d4e621bc77</v>
      </c>
      <c r="G324" s="26" t="str">
        <f>IFERROR(__xludf.DUMMYFUNCTION("""COMPUTED_VALUE"""),"Trevor Coehoorn")</f>
        <v>Trevor Coehoorn</v>
      </c>
      <c r="H324" s="26" t="b">
        <v>0</v>
      </c>
    </row>
    <row r="325" hidden="1">
      <c r="A325" s="26" t="str">
        <f>VLOOKUP(B325,'2020 SRED (JIRA) - Issues and l'!$B:$C,2,FALSE)</f>
        <v>insite-event-SRED</v>
      </c>
      <c r="B325" s="27" t="str">
        <f>IFERROR(__xludf.DUMMYFUNCTION("""COMPUTED_VALUE"""),"ZAPI-37")</f>
        <v>ZAPI-37</v>
      </c>
      <c r="C325" s="26" t="str">
        <f>IFERROR(__xludf.DUMMYFUNCTION("""COMPUTED_VALUE"""),"Renew the start meeting url when it expires")</f>
        <v>Renew the start meeting url when it expires</v>
      </c>
      <c r="D325" s="28">
        <f>IFERROR(__xludf.DUMMYFUNCTION("""COMPUTED_VALUE"""),0.366666666666666)</f>
        <v>0.3666666667</v>
      </c>
      <c r="E325" s="29">
        <f>IFERROR(__xludf.DUMMYFUNCTION("""COMPUTED_VALUE"""),43972.0)</f>
        <v>43972</v>
      </c>
      <c r="F325" s="26" t="str">
        <f>IFERROR(__xludf.DUMMYFUNCTION("""COMPUTED_VALUE"""),"557058:3124a1f0-e92a-405c-93f2-c1d4e621bc77")</f>
        <v>557058:3124a1f0-e92a-405c-93f2-c1d4e621bc77</v>
      </c>
      <c r="G325" s="26" t="str">
        <f>IFERROR(__xludf.DUMMYFUNCTION("""COMPUTED_VALUE"""),"Trevor Coehoorn")</f>
        <v>Trevor Coehoorn</v>
      </c>
      <c r="H325" s="26" t="b">
        <v>0</v>
      </c>
    </row>
    <row r="326" hidden="1">
      <c r="A326" s="26" t="str">
        <f>VLOOKUP(B326,'2020 SRED (JIRA) - Issues and l'!$B:$C,2,FALSE)</f>
        <v>insite-event-SRED</v>
      </c>
      <c r="B326" s="27" t="str">
        <f>IFERROR(__xludf.DUMMYFUNCTION("""COMPUTED_VALUE"""),"ZAPI-4")</f>
        <v>ZAPI-4</v>
      </c>
      <c r="C326" s="26" t="str">
        <f>IFERROR(__xludf.DUMMYFUNCTION("""COMPUTED_VALUE"""),"As a meeting administrator, I can pre-program polling questions and share them with clients ")</f>
        <v>As a meeting administrator, I can pre-program polling questions and share them with clients </v>
      </c>
      <c r="D326" s="28">
        <f>IFERROR(__xludf.DUMMYFUNCTION("""COMPUTED_VALUE"""),0.0833333333333333)</f>
        <v>0.08333333333</v>
      </c>
      <c r="E326" s="29">
        <f>IFERROR(__xludf.DUMMYFUNCTION("""COMPUTED_VALUE"""),43972.0)</f>
        <v>43972</v>
      </c>
      <c r="F326" s="26" t="str">
        <f>IFERROR(__xludf.DUMMYFUNCTION("""COMPUTED_VALUE"""),"557058:3124a1f0-e92a-405c-93f2-c1d4e621bc77")</f>
        <v>557058:3124a1f0-e92a-405c-93f2-c1d4e621bc77</v>
      </c>
      <c r="G326" s="26" t="str">
        <f>IFERROR(__xludf.DUMMYFUNCTION("""COMPUTED_VALUE"""),"Trevor Coehoorn")</f>
        <v>Trevor Coehoorn</v>
      </c>
      <c r="H326" s="26" t="b">
        <v>0</v>
      </c>
    </row>
    <row r="327" hidden="1">
      <c r="A327" s="26" t="str">
        <f>VLOOKUP(B327,'2020 SRED (JIRA) - Issues and l'!$B:$C,2,FALSE)</f>
        <v>insite-event-SRED</v>
      </c>
      <c r="B327" s="27" t="str">
        <f>IFERROR(__xludf.DUMMYFUNCTION("""COMPUTED_VALUE"""),"ZAPI-48")</f>
        <v>ZAPI-48</v>
      </c>
      <c r="C327" s="26" t="str">
        <f>IFERROR(__xludf.DUMMYFUNCTION("""COMPUTED_VALUE"""),"Prevent users from modifying past meetings")</f>
        <v>Prevent users from modifying past meetings</v>
      </c>
      <c r="D327" s="28">
        <f>IFERROR(__xludf.DUMMYFUNCTION("""COMPUTED_VALUE"""),0.55)</f>
        <v>0.55</v>
      </c>
      <c r="E327" s="29">
        <f>IFERROR(__xludf.DUMMYFUNCTION("""COMPUTED_VALUE"""),43972.0)</f>
        <v>43972</v>
      </c>
      <c r="F327" s="26" t="str">
        <f>IFERROR(__xludf.DUMMYFUNCTION("""COMPUTED_VALUE"""),"557058:3124a1f0-e92a-405c-93f2-c1d4e621bc77")</f>
        <v>557058:3124a1f0-e92a-405c-93f2-c1d4e621bc77</v>
      </c>
      <c r="G327" s="26" t="str">
        <f>IFERROR(__xludf.DUMMYFUNCTION("""COMPUTED_VALUE"""),"Trevor Coehoorn")</f>
        <v>Trevor Coehoorn</v>
      </c>
      <c r="H327" s="26" t="b">
        <v>0</v>
      </c>
    </row>
    <row r="328" hidden="1">
      <c r="A328" s="26" t="str">
        <f>VLOOKUP(B328,'2020 SRED (JIRA) - Issues and l'!$B:$C,2,FALSE)</f>
        <v>insite-event-SRED</v>
      </c>
      <c r="B328" s="27" t="str">
        <f>IFERROR(__xludf.DUMMYFUNCTION("""COMPUTED_VALUE"""),"ZAPI-50")</f>
        <v>ZAPI-50</v>
      </c>
      <c r="C328" s="26" t="str">
        <f>IFERROR(__xludf.DUMMYFUNCTION("""COMPUTED_VALUE"""),"Unregister user from meetings when their portal account is deleted")</f>
        <v>Unregister user from meetings when their portal account is deleted</v>
      </c>
      <c r="D328" s="28">
        <f>IFERROR(__xludf.DUMMYFUNCTION("""COMPUTED_VALUE"""),0.166666666666666)</f>
        <v>0.1666666667</v>
      </c>
      <c r="E328" s="29">
        <f>IFERROR(__xludf.DUMMYFUNCTION("""COMPUTED_VALUE"""),43972.0)</f>
        <v>43972</v>
      </c>
      <c r="F328" s="26" t="str">
        <f>IFERROR(__xludf.DUMMYFUNCTION("""COMPUTED_VALUE"""),"557058:3124a1f0-e92a-405c-93f2-c1d4e621bc77")</f>
        <v>557058:3124a1f0-e92a-405c-93f2-c1d4e621bc77</v>
      </c>
      <c r="G328" s="26" t="str">
        <f>IFERROR(__xludf.DUMMYFUNCTION("""COMPUTED_VALUE"""),"Trevor Coehoorn")</f>
        <v>Trevor Coehoorn</v>
      </c>
      <c r="H328" s="26" t="b">
        <v>0</v>
      </c>
    </row>
    <row r="329" hidden="1">
      <c r="A329" s="26" t="str">
        <f>VLOOKUP(B329,'2020 SRED (JIRA) - Issues and l'!$B:$C,2,FALSE)</f>
        <v>insite-event-SRED</v>
      </c>
      <c r="B329" s="27" t="str">
        <f>IFERROR(__xludf.DUMMYFUNCTION("""COMPUTED_VALUE"""),"ZAPI-46")</f>
        <v>ZAPI-46</v>
      </c>
      <c r="C329" s="26" t="str">
        <f>IFERROR(__xludf.DUMMYFUNCTION("""COMPUTED_VALUE"""),"Update meeting registrants when a user group is modified")</f>
        <v>Update meeting registrants when a user group is modified</v>
      </c>
      <c r="D329" s="28">
        <f>IFERROR(__xludf.DUMMYFUNCTION("""COMPUTED_VALUE"""),0.35)</f>
        <v>0.35</v>
      </c>
      <c r="E329" s="29">
        <f>IFERROR(__xludf.DUMMYFUNCTION("""COMPUTED_VALUE"""),43972.0)</f>
        <v>43972</v>
      </c>
      <c r="F329" s="26" t="str">
        <f>IFERROR(__xludf.DUMMYFUNCTION("""COMPUTED_VALUE"""),"557058:3124a1f0-e92a-405c-93f2-c1d4e621bc77")</f>
        <v>557058:3124a1f0-e92a-405c-93f2-c1d4e621bc77</v>
      </c>
      <c r="G329" s="26" t="str">
        <f>IFERROR(__xludf.DUMMYFUNCTION("""COMPUTED_VALUE"""),"Trevor Coehoorn")</f>
        <v>Trevor Coehoorn</v>
      </c>
      <c r="H329" s="26" t="b">
        <v>0</v>
      </c>
    </row>
    <row r="330" hidden="1">
      <c r="A330" s="26" t="str">
        <f>VLOOKUP(B330,'2020 SRED (JIRA) - Issues and l'!$B:$C,2,FALSE)</f>
        <v>insite-event-SRED</v>
      </c>
      <c r="B330" s="27" t="str">
        <f>IFERROR(__xludf.DUMMYFUNCTION("""COMPUTED_VALUE"""),"ZAPI-49")</f>
        <v>ZAPI-49</v>
      </c>
      <c r="C330" s="26" t="str">
        <f>IFERROR(__xludf.DUMMYFUNCTION("""COMPUTED_VALUE"""),"Automatically generate Zoom meeting password")</f>
        <v>Automatically generate Zoom meeting password</v>
      </c>
      <c r="D330" s="28">
        <f>IFERROR(__xludf.DUMMYFUNCTION("""COMPUTED_VALUE"""),0.383333333333333)</f>
        <v>0.3833333333</v>
      </c>
      <c r="E330" s="29">
        <f>IFERROR(__xludf.DUMMYFUNCTION("""COMPUTED_VALUE"""),43972.0)</f>
        <v>43972</v>
      </c>
      <c r="F330" s="26" t="str">
        <f>IFERROR(__xludf.DUMMYFUNCTION("""COMPUTED_VALUE"""),"557058:3124a1f0-e92a-405c-93f2-c1d4e621bc77")</f>
        <v>557058:3124a1f0-e92a-405c-93f2-c1d4e621bc77</v>
      </c>
      <c r="G330" s="26" t="str">
        <f>IFERROR(__xludf.DUMMYFUNCTION("""COMPUTED_VALUE"""),"Trevor Coehoorn")</f>
        <v>Trevor Coehoorn</v>
      </c>
      <c r="H330" s="26" t="b">
        <v>0</v>
      </c>
    </row>
    <row r="331" hidden="1">
      <c r="A331" s="26" t="str">
        <f>VLOOKUP(B331,'2020 SRED (JIRA) - Issues and l'!$B:$C,2,FALSE)</f>
        <v>insite-mapping-SRED</v>
      </c>
      <c r="B331" s="27" t="str">
        <f>IFERROR(__xludf.DUMMYFUNCTION("""COMPUTED_VALUE"""),"ITP-1836")</f>
        <v>ITP-1836</v>
      </c>
      <c r="C331" s="26" t="str">
        <f>IFERROR(__xludf.DUMMYFUNCTION("""COMPUTED_VALUE"""),"Configurable Sails &amp; Anchors activity")</f>
        <v>Configurable Sails &amp; Anchors activity</v>
      </c>
      <c r="D331" s="28">
        <f>IFERROR(__xludf.DUMMYFUNCTION("""COMPUTED_VALUE"""),2.76666666666666)</f>
        <v>2.766666667</v>
      </c>
      <c r="E331" s="29">
        <f>IFERROR(__xludf.DUMMYFUNCTION("""COMPUTED_VALUE"""),43973.0)</f>
        <v>43973</v>
      </c>
      <c r="F331" s="26" t="str">
        <f>IFERROR(__xludf.DUMMYFUNCTION("""COMPUTED_VALUE"""),"557058:3124a1f0-e92a-405c-93f2-c1d4e621bc77")</f>
        <v>557058:3124a1f0-e92a-405c-93f2-c1d4e621bc77</v>
      </c>
      <c r="G331" s="26" t="str">
        <f>IFERROR(__xludf.DUMMYFUNCTION("""COMPUTED_VALUE"""),"Trevor Coehoorn")</f>
        <v>Trevor Coehoorn</v>
      </c>
      <c r="H331" s="26" t="b">
        <v>0</v>
      </c>
    </row>
    <row r="332" hidden="1">
      <c r="A332" s="26" t="str">
        <f>VLOOKUP(B332,'2020 SRED (JIRA) - Issues and l'!$B:$C,2,FALSE)</f>
        <v>insite-event-SRED</v>
      </c>
      <c r="B332" s="27" t="str">
        <f>IFERROR(__xludf.DUMMYFUNCTION("""COMPUTED_VALUE"""),"ZAPI-4")</f>
        <v>ZAPI-4</v>
      </c>
      <c r="C332" s="26" t="str">
        <f>IFERROR(__xludf.DUMMYFUNCTION("""COMPUTED_VALUE"""),"As a meeting administrator, I can pre-program polling questions and share them with clients ")</f>
        <v>As a meeting administrator, I can pre-program polling questions and share them with clients </v>
      </c>
      <c r="D332" s="28">
        <f>IFERROR(__xludf.DUMMYFUNCTION("""COMPUTED_VALUE"""),0.866666666666666)</f>
        <v>0.8666666667</v>
      </c>
      <c r="E332" s="29">
        <f>IFERROR(__xludf.DUMMYFUNCTION("""COMPUTED_VALUE"""),43973.0)</f>
        <v>43973</v>
      </c>
      <c r="F332" s="26" t="str">
        <f>IFERROR(__xludf.DUMMYFUNCTION("""COMPUTED_VALUE"""),"557058:3124a1f0-e92a-405c-93f2-c1d4e621bc77")</f>
        <v>557058:3124a1f0-e92a-405c-93f2-c1d4e621bc77</v>
      </c>
      <c r="G332" s="26" t="str">
        <f>IFERROR(__xludf.DUMMYFUNCTION("""COMPUTED_VALUE"""),"Trevor Coehoorn")</f>
        <v>Trevor Coehoorn</v>
      </c>
      <c r="H332" s="26" t="b">
        <v>0</v>
      </c>
    </row>
    <row r="333" hidden="1">
      <c r="A333" s="26" t="str">
        <f>VLOOKUP(B333,'2020 SRED (JIRA) - Issues and l'!$B:$C,2,FALSE)</f>
        <v>insite-event-SRED</v>
      </c>
      <c r="B333" s="27" t="str">
        <f>IFERROR(__xludf.DUMMYFUNCTION("""COMPUTED_VALUE"""),"ZAPI-52")</f>
        <v>ZAPI-52</v>
      </c>
      <c r="C333" s="26" t="str">
        <f>IFERROR(__xludf.DUMMYFUNCTION("""COMPUTED_VALUE"""),"As an administrator, I can configure Zoom Webinar options")</f>
        <v>As an administrator, I can configure Zoom Webinar options</v>
      </c>
      <c r="D333" s="28">
        <f>IFERROR(__xludf.DUMMYFUNCTION("""COMPUTED_VALUE"""),0.133333333333333)</f>
        <v>0.1333333333</v>
      </c>
      <c r="E333" s="29">
        <f>IFERROR(__xludf.DUMMYFUNCTION("""COMPUTED_VALUE"""),43973.0)</f>
        <v>43973</v>
      </c>
      <c r="F333" s="26" t="str">
        <f>IFERROR(__xludf.DUMMYFUNCTION("""COMPUTED_VALUE"""),"557058:3124a1f0-e92a-405c-93f2-c1d4e621bc77")</f>
        <v>557058:3124a1f0-e92a-405c-93f2-c1d4e621bc77</v>
      </c>
      <c r="G333" s="26" t="str">
        <f>IFERROR(__xludf.DUMMYFUNCTION("""COMPUTED_VALUE"""),"Trevor Coehoorn")</f>
        <v>Trevor Coehoorn</v>
      </c>
      <c r="H333" s="26" t="b">
        <v>0</v>
      </c>
    </row>
    <row r="334" hidden="1">
      <c r="A334" s="26" t="str">
        <f>VLOOKUP(B334,'2020 SRED (JIRA) - Issues and l'!$B:$C,2,FALSE)</f>
        <v>insite-event-SRED</v>
      </c>
      <c r="B334" s="27" t="str">
        <f>IFERROR(__xludf.DUMMYFUNCTION("""COMPUTED_VALUE"""),"ZAPI-51")</f>
        <v>ZAPI-51</v>
      </c>
      <c r="C334" s="26" t="str">
        <f>IFERROR(__xludf.DUMMYFUNCTION("""COMPUTED_VALUE"""),"As an administrator, I can create a Zoom Webinar")</f>
        <v>As an administrator, I can create a Zoom Webinar</v>
      </c>
      <c r="D334" s="28">
        <f>IFERROR(__xludf.DUMMYFUNCTION("""COMPUTED_VALUE"""),0.75)</f>
        <v>0.75</v>
      </c>
      <c r="E334" s="29">
        <f>IFERROR(__xludf.DUMMYFUNCTION("""COMPUTED_VALUE"""),43973.0)</f>
        <v>43973</v>
      </c>
      <c r="F334" s="26" t="str">
        <f>IFERROR(__xludf.DUMMYFUNCTION("""COMPUTED_VALUE"""),"557058:3124a1f0-e92a-405c-93f2-c1d4e621bc77")</f>
        <v>557058:3124a1f0-e92a-405c-93f2-c1d4e621bc77</v>
      </c>
      <c r="G334" s="26" t="str">
        <f>IFERROR(__xludf.DUMMYFUNCTION("""COMPUTED_VALUE"""),"Trevor Coehoorn")</f>
        <v>Trevor Coehoorn</v>
      </c>
      <c r="H334" s="26" t="b">
        <v>0</v>
      </c>
    </row>
    <row r="335" hidden="1">
      <c r="A335" s="26" t="str">
        <f>VLOOKUP(B335,'2020 SRED (JIRA) - Issues and l'!$B:$C,2,FALSE)</f>
        <v>insite-mapping-SRED</v>
      </c>
      <c r="B335" s="27" t="str">
        <f>IFERROR(__xludf.DUMMYFUNCTION("""COMPUTED_VALUE"""),"ITP-1836")</f>
        <v>ITP-1836</v>
      </c>
      <c r="C335" s="26" t="str">
        <f>IFERROR(__xludf.DUMMYFUNCTION("""COMPUTED_VALUE"""),"Configurable Sails &amp; Anchors activity")</f>
        <v>Configurable Sails &amp; Anchors activity</v>
      </c>
      <c r="D335" s="28">
        <f>IFERROR(__xludf.DUMMYFUNCTION("""COMPUTED_VALUE"""),0.466666666666666)</f>
        <v>0.4666666667</v>
      </c>
      <c r="E335" s="29">
        <f>IFERROR(__xludf.DUMMYFUNCTION("""COMPUTED_VALUE"""),43976.0)</f>
        <v>43976</v>
      </c>
      <c r="F335" s="26" t="str">
        <f>IFERROR(__xludf.DUMMYFUNCTION("""COMPUTED_VALUE"""),"557058:3124a1f0-e92a-405c-93f2-c1d4e621bc77")</f>
        <v>557058:3124a1f0-e92a-405c-93f2-c1d4e621bc77</v>
      </c>
      <c r="G335" s="26" t="str">
        <f>IFERROR(__xludf.DUMMYFUNCTION("""COMPUTED_VALUE"""),"Trevor Coehoorn")</f>
        <v>Trevor Coehoorn</v>
      </c>
      <c r="H335" s="26" t="b">
        <v>0</v>
      </c>
    </row>
    <row r="336" hidden="1">
      <c r="A336" s="26" t="str">
        <f>VLOOKUP(B336,'2020 SRED (JIRA) - Issues and l'!$B:$C,2,FALSE)</f>
        <v>insite-event-SRED</v>
      </c>
      <c r="B336" s="27" t="str">
        <f>IFERROR(__xludf.DUMMYFUNCTION("""COMPUTED_VALUE"""),"ZAPI-1")</f>
        <v>ZAPI-1</v>
      </c>
      <c r="C336" s="26" t="str">
        <f>IFERROR(__xludf.DUMMYFUNCTION("""COMPUTED_VALUE"""),"Zoom API v1 (MVP)")</f>
        <v>Zoom API v1 (MVP)</v>
      </c>
      <c r="D336" s="28">
        <f>IFERROR(__xludf.DUMMYFUNCTION("""COMPUTED_VALUE"""),0.2)</f>
        <v>0.2</v>
      </c>
      <c r="E336" s="29">
        <f>IFERROR(__xludf.DUMMYFUNCTION("""COMPUTED_VALUE"""),43976.0)</f>
        <v>43976</v>
      </c>
      <c r="F336" s="26" t="str">
        <f>IFERROR(__xludf.DUMMYFUNCTION("""COMPUTED_VALUE"""),"557058:3124a1f0-e92a-405c-93f2-c1d4e621bc77")</f>
        <v>557058:3124a1f0-e92a-405c-93f2-c1d4e621bc77</v>
      </c>
      <c r="G336" s="26" t="str">
        <f>IFERROR(__xludf.DUMMYFUNCTION("""COMPUTED_VALUE"""),"Trevor Coehoorn")</f>
        <v>Trevor Coehoorn</v>
      </c>
      <c r="H336" s="26" t="b">
        <v>0</v>
      </c>
    </row>
    <row r="337" hidden="1">
      <c r="A337" s="26" t="str">
        <f>VLOOKUP(B337,'2020 SRED (JIRA) - Issues and l'!$B:$C,2,FALSE)</f>
        <v>portal-builder</v>
      </c>
      <c r="B337" s="27" t="str">
        <f>IFERROR(__xludf.DUMMYFUNCTION("""COMPUTED_VALUE"""),"IV2-31")</f>
        <v>IV2-31</v>
      </c>
      <c r="C337" s="26" t="str">
        <f>IFERROR(__xludf.DUMMYFUNCTION("""COMPUTED_VALUE"""),"V2 Status Meetings")</f>
        <v>V2 Status Meetings</v>
      </c>
      <c r="D337" s="28">
        <f>IFERROR(__xludf.DUMMYFUNCTION("""COMPUTED_VALUE"""),0.4)</f>
        <v>0.4</v>
      </c>
      <c r="E337" s="29">
        <f>IFERROR(__xludf.DUMMYFUNCTION("""COMPUTED_VALUE"""),43976.0)</f>
        <v>43976</v>
      </c>
      <c r="F337" s="26" t="str">
        <f>IFERROR(__xludf.DUMMYFUNCTION("""COMPUTED_VALUE"""),"557058:3124a1f0-e92a-405c-93f2-c1d4e621bc77")</f>
        <v>557058:3124a1f0-e92a-405c-93f2-c1d4e621bc77</v>
      </c>
      <c r="G337" s="26" t="str">
        <f>IFERROR(__xludf.DUMMYFUNCTION("""COMPUTED_VALUE"""),"Trevor Coehoorn")</f>
        <v>Trevor Coehoorn</v>
      </c>
      <c r="H337" s="26" t="b">
        <v>0</v>
      </c>
    </row>
    <row r="338" hidden="1">
      <c r="A338" s="26" t="str">
        <f>VLOOKUP(B338,'2020 SRED (JIRA) - Issues and l'!$B:$C,2,FALSE)</f>
        <v>insite-event-SRED</v>
      </c>
      <c r="B338" s="27" t="str">
        <f>IFERROR(__xludf.DUMMYFUNCTION("""COMPUTED_VALUE"""),"ZAPI-10")</f>
        <v>ZAPI-10</v>
      </c>
      <c r="C338" s="26" t="str">
        <f>IFERROR(__xludf.DUMMYFUNCTION("""COMPUTED_VALUE"""),"As an attendee, I can join a meeting ""anonymously""")</f>
        <v>As an attendee, I can join a meeting "anonymously"</v>
      </c>
      <c r="D338" s="28">
        <f>IFERROR(__xludf.DUMMYFUNCTION("""COMPUTED_VALUE"""),2.45)</f>
        <v>2.45</v>
      </c>
      <c r="E338" s="29">
        <f>IFERROR(__xludf.DUMMYFUNCTION("""COMPUTED_VALUE"""),43976.0)</f>
        <v>43976</v>
      </c>
      <c r="F338" s="26" t="str">
        <f>IFERROR(__xludf.DUMMYFUNCTION("""COMPUTED_VALUE"""),"557058:3124a1f0-e92a-405c-93f2-c1d4e621bc77")</f>
        <v>557058:3124a1f0-e92a-405c-93f2-c1d4e621bc77</v>
      </c>
      <c r="G338" s="26" t="str">
        <f>IFERROR(__xludf.DUMMYFUNCTION("""COMPUTED_VALUE"""),"Trevor Coehoorn")</f>
        <v>Trevor Coehoorn</v>
      </c>
      <c r="H338" s="26" t="b">
        <v>0</v>
      </c>
    </row>
    <row r="339" hidden="1">
      <c r="A339" s="26" t="str">
        <f>VLOOKUP(B339,'2020 SRED (JIRA) - Issues and l'!$B:$C,2,FALSE)</f>
        <v>insite-mapping-SRED</v>
      </c>
      <c r="B339" s="27" t="str">
        <f>IFERROR(__xludf.DUMMYFUNCTION("""COMPUTED_VALUE"""),"ITP-1836")</f>
        <v>ITP-1836</v>
      </c>
      <c r="C339" s="26" t="str">
        <f>IFERROR(__xludf.DUMMYFUNCTION("""COMPUTED_VALUE"""),"Configurable Sails &amp; Anchors activity")</f>
        <v>Configurable Sails &amp; Anchors activity</v>
      </c>
      <c r="D339" s="28">
        <f>IFERROR(__xludf.DUMMYFUNCTION("""COMPUTED_VALUE"""),2.53333333333333)</f>
        <v>2.533333333</v>
      </c>
      <c r="E339" s="29">
        <f>IFERROR(__xludf.DUMMYFUNCTION("""COMPUTED_VALUE"""),43977.0)</f>
        <v>43977</v>
      </c>
      <c r="F339" s="26" t="str">
        <f>IFERROR(__xludf.DUMMYFUNCTION("""COMPUTED_VALUE"""),"557058:3124a1f0-e92a-405c-93f2-c1d4e621bc77")</f>
        <v>557058:3124a1f0-e92a-405c-93f2-c1d4e621bc77</v>
      </c>
      <c r="G339" s="26" t="str">
        <f>IFERROR(__xludf.DUMMYFUNCTION("""COMPUTED_VALUE"""),"Trevor Coehoorn")</f>
        <v>Trevor Coehoorn</v>
      </c>
      <c r="H339" s="26" t="b">
        <v>0</v>
      </c>
    </row>
    <row r="340" hidden="1">
      <c r="A340" s="26" t="str">
        <f>VLOOKUP(B340,'2020 SRED (JIRA) - Issues and l'!$B:$C,2,FALSE)</f>
        <v>insite-event-SRED</v>
      </c>
      <c r="B340" s="27" t="str">
        <f>IFERROR(__xludf.DUMMYFUNCTION("""COMPUTED_VALUE"""),"ZAPI-10")</f>
        <v>ZAPI-10</v>
      </c>
      <c r="C340" s="26" t="str">
        <f>IFERROR(__xludf.DUMMYFUNCTION("""COMPUTED_VALUE"""),"As an attendee, I can join a meeting ""anonymously""")</f>
        <v>As an attendee, I can join a meeting "anonymously"</v>
      </c>
      <c r="D340" s="28">
        <f>IFERROR(__xludf.DUMMYFUNCTION("""COMPUTED_VALUE"""),0.0666666666666666)</f>
        <v>0.06666666667</v>
      </c>
      <c r="E340" s="29">
        <f>IFERROR(__xludf.DUMMYFUNCTION("""COMPUTED_VALUE"""),43977.0)</f>
        <v>43977</v>
      </c>
      <c r="F340" s="26" t="str">
        <f>IFERROR(__xludf.DUMMYFUNCTION("""COMPUTED_VALUE"""),"557058:3124a1f0-e92a-405c-93f2-c1d4e621bc77")</f>
        <v>557058:3124a1f0-e92a-405c-93f2-c1d4e621bc77</v>
      </c>
      <c r="G340" s="26" t="str">
        <f>IFERROR(__xludf.DUMMYFUNCTION("""COMPUTED_VALUE"""),"Trevor Coehoorn")</f>
        <v>Trevor Coehoorn</v>
      </c>
      <c r="H340" s="26" t="b">
        <v>0</v>
      </c>
    </row>
    <row r="341" hidden="1">
      <c r="A341" s="26" t="str">
        <f>VLOOKUP(B341,'2020 SRED (JIRA) - Issues and l'!$B:$C,2,FALSE)</f>
        <v>insite-event-SRED</v>
      </c>
      <c r="B341" s="27" t="str">
        <f>IFERROR(__xludf.DUMMYFUNCTION("""COMPUTED_VALUE"""),"ZAPI-53")</f>
        <v>ZAPI-53</v>
      </c>
      <c r="C341" s="26" t="str">
        <f>IFERROR(__xludf.DUMMYFUNCTION("""COMPUTED_VALUE"""),"Unregister user from meetings when their portal account is disabled")</f>
        <v>Unregister user from meetings when their portal account is disabled</v>
      </c>
      <c r="D341" s="28">
        <f>IFERROR(__xludf.DUMMYFUNCTION("""COMPUTED_VALUE"""),0.0833333333333333)</f>
        <v>0.08333333333</v>
      </c>
      <c r="E341" s="29">
        <f>IFERROR(__xludf.DUMMYFUNCTION("""COMPUTED_VALUE"""),43977.0)</f>
        <v>43977</v>
      </c>
      <c r="F341" s="26" t="str">
        <f>IFERROR(__xludf.DUMMYFUNCTION("""COMPUTED_VALUE"""),"557058:3124a1f0-e92a-405c-93f2-c1d4e621bc77")</f>
        <v>557058:3124a1f0-e92a-405c-93f2-c1d4e621bc77</v>
      </c>
      <c r="G341" s="26" t="str">
        <f>IFERROR(__xludf.DUMMYFUNCTION("""COMPUTED_VALUE"""),"Trevor Coehoorn")</f>
        <v>Trevor Coehoorn</v>
      </c>
      <c r="H341" s="26" t="b">
        <v>0</v>
      </c>
    </row>
    <row r="342" hidden="1">
      <c r="A342" s="26" t="str">
        <f>VLOOKUP(B342,'2020 SRED (JIRA) - Issues and l'!$B:$C,2,FALSE)</f>
        <v>insite-event-SRED</v>
      </c>
      <c r="B342" s="27" t="str">
        <f>IFERROR(__xludf.DUMMYFUNCTION("""COMPUTED_VALUE"""),"ZAPI-27")</f>
        <v>ZAPI-27</v>
      </c>
      <c r="C342" s="26" t="str">
        <f>IFERROR(__xludf.DUMMYFUNCTION("""COMPUTED_VALUE"""),"As a meeting administrator, I can add a web meeting panel/widget to my touchpoint content page and start/join a meeting from there")</f>
        <v>As a meeting administrator, I can add a web meeting panel/widget to my touchpoint content page and start/join a meeting from there</v>
      </c>
      <c r="D342" s="28">
        <f>IFERROR(__xludf.DUMMYFUNCTION("""COMPUTED_VALUE"""),0.1)</f>
        <v>0.1</v>
      </c>
      <c r="E342" s="29">
        <f>IFERROR(__xludf.DUMMYFUNCTION("""COMPUTED_VALUE"""),43977.0)</f>
        <v>43977</v>
      </c>
      <c r="F342" s="26" t="str">
        <f>IFERROR(__xludf.DUMMYFUNCTION("""COMPUTED_VALUE"""),"557058:3124a1f0-e92a-405c-93f2-c1d4e621bc77")</f>
        <v>557058:3124a1f0-e92a-405c-93f2-c1d4e621bc77</v>
      </c>
      <c r="G342" s="26" t="str">
        <f>IFERROR(__xludf.DUMMYFUNCTION("""COMPUTED_VALUE"""),"Trevor Coehoorn")</f>
        <v>Trevor Coehoorn</v>
      </c>
      <c r="H342" s="26" t="b">
        <v>0</v>
      </c>
    </row>
    <row r="343" hidden="1">
      <c r="A343" s="26" t="str">
        <f>VLOOKUP(B343,'2020 SRED (JIRA) - Issues and l'!$B:$C,2,FALSE)</f>
        <v>insite-event-SRED</v>
      </c>
      <c r="B343" s="27" t="str">
        <f>IFERROR(__xludf.DUMMYFUNCTION("""COMPUTED_VALUE"""),"ZAPI-50")</f>
        <v>ZAPI-50</v>
      </c>
      <c r="C343" s="26" t="str">
        <f>IFERROR(__xludf.DUMMYFUNCTION("""COMPUTED_VALUE"""),"Unregister user from meetings when their portal account is deleted")</f>
        <v>Unregister user from meetings when their portal account is deleted</v>
      </c>
      <c r="D343" s="28">
        <f>IFERROR(__xludf.DUMMYFUNCTION("""COMPUTED_VALUE"""),0.45)</f>
        <v>0.45</v>
      </c>
      <c r="E343" s="29">
        <f>IFERROR(__xludf.DUMMYFUNCTION("""COMPUTED_VALUE"""),43977.0)</f>
        <v>43977</v>
      </c>
      <c r="F343" s="26" t="str">
        <f>IFERROR(__xludf.DUMMYFUNCTION("""COMPUTED_VALUE"""),"557058:3124a1f0-e92a-405c-93f2-c1d4e621bc77")</f>
        <v>557058:3124a1f0-e92a-405c-93f2-c1d4e621bc77</v>
      </c>
      <c r="G343" s="26" t="str">
        <f>IFERROR(__xludf.DUMMYFUNCTION("""COMPUTED_VALUE"""),"Trevor Coehoorn")</f>
        <v>Trevor Coehoorn</v>
      </c>
      <c r="H343" s="26" t="b">
        <v>0</v>
      </c>
    </row>
    <row r="344" hidden="1">
      <c r="A344" s="26" t="str">
        <f>VLOOKUP(B344,'2020 SRED (JIRA) - Issues and l'!$B:$C,2,FALSE)</f>
        <v>insite-event-SRED</v>
      </c>
      <c r="B344" s="27" t="str">
        <f>IFERROR(__xludf.DUMMYFUNCTION("""COMPUTED_VALUE"""),"ZAPI-4")</f>
        <v>ZAPI-4</v>
      </c>
      <c r="C344" s="26" t="str">
        <f>IFERROR(__xludf.DUMMYFUNCTION("""COMPUTED_VALUE"""),"As a meeting administrator, I can pre-program polling questions and share them with clients ")</f>
        <v>As a meeting administrator, I can pre-program polling questions and share them with clients </v>
      </c>
      <c r="D344" s="28">
        <f>IFERROR(__xludf.DUMMYFUNCTION("""COMPUTED_VALUE"""),0.5)</f>
        <v>0.5</v>
      </c>
      <c r="E344" s="29">
        <f>IFERROR(__xludf.DUMMYFUNCTION("""COMPUTED_VALUE"""),43977.0)</f>
        <v>43977</v>
      </c>
      <c r="F344" s="26" t="str">
        <f>IFERROR(__xludf.DUMMYFUNCTION("""COMPUTED_VALUE"""),"557058:3124a1f0-e92a-405c-93f2-c1d4e621bc77")</f>
        <v>557058:3124a1f0-e92a-405c-93f2-c1d4e621bc77</v>
      </c>
      <c r="G344" s="26" t="str">
        <f>IFERROR(__xludf.DUMMYFUNCTION("""COMPUTED_VALUE"""),"Trevor Coehoorn")</f>
        <v>Trevor Coehoorn</v>
      </c>
      <c r="H344" s="26" t="b">
        <v>0</v>
      </c>
    </row>
    <row r="345" hidden="1">
      <c r="A345" s="26" t="str">
        <f>VLOOKUP(B345,'2020 SRED (JIRA) - Issues and l'!$B:$C,2,FALSE)</f>
        <v>insite-event-SRED</v>
      </c>
      <c r="B345" s="27" t="str">
        <f>IFERROR(__xludf.DUMMYFUNCTION("""COMPUTED_VALUE"""),"ZAPI-1")</f>
        <v>ZAPI-1</v>
      </c>
      <c r="C345" s="26" t="str">
        <f>IFERROR(__xludf.DUMMYFUNCTION("""COMPUTED_VALUE"""),"Zoom API v1 (MVP)")</f>
        <v>Zoom API v1 (MVP)</v>
      </c>
      <c r="D345" s="28">
        <f>IFERROR(__xludf.DUMMYFUNCTION("""COMPUTED_VALUE"""),0.333333333333333)</f>
        <v>0.3333333333</v>
      </c>
      <c r="E345" s="29">
        <f>IFERROR(__xludf.DUMMYFUNCTION("""COMPUTED_VALUE"""),43977.0)</f>
        <v>43977</v>
      </c>
      <c r="F345" s="26" t="str">
        <f>IFERROR(__xludf.DUMMYFUNCTION("""COMPUTED_VALUE"""),"557058:3124a1f0-e92a-405c-93f2-c1d4e621bc77")</f>
        <v>557058:3124a1f0-e92a-405c-93f2-c1d4e621bc77</v>
      </c>
      <c r="G345" s="26" t="str">
        <f>IFERROR(__xludf.DUMMYFUNCTION("""COMPUTED_VALUE"""),"Trevor Coehoorn")</f>
        <v>Trevor Coehoorn</v>
      </c>
      <c r="H345" s="26" t="b">
        <v>0</v>
      </c>
    </row>
    <row r="346" hidden="1">
      <c r="A346" s="26" t="str">
        <f>VLOOKUP(B346,'2020 SRED (JIRA) - Issues and l'!$B:$C,2,FALSE)</f>
        <v>insite-event-SRED</v>
      </c>
      <c r="B346" s="27" t="str">
        <f>IFERROR(__xludf.DUMMYFUNCTION("""COMPUTED_VALUE"""),"ZAPI-46")</f>
        <v>ZAPI-46</v>
      </c>
      <c r="C346" s="26" t="str">
        <f>IFERROR(__xludf.DUMMYFUNCTION("""COMPUTED_VALUE"""),"Update meeting registrants when a user group is modified")</f>
        <v>Update meeting registrants when a user group is modified</v>
      </c>
      <c r="D346" s="28">
        <f>IFERROR(__xludf.DUMMYFUNCTION("""COMPUTED_VALUE"""),0.916666666666666)</f>
        <v>0.9166666667</v>
      </c>
      <c r="E346" s="29">
        <f>IFERROR(__xludf.DUMMYFUNCTION("""COMPUTED_VALUE"""),43977.0)</f>
        <v>43977</v>
      </c>
      <c r="F346" s="26" t="str">
        <f>IFERROR(__xludf.DUMMYFUNCTION("""COMPUTED_VALUE"""),"557058:3124a1f0-e92a-405c-93f2-c1d4e621bc77")</f>
        <v>557058:3124a1f0-e92a-405c-93f2-c1d4e621bc77</v>
      </c>
      <c r="G346" s="26" t="str">
        <f>IFERROR(__xludf.DUMMYFUNCTION("""COMPUTED_VALUE"""),"Trevor Coehoorn")</f>
        <v>Trevor Coehoorn</v>
      </c>
      <c r="H346" s="26" t="b">
        <v>0</v>
      </c>
    </row>
    <row r="347" hidden="1">
      <c r="A347" s="26" t="str">
        <f>VLOOKUP(B347,'2020 SRED (JIRA) - Issues and l'!$B:$C,2,FALSE)</f>
        <v>insite-event-SRED</v>
      </c>
      <c r="B347" s="27" t="str">
        <f>IFERROR(__xludf.DUMMYFUNCTION("""COMPUTED_VALUE"""),"ZAPI-48")</f>
        <v>ZAPI-48</v>
      </c>
      <c r="C347" s="26" t="str">
        <f>IFERROR(__xludf.DUMMYFUNCTION("""COMPUTED_VALUE"""),"Prevent users from modifying past meetings")</f>
        <v>Prevent users from modifying past meetings</v>
      </c>
      <c r="D347" s="28">
        <f>IFERROR(__xludf.DUMMYFUNCTION("""COMPUTED_VALUE"""),0.0833333333333333)</f>
        <v>0.08333333333</v>
      </c>
      <c r="E347" s="29">
        <f>IFERROR(__xludf.DUMMYFUNCTION("""COMPUTED_VALUE"""),43977.0)</f>
        <v>43977</v>
      </c>
      <c r="F347" s="26" t="str">
        <f>IFERROR(__xludf.DUMMYFUNCTION("""COMPUTED_VALUE"""),"557058:3124a1f0-e92a-405c-93f2-c1d4e621bc77")</f>
        <v>557058:3124a1f0-e92a-405c-93f2-c1d4e621bc77</v>
      </c>
      <c r="G347" s="26" t="str">
        <f>IFERROR(__xludf.DUMMYFUNCTION("""COMPUTED_VALUE"""),"Trevor Coehoorn")</f>
        <v>Trevor Coehoorn</v>
      </c>
      <c r="H347" s="26" t="b">
        <v>0</v>
      </c>
    </row>
    <row r="348" hidden="1">
      <c r="A348" s="26" t="str">
        <f>VLOOKUP(B348,'2020 SRED (JIRA) - Issues and l'!$B:$C,2,FALSE)</f>
        <v>insite-mapping-SRED</v>
      </c>
      <c r="B348" s="27" t="str">
        <f>IFERROR(__xludf.DUMMYFUNCTION("""COMPUTED_VALUE"""),"ITP-1836")</f>
        <v>ITP-1836</v>
      </c>
      <c r="C348" s="26" t="str">
        <f>IFERROR(__xludf.DUMMYFUNCTION("""COMPUTED_VALUE"""),"Configurable Sails &amp; Anchors activity")</f>
        <v>Configurable Sails &amp; Anchors activity</v>
      </c>
      <c r="D348" s="28">
        <f>IFERROR(__xludf.DUMMYFUNCTION("""COMPUTED_VALUE"""),1.15)</f>
        <v>1.15</v>
      </c>
      <c r="E348" s="29">
        <f>IFERROR(__xludf.DUMMYFUNCTION("""COMPUTED_VALUE"""),43978.0)</f>
        <v>43978</v>
      </c>
      <c r="F348" s="26" t="str">
        <f>IFERROR(__xludf.DUMMYFUNCTION("""COMPUTED_VALUE"""),"557058:3124a1f0-e92a-405c-93f2-c1d4e621bc77")</f>
        <v>557058:3124a1f0-e92a-405c-93f2-c1d4e621bc77</v>
      </c>
      <c r="G348" s="26" t="str">
        <f>IFERROR(__xludf.DUMMYFUNCTION("""COMPUTED_VALUE"""),"Trevor Coehoorn")</f>
        <v>Trevor Coehoorn</v>
      </c>
      <c r="H348" s="26" t="b">
        <v>0</v>
      </c>
    </row>
    <row r="349" hidden="1">
      <c r="A349" s="26" t="str">
        <f>VLOOKUP(B349,'2020 SRED (JIRA) - Issues and l'!$B:$C,2,FALSE)</f>
        <v>insite-event-SRED</v>
      </c>
      <c r="B349" s="27" t="str">
        <f>IFERROR(__xludf.DUMMYFUNCTION("""COMPUTED_VALUE"""),"ZAPI-49")</f>
        <v>ZAPI-49</v>
      </c>
      <c r="C349" s="26" t="str">
        <f>IFERROR(__xludf.DUMMYFUNCTION("""COMPUTED_VALUE"""),"Automatically generate Zoom meeting password")</f>
        <v>Automatically generate Zoom meeting password</v>
      </c>
      <c r="D349" s="28">
        <f>IFERROR(__xludf.DUMMYFUNCTION("""COMPUTED_VALUE"""),0.516666666666666)</f>
        <v>0.5166666667</v>
      </c>
      <c r="E349" s="29">
        <f>IFERROR(__xludf.DUMMYFUNCTION("""COMPUTED_VALUE"""),43978.0)</f>
        <v>43978</v>
      </c>
      <c r="F349" s="26" t="str">
        <f>IFERROR(__xludf.DUMMYFUNCTION("""COMPUTED_VALUE"""),"557058:3124a1f0-e92a-405c-93f2-c1d4e621bc77")</f>
        <v>557058:3124a1f0-e92a-405c-93f2-c1d4e621bc77</v>
      </c>
      <c r="G349" s="26" t="str">
        <f>IFERROR(__xludf.DUMMYFUNCTION("""COMPUTED_VALUE"""),"Trevor Coehoorn")</f>
        <v>Trevor Coehoorn</v>
      </c>
      <c r="H349" s="26" t="b">
        <v>0</v>
      </c>
    </row>
    <row r="350" hidden="1">
      <c r="A350" s="26" t="str">
        <f>VLOOKUP(B350,'2020 SRED (JIRA) - Issues and l'!$B:$C,2,FALSE)</f>
        <v>insite-event-SRED</v>
      </c>
      <c r="B350" s="27" t="str">
        <f>IFERROR(__xludf.DUMMYFUNCTION("""COMPUTED_VALUE"""),"ZAPI-40")</f>
        <v>ZAPI-40</v>
      </c>
      <c r="C350" s="26" t="str">
        <f>IFERROR(__xludf.DUMMYFUNCTION("""COMPUTED_VALUE"""),"Allow administrators to configure Zoom meeting settings")</f>
        <v>Allow administrators to configure Zoom meeting settings</v>
      </c>
      <c r="D350" s="28">
        <f>IFERROR(__xludf.DUMMYFUNCTION("""COMPUTED_VALUE"""),2.33333333333333)</f>
        <v>2.333333333</v>
      </c>
      <c r="E350" s="29">
        <f>IFERROR(__xludf.DUMMYFUNCTION("""COMPUTED_VALUE"""),43978.0)</f>
        <v>43978</v>
      </c>
      <c r="F350" s="26" t="str">
        <f>IFERROR(__xludf.DUMMYFUNCTION("""COMPUTED_VALUE"""),"557058:3124a1f0-e92a-405c-93f2-c1d4e621bc77")</f>
        <v>557058:3124a1f0-e92a-405c-93f2-c1d4e621bc77</v>
      </c>
      <c r="G350" s="26" t="str">
        <f>IFERROR(__xludf.DUMMYFUNCTION("""COMPUTED_VALUE"""),"Trevor Coehoorn")</f>
        <v>Trevor Coehoorn</v>
      </c>
      <c r="H350" s="26" t="b">
        <v>0</v>
      </c>
    </row>
    <row r="351" hidden="1">
      <c r="A351" s="26" t="str">
        <f>VLOOKUP(B351,'2020 SRED (JIRA) - Issues and l'!$B:$C,2,FALSE)</f>
        <v>insite-event-SRED</v>
      </c>
      <c r="B351" s="27" t="str">
        <f>IFERROR(__xludf.DUMMYFUNCTION("""COMPUTED_VALUE"""),"ZAPI-10")</f>
        <v>ZAPI-10</v>
      </c>
      <c r="C351" s="26" t="str">
        <f>IFERROR(__xludf.DUMMYFUNCTION("""COMPUTED_VALUE"""),"As an attendee, I can join a meeting ""anonymously""")</f>
        <v>As an attendee, I can join a meeting "anonymously"</v>
      </c>
      <c r="D351" s="28">
        <f>IFERROR(__xludf.DUMMYFUNCTION("""COMPUTED_VALUE"""),1.01666666666666)</f>
        <v>1.016666667</v>
      </c>
      <c r="E351" s="29">
        <f>IFERROR(__xludf.DUMMYFUNCTION("""COMPUTED_VALUE"""),43978.0)</f>
        <v>43978</v>
      </c>
      <c r="F351" s="26" t="str">
        <f>IFERROR(__xludf.DUMMYFUNCTION("""COMPUTED_VALUE"""),"557058:3124a1f0-e92a-405c-93f2-c1d4e621bc77")</f>
        <v>557058:3124a1f0-e92a-405c-93f2-c1d4e621bc77</v>
      </c>
      <c r="G351" s="26" t="str">
        <f>IFERROR(__xludf.DUMMYFUNCTION("""COMPUTED_VALUE"""),"Trevor Coehoorn")</f>
        <v>Trevor Coehoorn</v>
      </c>
      <c r="H351" s="26" t="b">
        <v>0</v>
      </c>
    </row>
    <row r="352" hidden="1">
      <c r="A352" s="26" t="str">
        <f>VLOOKUP(B352,'2020 SRED (JIRA) - Issues and l'!$B:$C,2,FALSE)</f>
        <v>insite-event-SRED</v>
      </c>
      <c r="B352" s="27" t="str">
        <f>IFERROR(__xludf.DUMMYFUNCTION("""COMPUTED_VALUE"""),"ZAPI-1")</f>
        <v>ZAPI-1</v>
      </c>
      <c r="C352" s="26" t="str">
        <f>IFERROR(__xludf.DUMMYFUNCTION("""COMPUTED_VALUE"""),"Zoom API v1 (MVP)")</f>
        <v>Zoom API v1 (MVP)</v>
      </c>
      <c r="D352" s="28">
        <f>IFERROR(__xludf.DUMMYFUNCTION("""COMPUTED_VALUE"""),0.85)</f>
        <v>0.85</v>
      </c>
      <c r="E352" s="29">
        <f>IFERROR(__xludf.DUMMYFUNCTION("""COMPUTED_VALUE"""),43978.0)</f>
        <v>43978</v>
      </c>
      <c r="F352" s="26" t="str">
        <f>IFERROR(__xludf.DUMMYFUNCTION("""COMPUTED_VALUE"""),"557058:3124a1f0-e92a-405c-93f2-c1d4e621bc77")</f>
        <v>557058:3124a1f0-e92a-405c-93f2-c1d4e621bc77</v>
      </c>
      <c r="G352" s="26" t="str">
        <f>IFERROR(__xludf.DUMMYFUNCTION("""COMPUTED_VALUE"""),"Trevor Coehoorn")</f>
        <v>Trevor Coehoorn</v>
      </c>
      <c r="H352" s="26" t="b">
        <v>0</v>
      </c>
    </row>
    <row r="353" hidden="1">
      <c r="A353" s="26" t="str">
        <f>VLOOKUP(B353,'2020 SRED (JIRA) - Issues and l'!$B:$C,2,FALSE)</f>
        <v>insite-mapping-SRED</v>
      </c>
      <c r="B353" s="27" t="str">
        <f>IFERROR(__xludf.DUMMYFUNCTION("""COMPUTED_VALUE"""),"ITP-1836")</f>
        <v>ITP-1836</v>
      </c>
      <c r="C353" s="26" t="str">
        <f>IFERROR(__xludf.DUMMYFUNCTION("""COMPUTED_VALUE"""),"Configurable Sails &amp; Anchors activity")</f>
        <v>Configurable Sails &amp; Anchors activity</v>
      </c>
      <c r="D353" s="28">
        <f>IFERROR(__xludf.DUMMYFUNCTION("""COMPUTED_VALUE"""),1.81666666666666)</f>
        <v>1.816666667</v>
      </c>
      <c r="E353" s="29">
        <f>IFERROR(__xludf.DUMMYFUNCTION("""COMPUTED_VALUE"""),43979.0)</f>
        <v>43979</v>
      </c>
      <c r="F353" s="26" t="str">
        <f>IFERROR(__xludf.DUMMYFUNCTION("""COMPUTED_VALUE"""),"557058:3124a1f0-e92a-405c-93f2-c1d4e621bc77")</f>
        <v>557058:3124a1f0-e92a-405c-93f2-c1d4e621bc77</v>
      </c>
      <c r="G353" s="26" t="str">
        <f>IFERROR(__xludf.DUMMYFUNCTION("""COMPUTED_VALUE"""),"Trevor Coehoorn")</f>
        <v>Trevor Coehoorn</v>
      </c>
      <c r="H353" s="26" t="b">
        <v>0</v>
      </c>
    </row>
    <row r="354" hidden="1">
      <c r="A354" s="26" t="str">
        <f>VLOOKUP(B354,'2020 SRED (JIRA) - Issues and l'!$B:$C,2,FALSE)</f>
        <v>insite-event-SRED</v>
      </c>
      <c r="B354" s="27" t="str">
        <f>IFERROR(__xludf.DUMMYFUNCTION("""COMPUTED_VALUE"""),"ZAPI-40")</f>
        <v>ZAPI-40</v>
      </c>
      <c r="C354" s="26" t="str">
        <f>IFERROR(__xludf.DUMMYFUNCTION("""COMPUTED_VALUE"""),"Allow administrators to configure Zoom meeting settings")</f>
        <v>Allow administrators to configure Zoom meeting settings</v>
      </c>
      <c r="D354" s="28">
        <f>IFERROR(__xludf.DUMMYFUNCTION("""COMPUTED_VALUE"""),0.183333333333333)</f>
        <v>0.1833333333</v>
      </c>
      <c r="E354" s="29">
        <f>IFERROR(__xludf.DUMMYFUNCTION("""COMPUTED_VALUE"""),43979.0)</f>
        <v>43979</v>
      </c>
      <c r="F354" s="26" t="str">
        <f>IFERROR(__xludf.DUMMYFUNCTION("""COMPUTED_VALUE"""),"557058:3124a1f0-e92a-405c-93f2-c1d4e621bc77")</f>
        <v>557058:3124a1f0-e92a-405c-93f2-c1d4e621bc77</v>
      </c>
      <c r="G354" s="26" t="str">
        <f>IFERROR(__xludf.DUMMYFUNCTION("""COMPUTED_VALUE"""),"Trevor Coehoorn")</f>
        <v>Trevor Coehoorn</v>
      </c>
      <c r="H354" s="26" t="b">
        <v>0</v>
      </c>
    </row>
    <row r="355" hidden="1">
      <c r="A355" s="26" t="str">
        <f>VLOOKUP(B355,'2020 SRED (JIRA) - Issues and l'!$B:$C,2,FALSE)</f>
        <v>insite-event-SRED</v>
      </c>
      <c r="B355" s="27" t="str">
        <f>IFERROR(__xludf.DUMMYFUNCTION("""COMPUTED_VALUE"""),"ZAPI-1")</f>
        <v>ZAPI-1</v>
      </c>
      <c r="C355" s="26" t="str">
        <f>IFERROR(__xludf.DUMMYFUNCTION("""COMPUTED_VALUE"""),"Zoom API v1 (MVP)")</f>
        <v>Zoom API v1 (MVP)</v>
      </c>
      <c r="D355" s="28">
        <f>IFERROR(__xludf.DUMMYFUNCTION("""COMPUTED_VALUE"""),0.883333333333333)</f>
        <v>0.8833333333</v>
      </c>
      <c r="E355" s="29">
        <f>IFERROR(__xludf.DUMMYFUNCTION("""COMPUTED_VALUE"""),43979.0)</f>
        <v>43979</v>
      </c>
      <c r="F355" s="26" t="str">
        <f>IFERROR(__xludf.DUMMYFUNCTION("""COMPUTED_VALUE"""),"557058:3124a1f0-e92a-405c-93f2-c1d4e621bc77")</f>
        <v>557058:3124a1f0-e92a-405c-93f2-c1d4e621bc77</v>
      </c>
      <c r="G355" s="26" t="str">
        <f>IFERROR(__xludf.DUMMYFUNCTION("""COMPUTED_VALUE"""),"Trevor Coehoorn")</f>
        <v>Trevor Coehoorn</v>
      </c>
      <c r="H355" s="26" t="b">
        <v>0</v>
      </c>
    </row>
    <row r="356" hidden="1">
      <c r="A356" s="26" t="str">
        <f>VLOOKUP(B356,'2020 SRED (JIRA) - Issues and l'!$B:$C,2,FALSE)</f>
        <v>portal-builder-SRED</v>
      </c>
      <c r="B356" s="27" t="str">
        <f>IFERROR(__xludf.DUMMYFUNCTION("""COMPUTED_VALUE"""),"ITP-1845")</f>
        <v>ITP-1845</v>
      </c>
      <c r="C356" s="26" t="str">
        <f>IFERROR(__xludf.DUMMYFUNCTION("""COMPUTED_VALUE"""),"Increase the rating and ranking option maximum length")</f>
        <v>Increase the rating and ranking option maximum length</v>
      </c>
      <c r="D356" s="28">
        <f>IFERROR(__xludf.DUMMYFUNCTION("""COMPUTED_VALUE"""),0.183333333333333)</f>
        <v>0.1833333333</v>
      </c>
      <c r="E356" s="29">
        <f>IFERROR(__xludf.DUMMYFUNCTION("""COMPUTED_VALUE"""),43980.0)</f>
        <v>43980</v>
      </c>
      <c r="F356" s="26" t="str">
        <f>IFERROR(__xludf.DUMMYFUNCTION("""COMPUTED_VALUE"""),"557058:3124a1f0-e92a-405c-93f2-c1d4e621bc77")</f>
        <v>557058:3124a1f0-e92a-405c-93f2-c1d4e621bc77</v>
      </c>
      <c r="G356" s="26" t="str">
        <f>IFERROR(__xludf.DUMMYFUNCTION("""COMPUTED_VALUE"""),"Trevor Coehoorn")</f>
        <v>Trevor Coehoorn</v>
      </c>
      <c r="H356" s="26" t="b">
        <v>0</v>
      </c>
    </row>
    <row r="357" hidden="1">
      <c r="A357" s="26" t="str">
        <f>VLOOKUP(B357,'2020 SRED (JIRA) - Issues and l'!$B:$C,2,FALSE)</f>
        <v>insite-event-SRED</v>
      </c>
      <c r="B357" s="27" t="str">
        <f>IFERROR(__xludf.DUMMYFUNCTION("""COMPUTED_VALUE"""),"ZAPI-10")</f>
        <v>ZAPI-10</v>
      </c>
      <c r="C357" s="26" t="str">
        <f>IFERROR(__xludf.DUMMYFUNCTION("""COMPUTED_VALUE"""),"As an attendee, I can join a meeting ""anonymously""")</f>
        <v>As an attendee, I can join a meeting "anonymously"</v>
      </c>
      <c r="D357" s="28">
        <f>IFERROR(__xludf.DUMMYFUNCTION("""COMPUTED_VALUE"""),0.116666666666666)</f>
        <v>0.1166666667</v>
      </c>
      <c r="E357" s="29">
        <f>IFERROR(__xludf.DUMMYFUNCTION("""COMPUTED_VALUE"""),43980.0)</f>
        <v>43980</v>
      </c>
      <c r="F357" s="26" t="str">
        <f>IFERROR(__xludf.DUMMYFUNCTION("""COMPUTED_VALUE"""),"557058:3124a1f0-e92a-405c-93f2-c1d4e621bc77")</f>
        <v>557058:3124a1f0-e92a-405c-93f2-c1d4e621bc77</v>
      </c>
      <c r="G357" s="26" t="str">
        <f>IFERROR(__xludf.DUMMYFUNCTION("""COMPUTED_VALUE"""),"Trevor Coehoorn")</f>
        <v>Trevor Coehoorn</v>
      </c>
      <c r="H357" s="26" t="b">
        <v>0</v>
      </c>
    </row>
    <row r="358" hidden="1">
      <c r="A358" s="26" t="str">
        <f>VLOOKUP(B358,'2020 SRED (JIRA) - Issues and l'!$B:$C,2,FALSE)</f>
        <v>insite-event-SRED</v>
      </c>
      <c r="B358" s="27" t="str">
        <f>IFERROR(__xludf.DUMMYFUNCTION("""COMPUTED_VALUE"""),"ZAPI-46")</f>
        <v>ZAPI-46</v>
      </c>
      <c r="C358" s="26" t="str">
        <f>IFERROR(__xludf.DUMMYFUNCTION("""COMPUTED_VALUE"""),"Update meeting registrants when a user group is modified")</f>
        <v>Update meeting registrants when a user group is modified</v>
      </c>
      <c r="D358" s="28">
        <f>IFERROR(__xludf.DUMMYFUNCTION("""COMPUTED_VALUE"""),0.516666666666666)</f>
        <v>0.5166666667</v>
      </c>
      <c r="E358" s="29">
        <f>IFERROR(__xludf.DUMMYFUNCTION("""COMPUTED_VALUE"""),43980.0)</f>
        <v>43980</v>
      </c>
      <c r="F358" s="26" t="str">
        <f>IFERROR(__xludf.DUMMYFUNCTION("""COMPUTED_VALUE"""),"557058:3124a1f0-e92a-405c-93f2-c1d4e621bc77")</f>
        <v>557058:3124a1f0-e92a-405c-93f2-c1d4e621bc77</v>
      </c>
      <c r="G358" s="26" t="str">
        <f>IFERROR(__xludf.DUMMYFUNCTION("""COMPUTED_VALUE"""),"Trevor Coehoorn")</f>
        <v>Trevor Coehoorn</v>
      </c>
      <c r="H358" s="26" t="b">
        <v>0</v>
      </c>
    </row>
    <row r="359" hidden="1">
      <c r="A359" s="26" t="str">
        <f>VLOOKUP(B359,'2020 SRED (JIRA) - Issues and l'!$B:$C,2,FALSE)</f>
        <v>insite-event-SRED</v>
      </c>
      <c r="B359" s="27" t="str">
        <f>IFERROR(__xludf.DUMMYFUNCTION("""COMPUTED_VALUE"""),"ZAPI-40")</f>
        <v>ZAPI-40</v>
      </c>
      <c r="C359" s="26" t="str">
        <f>IFERROR(__xludf.DUMMYFUNCTION("""COMPUTED_VALUE"""),"Allow administrators to configure Zoom meeting settings")</f>
        <v>Allow administrators to configure Zoom meeting settings</v>
      </c>
      <c r="D359" s="28">
        <f>IFERROR(__xludf.DUMMYFUNCTION("""COMPUTED_VALUE"""),0.216666666666666)</f>
        <v>0.2166666667</v>
      </c>
      <c r="E359" s="29">
        <f>IFERROR(__xludf.DUMMYFUNCTION("""COMPUTED_VALUE"""),43980.0)</f>
        <v>43980</v>
      </c>
      <c r="F359" s="26" t="str">
        <f>IFERROR(__xludf.DUMMYFUNCTION("""COMPUTED_VALUE"""),"557058:3124a1f0-e92a-405c-93f2-c1d4e621bc77")</f>
        <v>557058:3124a1f0-e92a-405c-93f2-c1d4e621bc77</v>
      </c>
      <c r="G359" s="26" t="str">
        <f>IFERROR(__xludf.DUMMYFUNCTION("""COMPUTED_VALUE"""),"Trevor Coehoorn")</f>
        <v>Trevor Coehoorn</v>
      </c>
      <c r="H359" s="26" t="b">
        <v>0</v>
      </c>
    </row>
    <row r="360" hidden="1">
      <c r="A360" s="26" t="str">
        <f>VLOOKUP(B360,'2020 SRED (JIRA) - Issues and l'!$B:$C,2,FALSE)</f>
        <v>insite-event-SRED</v>
      </c>
      <c r="B360" s="27" t="str">
        <f>IFERROR(__xludf.DUMMYFUNCTION("""COMPUTED_VALUE"""),"ZAPI-1")</f>
        <v>ZAPI-1</v>
      </c>
      <c r="C360" s="26" t="str">
        <f>IFERROR(__xludf.DUMMYFUNCTION("""COMPUTED_VALUE"""),"Zoom API v1 (MVP)")</f>
        <v>Zoom API v1 (MVP)</v>
      </c>
      <c r="D360" s="28">
        <f>IFERROR(__xludf.DUMMYFUNCTION("""COMPUTED_VALUE"""),0.666666666666666)</f>
        <v>0.6666666667</v>
      </c>
      <c r="E360" s="29">
        <f>IFERROR(__xludf.DUMMYFUNCTION("""COMPUTED_VALUE"""),43980.0)</f>
        <v>43980</v>
      </c>
      <c r="F360" s="26" t="str">
        <f>IFERROR(__xludf.DUMMYFUNCTION("""COMPUTED_VALUE"""),"557058:3124a1f0-e92a-405c-93f2-c1d4e621bc77")</f>
        <v>557058:3124a1f0-e92a-405c-93f2-c1d4e621bc77</v>
      </c>
      <c r="G360" s="26" t="str">
        <f>IFERROR(__xludf.DUMMYFUNCTION("""COMPUTED_VALUE"""),"Trevor Coehoorn")</f>
        <v>Trevor Coehoorn</v>
      </c>
      <c r="H360" s="26" t="b">
        <v>0</v>
      </c>
    </row>
    <row r="361" hidden="1">
      <c r="A361" s="26" t="str">
        <f>VLOOKUP(B361,'2020 SRED (JIRA) - Issues and l'!$B:$C,2,FALSE)</f>
        <v>insite-event-SRED</v>
      </c>
      <c r="B361" s="27" t="str">
        <f>IFERROR(__xludf.DUMMYFUNCTION("""COMPUTED_VALUE"""),"ZAPI-4")</f>
        <v>ZAPI-4</v>
      </c>
      <c r="C361" s="26" t="str">
        <f>IFERROR(__xludf.DUMMYFUNCTION("""COMPUTED_VALUE"""),"As a meeting administrator, I can pre-program polling questions and share them with clients ")</f>
        <v>As a meeting administrator, I can pre-program polling questions and share them with clients </v>
      </c>
      <c r="D361" s="28">
        <f>IFERROR(__xludf.DUMMYFUNCTION("""COMPUTED_VALUE"""),0.95)</f>
        <v>0.95</v>
      </c>
      <c r="E361" s="29">
        <f>IFERROR(__xludf.DUMMYFUNCTION("""COMPUTED_VALUE"""),43980.0)</f>
        <v>43980</v>
      </c>
      <c r="F361" s="26" t="str">
        <f>IFERROR(__xludf.DUMMYFUNCTION("""COMPUTED_VALUE"""),"557058:3124a1f0-e92a-405c-93f2-c1d4e621bc77")</f>
        <v>557058:3124a1f0-e92a-405c-93f2-c1d4e621bc77</v>
      </c>
      <c r="G361" s="26" t="str">
        <f>IFERROR(__xludf.DUMMYFUNCTION("""COMPUTED_VALUE"""),"Trevor Coehoorn")</f>
        <v>Trevor Coehoorn</v>
      </c>
      <c r="H361" s="26" t="b">
        <v>0</v>
      </c>
    </row>
    <row r="362" hidden="1">
      <c r="A362" s="26" t="str">
        <f>VLOOKUP(B362,'2020 SRED (JIRA) - Issues and l'!$B:$C,2,FALSE)</f>
        <v>insite-mapping-SRED</v>
      </c>
      <c r="B362" s="27" t="str">
        <f>IFERROR(__xludf.DUMMYFUNCTION("""COMPUTED_VALUE"""),"ITP-1836")</f>
        <v>ITP-1836</v>
      </c>
      <c r="C362" s="26" t="str">
        <f>IFERROR(__xludf.DUMMYFUNCTION("""COMPUTED_VALUE"""),"Configurable Sails &amp; Anchors activity")</f>
        <v>Configurable Sails &amp; Anchors activity</v>
      </c>
      <c r="D362" s="28">
        <f>IFERROR(__xludf.DUMMYFUNCTION("""COMPUTED_VALUE"""),2.38333333333333)</f>
        <v>2.383333333</v>
      </c>
      <c r="E362" s="29">
        <f>IFERROR(__xludf.DUMMYFUNCTION("""COMPUTED_VALUE"""),43983.0)</f>
        <v>43983</v>
      </c>
      <c r="F362" s="26" t="str">
        <f>IFERROR(__xludf.DUMMYFUNCTION("""COMPUTED_VALUE"""),"557058:3124a1f0-e92a-405c-93f2-c1d4e621bc77")</f>
        <v>557058:3124a1f0-e92a-405c-93f2-c1d4e621bc77</v>
      </c>
      <c r="G362" s="26" t="str">
        <f>IFERROR(__xludf.DUMMYFUNCTION("""COMPUTED_VALUE"""),"Trevor Coehoorn")</f>
        <v>Trevor Coehoorn</v>
      </c>
      <c r="H362" s="26" t="b">
        <v>0</v>
      </c>
    </row>
    <row r="363" hidden="1">
      <c r="A363" s="26" t="str">
        <f>VLOOKUP(B363,'2020 SRED (JIRA) - Issues and l'!$B:$C,2,FALSE)</f>
        <v>portal-builder-SRED</v>
      </c>
      <c r="B363" s="27" t="str">
        <f>IFERROR(__xludf.DUMMYFUNCTION("""COMPUTED_VALUE"""),"ITP-1819")</f>
        <v>ITP-1819</v>
      </c>
      <c r="C363" s="26" t="str">
        <f>IFERROR(__xludf.DUMMYFUNCTION("""COMPUTED_VALUE"""),"Set up one-time login password creation process")</f>
        <v>Set up one-time login password creation process</v>
      </c>
      <c r="D363" s="28">
        <f>IFERROR(__xludf.DUMMYFUNCTION("""COMPUTED_VALUE"""),0.4)</f>
        <v>0.4</v>
      </c>
      <c r="E363" s="29">
        <f>IFERROR(__xludf.DUMMYFUNCTION("""COMPUTED_VALUE"""),43983.0)</f>
        <v>43983</v>
      </c>
      <c r="F363" s="26" t="str">
        <f>IFERROR(__xludf.DUMMYFUNCTION("""COMPUTED_VALUE"""),"557058:3124a1f0-e92a-405c-93f2-c1d4e621bc77")</f>
        <v>557058:3124a1f0-e92a-405c-93f2-c1d4e621bc77</v>
      </c>
      <c r="G363" s="26" t="str">
        <f>IFERROR(__xludf.DUMMYFUNCTION("""COMPUTED_VALUE"""),"Trevor Coehoorn")</f>
        <v>Trevor Coehoorn</v>
      </c>
      <c r="H363" s="26" t="b">
        <v>0</v>
      </c>
    </row>
    <row r="364" hidden="1">
      <c r="A364" s="26" t="str">
        <f>VLOOKUP(B364,'2020 SRED (JIRA) - Issues and l'!$B:$C,2,FALSE)</f>
        <v>portal-builder</v>
      </c>
      <c r="B364" s="27" t="str">
        <f>IFERROR(__xludf.DUMMYFUNCTION("""COMPUTED_VALUE"""),"IV2-31")</f>
        <v>IV2-31</v>
      </c>
      <c r="C364" s="26" t="str">
        <f>IFERROR(__xludf.DUMMYFUNCTION("""COMPUTED_VALUE"""),"V2 Status Meetings")</f>
        <v>V2 Status Meetings</v>
      </c>
      <c r="D364" s="28">
        <f>IFERROR(__xludf.DUMMYFUNCTION("""COMPUTED_VALUE"""),0.266666666666666)</f>
        <v>0.2666666667</v>
      </c>
      <c r="E364" s="29">
        <f>IFERROR(__xludf.DUMMYFUNCTION("""COMPUTED_VALUE"""),43983.0)</f>
        <v>43983</v>
      </c>
      <c r="F364" s="26" t="str">
        <f>IFERROR(__xludf.DUMMYFUNCTION("""COMPUTED_VALUE"""),"557058:3124a1f0-e92a-405c-93f2-c1d4e621bc77")</f>
        <v>557058:3124a1f0-e92a-405c-93f2-c1d4e621bc77</v>
      </c>
      <c r="G364" s="26" t="str">
        <f>IFERROR(__xludf.DUMMYFUNCTION("""COMPUTED_VALUE"""),"Trevor Coehoorn")</f>
        <v>Trevor Coehoorn</v>
      </c>
      <c r="H364" s="26" t="b">
        <v>0</v>
      </c>
    </row>
    <row r="365" hidden="1">
      <c r="A365" s="26" t="str">
        <f>VLOOKUP(B365,'2020 SRED (JIRA) - Issues and l'!$B:$C,2,FALSE)</f>
        <v>insite-event-SRED</v>
      </c>
      <c r="B365" s="27" t="str">
        <f>IFERROR(__xludf.DUMMYFUNCTION("""COMPUTED_VALUE"""),"ZAPI-27")</f>
        <v>ZAPI-27</v>
      </c>
      <c r="C365" s="26" t="str">
        <f>IFERROR(__xludf.DUMMYFUNCTION("""COMPUTED_VALUE"""),"As a meeting administrator, I can add a web meeting panel/widget to my touchpoint content page and start/join a meeting from there")</f>
        <v>As a meeting administrator, I can add a web meeting panel/widget to my touchpoint content page and start/join a meeting from there</v>
      </c>
      <c r="D365" s="28">
        <f>IFERROR(__xludf.DUMMYFUNCTION("""COMPUTED_VALUE"""),1.13333333333333)</f>
        <v>1.133333333</v>
      </c>
      <c r="E365" s="29">
        <f>IFERROR(__xludf.DUMMYFUNCTION("""COMPUTED_VALUE"""),43983.0)</f>
        <v>43983</v>
      </c>
      <c r="F365" s="26" t="str">
        <f>IFERROR(__xludf.DUMMYFUNCTION("""COMPUTED_VALUE"""),"557058:3124a1f0-e92a-405c-93f2-c1d4e621bc77")</f>
        <v>557058:3124a1f0-e92a-405c-93f2-c1d4e621bc77</v>
      </c>
      <c r="G365" s="26" t="str">
        <f>IFERROR(__xludf.DUMMYFUNCTION("""COMPUTED_VALUE"""),"Trevor Coehoorn")</f>
        <v>Trevor Coehoorn</v>
      </c>
      <c r="H365" s="26" t="b">
        <v>0</v>
      </c>
    </row>
    <row r="366" hidden="1">
      <c r="A366" s="26" t="str">
        <f>VLOOKUP(B366,'2020 SRED (JIRA) - Issues and l'!$B:$C,2,FALSE)</f>
        <v>insite-event-SRED</v>
      </c>
      <c r="B366" s="27" t="str">
        <f>IFERROR(__xludf.DUMMYFUNCTION("""COMPUTED_VALUE"""),"ZAPI-1")</f>
        <v>ZAPI-1</v>
      </c>
      <c r="C366" s="26" t="str">
        <f>IFERROR(__xludf.DUMMYFUNCTION("""COMPUTED_VALUE"""),"Zoom API v1 (MVP)")</f>
        <v>Zoom API v1 (MVP)</v>
      </c>
      <c r="D366" s="28">
        <f>IFERROR(__xludf.DUMMYFUNCTION("""COMPUTED_VALUE"""),0.25)</f>
        <v>0.25</v>
      </c>
      <c r="E366" s="29">
        <f>IFERROR(__xludf.DUMMYFUNCTION("""COMPUTED_VALUE"""),43983.0)</f>
        <v>43983</v>
      </c>
      <c r="F366" s="26" t="str">
        <f>IFERROR(__xludf.DUMMYFUNCTION("""COMPUTED_VALUE"""),"557058:3124a1f0-e92a-405c-93f2-c1d4e621bc77")</f>
        <v>557058:3124a1f0-e92a-405c-93f2-c1d4e621bc77</v>
      </c>
      <c r="G366" s="26" t="str">
        <f>IFERROR(__xludf.DUMMYFUNCTION("""COMPUTED_VALUE"""),"Trevor Coehoorn")</f>
        <v>Trevor Coehoorn</v>
      </c>
      <c r="H366" s="26" t="b">
        <v>0</v>
      </c>
    </row>
    <row r="367" hidden="1">
      <c r="A367" s="26" t="str">
        <f>VLOOKUP(B367,'2020 SRED (JIRA) - Issues and l'!$B:$C,2,FALSE)</f>
        <v>insite-mapping-SRED</v>
      </c>
      <c r="B367" s="27" t="str">
        <f>IFERROR(__xludf.DUMMYFUNCTION("""COMPUTED_VALUE"""),"ITP-1836")</f>
        <v>ITP-1836</v>
      </c>
      <c r="C367" s="26" t="str">
        <f>IFERROR(__xludf.DUMMYFUNCTION("""COMPUTED_VALUE"""),"Configurable Sails &amp; Anchors activity")</f>
        <v>Configurable Sails &amp; Anchors activity</v>
      </c>
      <c r="D367" s="28">
        <f>IFERROR(__xludf.DUMMYFUNCTION("""COMPUTED_VALUE"""),2.46666666666666)</f>
        <v>2.466666667</v>
      </c>
      <c r="E367" s="29">
        <f>IFERROR(__xludf.DUMMYFUNCTION("""COMPUTED_VALUE"""),43984.0)</f>
        <v>43984</v>
      </c>
      <c r="F367" s="26" t="str">
        <f>IFERROR(__xludf.DUMMYFUNCTION("""COMPUTED_VALUE"""),"557058:3124a1f0-e92a-405c-93f2-c1d4e621bc77")</f>
        <v>557058:3124a1f0-e92a-405c-93f2-c1d4e621bc77</v>
      </c>
      <c r="G367" s="26" t="str">
        <f>IFERROR(__xludf.DUMMYFUNCTION("""COMPUTED_VALUE"""),"Trevor Coehoorn")</f>
        <v>Trevor Coehoorn</v>
      </c>
      <c r="H367" s="26" t="b">
        <v>0</v>
      </c>
    </row>
    <row r="368" hidden="1">
      <c r="A368" s="26" t="str">
        <f>VLOOKUP(B368,'2020 SRED (JIRA) - Issues and l'!$B:$C,2,FALSE)</f>
        <v>insite-event-SRED</v>
      </c>
      <c r="B368" s="27" t="str">
        <f>IFERROR(__xludf.DUMMYFUNCTION("""COMPUTED_VALUE"""),"ZAPI-54")</f>
        <v>ZAPI-54</v>
      </c>
      <c r="C368" s="26" t="str">
        <f>IFERROR(__xludf.DUMMYFUNCTION("""COMPUTED_VALUE"""),"Choose Zoom host account when creating meetings")</f>
        <v>Choose Zoom host account when creating meetings</v>
      </c>
      <c r="D368" s="28">
        <f>IFERROR(__xludf.DUMMYFUNCTION("""COMPUTED_VALUE"""),0.35)</f>
        <v>0.35</v>
      </c>
      <c r="E368" s="29">
        <f>IFERROR(__xludf.DUMMYFUNCTION("""COMPUTED_VALUE"""),43984.0)</f>
        <v>43984</v>
      </c>
      <c r="F368" s="26" t="str">
        <f>IFERROR(__xludf.DUMMYFUNCTION("""COMPUTED_VALUE"""),"557058:3124a1f0-e92a-405c-93f2-c1d4e621bc77")</f>
        <v>557058:3124a1f0-e92a-405c-93f2-c1d4e621bc77</v>
      </c>
      <c r="G368" s="26" t="str">
        <f>IFERROR(__xludf.DUMMYFUNCTION("""COMPUTED_VALUE"""),"Trevor Coehoorn")</f>
        <v>Trevor Coehoorn</v>
      </c>
      <c r="H368" s="26" t="b">
        <v>0</v>
      </c>
    </row>
    <row r="369" hidden="1">
      <c r="A369" s="26" t="str">
        <f>VLOOKUP(B369,'2020 SRED (JIRA) - Issues and l'!$B:$C,2,FALSE)</f>
        <v>insite-event-SRED</v>
      </c>
      <c r="B369" s="27" t="str">
        <f>IFERROR(__xludf.DUMMYFUNCTION("""COMPUTED_VALUE"""),"ZAPI-1")</f>
        <v>ZAPI-1</v>
      </c>
      <c r="C369" s="26" t="str">
        <f>IFERROR(__xludf.DUMMYFUNCTION("""COMPUTED_VALUE"""),"Zoom API v1 (MVP)")</f>
        <v>Zoom API v1 (MVP)</v>
      </c>
      <c r="D369" s="28">
        <f>IFERROR(__xludf.DUMMYFUNCTION("""COMPUTED_VALUE"""),0.5)</f>
        <v>0.5</v>
      </c>
      <c r="E369" s="29">
        <f>IFERROR(__xludf.DUMMYFUNCTION("""COMPUTED_VALUE"""),43984.0)</f>
        <v>43984</v>
      </c>
      <c r="F369" s="26" t="str">
        <f>IFERROR(__xludf.DUMMYFUNCTION("""COMPUTED_VALUE"""),"557058:3124a1f0-e92a-405c-93f2-c1d4e621bc77")</f>
        <v>557058:3124a1f0-e92a-405c-93f2-c1d4e621bc77</v>
      </c>
      <c r="G369" s="26" t="str">
        <f>IFERROR(__xludf.DUMMYFUNCTION("""COMPUTED_VALUE"""),"Trevor Coehoorn")</f>
        <v>Trevor Coehoorn</v>
      </c>
      <c r="H369" s="26" t="b">
        <v>0</v>
      </c>
    </row>
    <row r="370" hidden="1">
      <c r="A370" s="26" t="str">
        <f>VLOOKUP(B370,'2020 SRED (JIRA) - Issues and l'!$B:$C,2,FALSE)</f>
        <v>insite-event-SRED</v>
      </c>
      <c r="B370" s="27" t="str">
        <f>IFERROR(__xludf.DUMMYFUNCTION("""COMPUTED_VALUE"""),"ZAPI-40")</f>
        <v>ZAPI-40</v>
      </c>
      <c r="C370" s="26" t="str">
        <f>IFERROR(__xludf.DUMMYFUNCTION("""COMPUTED_VALUE"""),"Allow administrators to configure Zoom meeting settings")</f>
        <v>Allow administrators to configure Zoom meeting settings</v>
      </c>
      <c r="D370" s="28">
        <f>IFERROR(__xludf.DUMMYFUNCTION("""COMPUTED_VALUE"""),0.216666666666666)</f>
        <v>0.2166666667</v>
      </c>
      <c r="E370" s="29">
        <f>IFERROR(__xludf.DUMMYFUNCTION("""COMPUTED_VALUE"""),43985.0)</f>
        <v>43985</v>
      </c>
      <c r="F370" s="26" t="str">
        <f>IFERROR(__xludf.DUMMYFUNCTION("""COMPUTED_VALUE"""),"557058:3124a1f0-e92a-405c-93f2-c1d4e621bc77")</f>
        <v>557058:3124a1f0-e92a-405c-93f2-c1d4e621bc77</v>
      </c>
      <c r="G370" s="26" t="str">
        <f>IFERROR(__xludf.DUMMYFUNCTION("""COMPUTED_VALUE"""),"Trevor Coehoorn")</f>
        <v>Trevor Coehoorn</v>
      </c>
      <c r="H370" s="26" t="b">
        <v>0</v>
      </c>
    </row>
    <row r="371" hidden="1">
      <c r="A371" s="26" t="str">
        <f>VLOOKUP(B371,'2020 SRED (JIRA) - Issues and l'!$B:$C,2,FALSE)</f>
        <v>insite-mapping-SRED</v>
      </c>
      <c r="B371" s="27" t="str">
        <f>IFERROR(__xludf.DUMMYFUNCTION("""COMPUTED_VALUE"""),"ITP-1836")</f>
        <v>ITP-1836</v>
      </c>
      <c r="C371" s="26" t="str">
        <f>IFERROR(__xludf.DUMMYFUNCTION("""COMPUTED_VALUE"""),"Configurable Sails &amp; Anchors activity")</f>
        <v>Configurable Sails &amp; Anchors activity</v>
      </c>
      <c r="D371" s="28">
        <f>IFERROR(__xludf.DUMMYFUNCTION("""COMPUTED_VALUE"""),3.45)</f>
        <v>3.45</v>
      </c>
      <c r="E371" s="29">
        <f>IFERROR(__xludf.DUMMYFUNCTION("""COMPUTED_VALUE"""),43985.0)</f>
        <v>43985</v>
      </c>
      <c r="F371" s="26" t="str">
        <f>IFERROR(__xludf.DUMMYFUNCTION("""COMPUTED_VALUE"""),"557058:3124a1f0-e92a-405c-93f2-c1d4e621bc77")</f>
        <v>557058:3124a1f0-e92a-405c-93f2-c1d4e621bc77</v>
      </c>
      <c r="G371" s="26" t="str">
        <f>IFERROR(__xludf.DUMMYFUNCTION("""COMPUTED_VALUE"""),"Trevor Coehoorn")</f>
        <v>Trevor Coehoorn</v>
      </c>
      <c r="H371" s="26" t="b">
        <v>0</v>
      </c>
    </row>
    <row r="372" hidden="1">
      <c r="A372" s="26" t="str">
        <f>VLOOKUP(B372,'2020 SRED (JIRA) - Issues and l'!$B:$C,2,FALSE)</f>
        <v>insite-event-SRED</v>
      </c>
      <c r="B372" s="27" t="str">
        <f>IFERROR(__xludf.DUMMYFUNCTION("""COMPUTED_VALUE"""),"ZAPI-54")</f>
        <v>ZAPI-54</v>
      </c>
      <c r="C372" s="26" t="str">
        <f>IFERROR(__xludf.DUMMYFUNCTION("""COMPUTED_VALUE"""),"Choose Zoom host account when creating meetings")</f>
        <v>Choose Zoom host account when creating meetings</v>
      </c>
      <c r="D372" s="28">
        <f>IFERROR(__xludf.DUMMYFUNCTION("""COMPUTED_VALUE"""),0.116666666666666)</f>
        <v>0.1166666667</v>
      </c>
      <c r="E372" s="29">
        <f>IFERROR(__xludf.DUMMYFUNCTION("""COMPUTED_VALUE"""),43985.0)</f>
        <v>43985</v>
      </c>
      <c r="F372" s="26" t="str">
        <f>IFERROR(__xludf.DUMMYFUNCTION("""COMPUTED_VALUE"""),"557058:3124a1f0-e92a-405c-93f2-c1d4e621bc77")</f>
        <v>557058:3124a1f0-e92a-405c-93f2-c1d4e621bc77</v>
      </c>
      <c r="G372" s="26" t="str">
        <f>IFERROR(__xludf.DUMMYFUNCTION("""COMPUTED_VALUE"""),"Trevor Coehoorn")</f>
        <v>Trevor Coehoorn</v>
      </c>
      <c r="H372" s="26" t="b">
        <v>0</v>
      </c>
    </row>
    <row r="373" hidden="1">
      <c r="A373" s="26" t="str">
        <f>VLOOKUP(B373,'2020 SRED (JIRA) - Issues and l'!$B:$C,2,FALSE)</f>
        <v>insite-event-SRED</v>
      </c>
      <c r="B373" s="27" t="str">
        <f>IFERROR(__xludf.DUMMYFUNCTION("""COMPUTED_VALUE"""),"ZAPI-27")</f>
        <v>ZAPI-27</v>
      </c>
      <c r="C373" s="26" t="str">
        <f>IFERROR(__xludf.DUMMYFUNCTION("""COMPUTED_VALUE"""),"As a meeting administrator, I can add a web meeting panel/widget to my touchpoint content page and start/join a meeting from there")</f>
        <v>As a meeting administrator, I can add a web meeting panel/widget to my touchpoint content page and start/join a meeting from there</v>
      </c>
      <c r="D373" s="28">
        <f>IFERROR(__xludf.DUMMYFUNCTION("""COMPUTED_VALUE"""),0.233333333333333)</f>
        <v>0.2333333333</v>
      </c>
      <c r="E373" s="29">
        <f>IFERROR(__xludf.DUMMYFUNCTION("""COMPUTED_VALUE"""),43985.0)</f>
        <v>43985</v>
      </c>
      <c r="F373" s="26" t="str">
        <f>IFERROR(__xludf.DUMMYFUNCTION("""COMPUTED_VALUE"""),"557058:3124a1f0-e92a-405c-93f2-c1d4e621bc77")</f>
        <v>557058:3124a1f0-e92a-405c-93f2-c1d4e621bc77</v>
      </c>
      <c r="G373" s="26" t="str">
        <f>IFERROR(__xludf.DUMMYFUNCTION("""COMPUTED_VALUE"""),"Trevor Coehoorn")</f>
        <v>Trevor Coehoorn</v>
      </c>
      <c r="H373" s="26" t="b">
        <v>0</v>
      </c>
    </row>
    <row r="374" hidden="1">
      <c r="A374" s="26" t="str">
        <f>VLOOKUP(B374,'2020 SRED (JIRA) - Issues and l'!$B:$C,2,FALSE)</f>
        <v>insite-event-SRED</v>
      </c>
      <c r="B374" s="27" t="str">
        <f>IFERROR(__xludf.DUMMYFUNCTION("""COMPUTED_VALUE"""),"ZAPI-54")</f>
        <v>ZAPI-54</v>
      </c>
      <c r="C374" s="26" t="str">
        <f>IFERROR(__xludf.DUMMYFUNCTION("""COMPUTED_VALUE"""),"Choose Zoom host account when creating meetings")</f>
        <v>Choose Zoom host account when creating meetings</v>
      </c>
      <c r="D374" s="28">
        <f>IFERROR(__xludf.DUMMYFUNCTION("""COMPUTED_VALUE"""),0.433333333333333)</f>
        <v>0.4333333333</v>
      </c>
      <c r="E374" s="29">
        <f>IFERROR(__xludf.DUMMYFUNCTION("""COMPUTED_VALUE"""),43986.0)</f>
        <v>43986</v>
      </c>
      <c r="F374" s="26" t="str">
        <f>IFERROR(__xludf.DUMMYFUNCTION("""COMPUTED_VALUE"""),"557058:3124a1f0-e92a-405c-93f2-c1d4e621bc77")</f>
        <v>557058:3124a1f0-e92a-405c-93f2-c1d4e621bc77</v>
      </c>
      <c r="G374" s="26" t="str">
        <f>IFERROR(__xludf.DUMMYFUNCTION("""COMPUTED_VALUE"""),"Trevor Coehoorn")</f>
        <v>Trevor Coehoorn</v>
      </c>
      <c r="H374" s="26" t="b">
        <v>0</v>
      </c>
    </row>
    <row r="375" hidden="1">
      <c r="A375" s="26" t="str">
        <f>VLOOKUP(B375,'2020 SRED (JIRA) - Issues and l'!$B:$C,2,FALSE)</f>
        <v>insite-mapping-SRED</v>
      </c>
      <c r="B375" s="27" t="str">
        <f>IFERROR(__xludf.DUMMYFUNCTION("""COMPUTED_VALUE"""),"ITP-1836")</f>
        <v>ITP-1836</v>
      </c>
      <c r="C375" s="26" t="str">
        <f>IFERROR(__xludf.DUMMYFUNCTION("""COMPUTED_VALUE"""),"Configurable Sails &amp; Anchors activity")</f>
        <v>Configurable Sails &amp; Anchors activity</v>
      </c>
      <c r="D375" s="28">
        <f>IFERROR(__xludf.DUMMYFUNCTION("""COMPUTED_VALUE"""),6.11666666666666)</f>
        <v>6.116666667</v>
      </c>
      <c r="E375" s="29">
        <f>IFERROR(__xludf.DUMMYFUNCTION("""COMPUTED_VALUE"""),43986.0)</f>
        <v>43986</v>
      </c>
      <c r="F375" s="26" t="str">
        <f>IFERROR(__xludf.DUMMYFUNCTION("""COMPUTED_VALUE"""),"557058:3124a1f0-e92a-405c-93f2-c1d4e621bc77")</f>
        <v>557058:3124a1f0-e92a-405c-93f2-c1d4e621bc77</v>
      </c>
      <c r="G375" s="26" t="str">
        <f>IFERROR(__xludf.DUMMYFUNCTION("""COMPUTED_VALUE"""),"Trevor Coehoorn")</f>
        <v>Trevor Coehoorn</v>
      </c>
      <c r="H375" s="26" t="b">
        <v>0</v>
      </c>
    </row>
    <row r="376" hidden="1">
      <c r="A376" s="26" t="str">
        <f>VLOOKUP(B376,'2020 SRED (JIRA) - Issues and l'!$B:$C,2,FALSE)</f>
        <v>insite-event-SRED</v>
      </c>
      <c r="B376" s="27" t="str">
        <f>IFERROR(__xludf.DUMMYFUNCTION("""COMPUTED_VALUE"""),"ZAPI-1")</f>
        <v>ZAPI-1</v>
      </c>
      <c r="C376" s="26" t="str">
        <f>IFERROR(__xludf.DUMMYFUNCTION("""COMPUTED_VALUE"""),"Zoom API v1 (MVP)")</f>
        <v>Zoom API v1 (MVP)</v>
      </c>
      <c r="D376" s="28">
        <f>IFERROR(__xludf.DUMMYFUNCTION("""COMPUTED_VALUE"""),0.483333333333333)</f>
        <v>0.4833333333</v>
      </c>
      <c r="E376" s="29">
        <f>IFERROR(__xludf.DUMMYFUNCTION("""COMPUTED_VALUE"""),43986.0)</f>
        <v>43986</v>
      </c>
      <c r="F376" s="26" t="str">
        <f>IFERROR(__xludf.DUMMYFUNCTION("""COMPUTED_VALUE"""),"557058:3124a1f0-e92a-405c-93f2-c1d4e621bc77")</f>
        <v>557058:3124a1f0-e92a-405c-93f2-c1d4e621bc77</v>
      </c>
      <c r="G376" s="26" t="str">
        <f>IFERROR(__xludf.DUMMYFUNCTION("""COMPUTED_VALUE"""),"Trevor Coehoorn")</f>
        <v>Trevor Coehoorn</v>
      </c>
      <c r="H376" s="26" t="b">
        <v>0</v>
      </c>
    </row>
    <row r="377" hidden="1">
      <c r="A377" s="26" t="str">
        <f>VLOOKUP(B377,'2020 SRED (JIRA) - Issues and l'!$B:$C,2,FALSE)</f>
        <v>insite-mapping-SRED</v>
      </c>
      <c r="B377" s="27" t="str">
        <f>IFERROR(__xludf.DUMMYFUNCTION("""COMPUTED_VALUE"""),"ITP-1836")</f>
        <v>ITP-1836</v>
      </c>
      <c r="C377" s="26" t="str">
        <f>IFERROR(__xludf.DUMMYFUNCTION("""COMPUTED_VALUE"""),"Configurable Sails &amp; Anchors activity")</f>
        <v>Configurable Sails &amp; Anchors activity</v>
      </c>
      <c r="D377" s="28">
        <f>IFERROR(__xludf.DUMMYFUNCTION("""COMPUTED_VALUE"""),4.16666666666666)</f>
        <v>4.166666667</v>
      </c>
      <c r="E377" s="29">
        <f>IFERROR(__xludf.DUMMYFUNCTION("""COMPUTED_VALUE"""),43987.0)</f>
        <v>43987</v>
      </c>
      <c r="F377" s="26" t="str">
        <f>IFERROR(__xludf.DUMMYFUNCTION("""COMPUTED_VALUE"""),"557058:3124a1f0-e92a-405c-93f2-c1d4e621bc77")</f>
        <v>557058:3124a1f0-e92a-405c-93f2-c1d4e621bc77</v>
      </c>
      <c r="G377" s="26" t="str">
        <f>IFERROR(__xludf.DUMMYFUNCTION("""COMPUTED_VALUE"""),"Trevor Coehoorn")</f>
        <v>Trevor Coehoorn</v>
      </c>
      <c r="H377" s="26" t="b">
        <v>0</v>
      </c>
    </row>
    <row r="378" hidden="1">
      <c r="A378" s="26" t="str">
        <f>VLOOKUP(B378,'2020 SRED (JIRA) - Issues and l'!$B:$C,2,FALSE)</f>
        <v>insite-event-SRED</v>
      </c>
      <c r="B378" s="27" t="str">
        <f>IFERROR(__xludf.DUMMYFUNCTION("""COMPUTED_VALUE"""),"ZAPI-1")</f>
        <v>ZAPI-1</v>
      </c>
      <c r="C378" s="26" t="str">
        <f>IFERROR(__xludf.DUMMYFUNCTION("""COMPUTED_VALUE"""),"Zoom API v1 (MVP)")</f>
        <v>Zoom API v1 (MVP)</v>
      </c>
      <c r="D378" s="28">
        <f>IFERROR(__xludf.DUMMYFUNCTION("""COMPUTED_VALUE"""),0.3)</f>
        <v>0.3</v>
      </c>
      <c r="E378" s="29">
        <f>IFERROR(__xludf.DUMMYFUNCTION("""COMPUTED_VALUE"""),43987.0)</f>
        <v>43987</v>
      </c>
      <c r="F378" s="26" t="str">
        <f>IFERROR(__xludf.DUMMYFUNCTION("""COMPUTED_VALUE"""),"557058:3124a1f0-e92a-405c-93f2-c1d4e621bc77")</f>
        <v>557058:3124a1f0-e92a-405c-93f2-c1d4e621bc77</v>
      </c>
      <c r="G378" s="26" t="str">
        <f>IFERROR(__xludf.DUMMYFUNCTION("""COMPUTED_VALUE"""),"Trevor Coehoorn")</f>
        <v>Trevor Coehoorn</v>
      </c>
      <c r="H378" s="26" t="b">
        <v>0</v>
      </c>
    </row>
    <row r="379" hidden="1">
      <c r="A379" s="26" t="str">
        <f>VLOOKUP(B379,'2020 SRED (JIRA) - Issues and l'!$B:$C,2,FALSE)</f>
        <v>portal-builder-SRED</v>
      </c>
      <c r="B379" s="27" t="str">
        <f>IFERROR(__xludf.DUMMYFUNCTION("""COMPUTED_VALUE"""),"ITP-1847")</f>
        <v>ITP-1847</v>
      </c>
      <c r="C379" s="26" t="str">
        <f>IFERROR(__xludf.DUMMYFUNCTION("""COMPUTED_VALUE"""),"Add reply count and login number to the touchpoint statistics")</f>
        <v>Add reply count and login number to the touchpoint statistics</v>
      </c>
      <c r="D379" s="28">
        <f>IFERROR(__xludf.DUMMYFUNCTION("""COMPUTED_VALUE"""),0.233333333333333)</f>
        <v>0.2333333333</v>
      </c>
      <c r="E379" s="29">
        <f>IFERROR(__xludf.DUMMYFUNCTION("""COMPUTED_VALUE"""),43987.0)</f>
        <v>43987</v>
      </c>
      <c r="F379" s="26" t="str">
        <f>IFERROR(__xludf.DUMMYFUNCTION("""COMPUTED_VALUE"""),"557058:3124a1f0-e92a-405c-93f2-c1d4e621bc77")</f>
        <v>557058:3124a1f0-e92a-405c-93f2-c1d4e621bc77</v>
      </c>
      <c r="G379" s="26" t="str">
        <f>IFERROR(__xludf.DUMMYFUNCTION("""COMPUTED_VALUE"""),"Trevor Coehoorn")</f>
        <v>Trevor Coehoorn</v>
      </c>
      <c r="H379" s="26" t="b">
        <v>0</v>
      </c>
    </row>
    <row r="380" hidden="1">
      <c r="A380" s="26" t="str">
        <f>VLOOKUP(B380,'2020 SRED (JIRA) - Issues and l'!$B:$C,2,FALSE)</f>
        <v>insite-event-SRED</v>
      </c>
      <c r="B380" s="27" t="str">
        <f>IFERROR(__xludf.DUMMYFUNCTION("""COMPUTED_VALUE"""),"ZAPI-52")</f>
        <v>ZAPI-52</v>
      </c>
      <c r="C380" s="26" t="str">
        <f>IFERROR(__xludf.DUMMYFUNCTION("""COMPUTED_VALUE"""),"As an administrator, I can configure Zoom Webinar options")</f>
        <v>As an administrator, I can configure Zoom Webinar options</v>
      </c>
      <c r="D380" s="28">
        <f>IFERROR(__xludf.DUMMYFUNCTION("""COMPUTED_VALUE"""),0.733333333333333)</f>
        <v>0.7333333333</v>
      </c>
      <c r="E380" s="29">
        <f>IFERROR(__xludf.DUMMYFUNCTION("""COMPUTED_VALUE"""),43987.0)</f>
        <v>43987</v>
      </c>
      <c r="F380" s="26" t="str">
        <f>IFERROR(__xludf.DUMMYFUNCTION("""COMPUTED_VALUE"""),"557058:3124a1f0-e92a-405c-93f2-c1d4e621bc77")</f>
        <v>557058:3124a1f0-e92a-405c-93f2-c1d4e621bc77</v>
      </c>
      <c r="G380" s="26" t="str">
        <f>IFERROR(__xludf.DUMMYFUNCTION("""COMPUTED_VALUE"""),"Trevor Coehoorn")</f>
        <v>Trevor Coehoorn</v>
      </c>
      <c r="H380" s="26" t="b">
        <v>0</v>
      </c>
    </row>
    <row r="381" hidden="1">
      <c r="A381" s="26" t="str">
        <f>VLOOKUP(B381,'2020 SRED (JIRA) - Issues and l'!$B:$C,2,FALSE)</f>
        <v>insite-event-SRED</v>
      </c>
      <c r="B381" s="27" t="str">
        <f>IFERROR(__xludf.DUMMYFUNCTION("""COMPUTED_VALUE"""),"ZAPI-54")</f>
        <v>ZAPI-54</v>
      </c>
      <c r="C381" s="26" t="str">
        <f>IFERROR(__xludf.DUMMYFUNCTION("""COMPUTED_VALUE"""),"Choose Zoom host account when creating meetings")</f>
        <v>Choose Zoom host account when creating meetings</v>
      </c>
      <c r="D381" s="28">
        <f>IFERROR(__xludf.DUMMYFUNCTION("""COMPUTED_VALUE"""),0.8)</f>
        <v>0.8</v>
      </c>
      <c r="E381" s="29">
        <f>IFERROR(__xludf.DUMMYFUNCTION("""COMPUTED_VALUE"""),43987.0)</f>
        <v>43987</v>
      </c>
      <c r="F381" s="26" t="str">
        <f>IFERROR(__xludf.DUMMYFUNCTION("""COMPUTED_VALUE"""),"557058:3124a1f0-e92a-405c-93f2-c1d4e621bc77")</f>
        <v>557058:3124a1f0-e92a-405c-93f2-c1d4e621bc77</v>
      </c>
      <c r="G381" s="26" t="str">
        <f>IFERROR(__xludf.DUMMYFUNCTION("""COMPUTED_VALUE"""),"Trevor Coehoorn")</f>
        <v>Trevor Coehoorn</v>
      </c>
      <c r="H381" s="26" t="b">
        <v>0</v>
      </c>
    </row>
    <row r="382" hidden="1">
      <c r="A382" s="26" t="str">
        <f>VLOOKUP(B382,'2020 SRED (JIRA) - Issues and l'!$B:$C,2,FALSE)</f>
        <v>portal-builder-SRED</v>
      </c>
      <c r="B382" s="27" t="str">
        <f>IFERROR(__xludf.DUMMYFUNCTION("""COMPUTED_VALUE"""),"ITP-1850")</f>
        <v>ITP-1850</v>
      </c>
      <c r="C382" s="26" t="str">
        <f>IFERROR(__xludf.DUMMYFUNCTION("""COMPUTED_VALUE"""),"Allow ""&lt;"" characters in Touchpoint Builder select options")</f>
        <v>Allow "&lt;" characters in Touchpoint Builder select options</v>
      </c>
      <c r="D382" s="28">
        <f>IFERROR(__xludf.DUMMYFUNCTION("""COMPUTED_VALUE"""),0.383333333333333)</f>
        <v>0.3833333333</v>
      </c>
      <c r="E382" s="29">
        <f>IFERROR(__xludf.DUMMYFUNCTION("""COMPUTED_VALUE"""),43990.0)</f>
        <v>43990</v>
      </c>
      <c r="F382" s="26" t="str">
        <f>IFERROR(__xludf.DUMMYFUNCTION("""COMPUTED_VALUE"""),"557058:3124a1f0-e92a-405c-93f2-c1d4e621bc77")</f>
        <v>557058:3124a1f0-e92a-405c-93f2-c1d4e621bc77</v>
      </c>
      <c r="G382" s="26" t="str">
        <f>IFERROR(__xludf.DUMMYFUNCTION("""COMPUTED_VALUE"""),"Trevor Coehoorn")</f>
        <v>Trevor Coehoorn</v>
      </c>
      <c r="H382" s="26" t="b">
        <v>0</v>
      </c>
    </row>
    <row r="383" hidden="1">
      <c r="A383" s="26" t="str">
        <f>VLOOKUP(B383,'2020 SRED (JIRA) - Issues and l'!$B:$C,2,FALSE)</f>
        <v>insite-mapping-SRED</v>
      </c>
      <c r="B383" s="27" t="str">
        <f>IFERROR(__xludf.DUMMYFUNCTION("""COMPUTED_VALUE"""),"ITP-1836")</f>
        <v>ITP-1836</v>
      </c>
      <c r="C383" s="26" t="str">
        <f>IFERROR(__xludf.DUMMYFUNCTION("""COMPUTED_VALUE"""),"Configurable Sails &amp; Anchors activity")</f>
        <v>Configurable Sails &amp; Anchors activity</v>
      </c>
      <c r="D383" s="28">
        <f>IFERROR(__xludf.DUMMYFUNCTION("""COMPUTED_VALUE"""),4.75)</f>
        <v>4.75</v>
      </c>
      <c r="E383" s="29">
        <f>IFERROR(__xludf.DUMMYFUNCTION("""COMPUTED_VALUE"""),43990.0)</f>
        <v>43990</v>
      </c>
      <c r="F383" s="26" t="str">
        <f>IFERROR(__xludf.DUMMYFUNCTION("""COMPUTED_VALUE"""),"557058:3124a1f0-e92a-405c-93f2-c1d4e621bc77")</f>
        <v>557058:3124a1f0-e92a-405c-93f2-c1d4e621bc77</v>
      </c>
      <c r="G383" s="26" t="str">
        <f>IFERROR(__xludf.DUMMYFUNCTION("""COMPUTED_VALUE"""),"Trevor Coehoorn")</f>
        <v>Trevor Coehoorn</v>
      </c>
      <c r="H383" s="26" t="b">
        <v>0</v>
      </c>
    </row>
    <row r="384" hidden="1">
      <c r="A384" s="26" t="str">
        <f>VLOOKUP(B384,'2020 SRED (JIRA) - Issues and l'!$B:$C,2,FALSE)</f>
        <v>portal-builder</v>
      </c>
      <c r="B384" s="27" t="str">
        <f>IFERROR(__xludf.DUMMYFUNCTION("""COMPUTED_VALUE"""),"IV2-31")</f>
        <v>IV2-31</v>
      </c>
      <c r="C384" s="26" t="str">
        <f>IFERROR(__xludf.DUMMYFUNCTION("""COMPUTED_VALUE"""),"V2 Status Meetings")</f>
        <v>V2 Status Meetings</v>
      </c>
      <c r="D384" s="28">
        <f>IFERROR(__xludf.DUMMYFUNCTION("""COMPUTED_VALUE"""),0.183333333333333)</f>
        <v>0.1833333333</v>
      </c>
      <c r="E384" s="29">
        <f>IFERROR(__xludf.DUMMYFUNCTION("""COMPUTED_VALUE"""),43990.0)</f>
        <v>43990</v>
      </c>
      <c r="F384" s="26" t="str">
        <f>IFERROR(__xludf.DUMMYFUNCTION("""COMPUTED_VALUE"""),"557058:3124a1f0-e92a-405c-93f2-c1d4e621bc77")</f>
        <v>557058:3124a1f0-e92a-405c-93f2-c1d4e621bc77</v>
      </c>
      <c r="G384" s="26" t="str">
        <f>IFERROR(__xludf.DUMMYFUNCTION("""COMPUTED_VALUE"""),"Trevor Coehoorn")</f>
        <v>Trevor Coehoorn</v>
      </c>
      <c r="H384" s="26" t="b">
        <v>0</v>
      </c>
    </row>
    <row r="385" hidden="1">
      <c r="A385" s="26" t="str">
        <f>VLOOKUP(B385,'2020 SRED (JIRA) - Issues and l'!$B:$C,2,FALSE)</f>
        <v>insite-event-SRED</v>
      </c>
      <c r="B385" s="27" t="str">
        <f>IFERROR(__xludf.DUMMYFUNCTION("""COMPUTED_VALUE"""),"ZAPI-56")</f>
        <v>ZAPI-56</v>
      </c>
      <c r="C385" s="26" t="str">
        <f>IFERROR(__xludf.DUMMYFUNCTION("""COMPUTED_VALUE"""),"Display meeting times in the current user's timezone")</f>
        <v>Display meeting times in the current user's timezone</v>
      </c>
      <c r="D385" s="28">
        <f>IFERROR(__xludf.DUMMYFUNCTION("""COMPUTED_VALUE"""),0.233333333333333)</f>
        <v>0.2333333333</v>
      </c>
      <c r="E385" s="29">
        <f>IFERROR(__xludf.DUMMYFUNCTION("""COMPUTED_VALUE"""),43990.0)</f>
        <v>43990</v>
      </c>
      <c r="F385" s="26" t="str">
        <f>IFERROR(__xludf.DUMMYFUNCTION("""COMPUTED_VALUE"""),"557058:3124a1f0-e92a-405c-93f2-c1d4e621bc77")</f>
        <v>557058:3124a1f0-e92a-405c-93f2-c1d4e621bc77</v>
      </c>
      <c r="G385" s="26" t="str">
        <f>IFERROR(__xludf.DUMMYFUNCTION("""COMPUTED_VALUE"""),"Trevor Coehoorn")</f>
        <v>Trevor Coehoorn</v>
      </c>
      <c r="H385" s="26" t="b">
        <v>0</v>
      </c>
    </row>
    <row r="386" hidden="1">
      <c r="A386" s="26" t="str">
        <f>VLOOKUP(B386,'2020 SRED (JIRA) - Issues and l'!$B:$C,2,FALSE)</f>
        <v>insite-event-SRED</v>
      </c>
      <c r="B386" s="27" t="str">
        <f>IFERROR(__xludf.DUMMYFUNCTION("""COMPUTED_VALUE"""),"ZAPI-1")</f>
        <v>ZAPI-1</v>
      </c>
      <c r="C386" s="26" t="str">
        <f>IFERROR(__xludf.DUMMYFUNCTION("""COMPUTED_VALUE"""),"Zoom API v1 (MVP)")</f>
        <v>Zoom API v1 (MVP)</v>
      </c>
      <c r="D386" s="28">
        <f>IFERROR(__xludf.DUMMYFUNCTION("""COMPUTED_VALUE"""),0.55)</f>
        <v>0.55</v>
      </c>
      <c r="E386" s="29">
        <f>IFERROR(__xludf.DUMMYFUNCTION("""COMPUTED_VALUE"""),43990.0)</f>
        <v>43990</v>
      </c>
      <c r="F386" s="26" t="str">
        <f>IFERROR(__xludf.DUMMYFUNCTION("""COMPUTED_VALUE"""),"557058:3124a1f0-e92a-405c-93f2-c1d4e621bc77")</f>
        <v>557058:3124a1f0-e92a-405c-93f2-c1d4e621bc77</v>
      </c>
      <c r="G386" s="26" t="str">
        <f>IFERROR(__xludf.DUMMYFUNCTION("""COMPUTED_VALUE"""),"Trevor Coehoorn")</f>
        <v>Trevor Coehoorn</v>
      </c>
      <c r="H386" s="26" t="b">
        <v>0</v>
      </c>
    </row>
    <row r="387" hidden="1">
      <c r="A387" s="26" t="str">
        <f>VLOOKUP(B387,'2020 SRED (JIRA) - Issues and l'!$B:$C,2,FALSE)</f>
        <v>insite-mapping-SRED</v>
      </c>
      <c r="B387" s="27" t="str">
        <f>IFERROR(__xludf.DUMMYFUNCTION("""COMPUTED_VALUE"""),"ITP-1836")</f>
        <v>ITP-1836</v>
      </c>
      <c r="C387" s="26" t="str">
        <f>IFERROR(__xludf.DUMMYFUNCTION("""COMPUTED_VALUE"""),"Configurable Sails &amp; Anchors activity")</f>
        <v>Configurable Sails &amp; Anchors activity</v>
      </c>
      <c r="D387" s="28">
        <f>IFERROR(__xludf.DUMMYFUNCTION("""COMPUTED_VALUE"""),4.26666666666666)</f>
        <v>4.266666667</v>
      </c>
      <c r="E387" s="29">
        <f>IFERROR(__xludf.DUMMYFUNCTION("""COMPUTED_VALUE"""),43991.0)</f>
        <v>43991</v>
      </c>
      <c r="F387" s="26" t="str">
        <f>IFERROR(__xludf.DUMMYFUNCTION("""COMPUTED_VALUE"""),"557058:3124a1f0-e92a-405c-93f2-c1d4e621bc77")</f>
        <v>557058:3124a1f0-e92a-405c-93f2-c1d4e621bc77</v>
      </c>
      <c r="G387" s="26" t="str">
        <f>IFERROR(__xludf.DUMMYFUNCTION("""COMPUTED_VALUE"""),"Trevor Coehoorn")</f>
        <v>Trevor Coehoorn</v>
      </c>
      <c r="H387" s="26" t="b">
        <v>0</v>
      </c>
    </row>
    <row r="388" hidden="1">
      <c r="A388" s="26" t="str">
        <f>VLOOKUP(B388,'2020 SRED (JIRA) - Issues and l'!$B:$C,2,FALSE)</f>
        <v>insite-event-SRED</v>
      </c>
      <c r="B388" s="27" t="str">
        <f>IFERROR(__xludf.DUMMYFUNCTION("""COMPUTED_VALUE"""),"ZAPI-1")</f>
        <v>ZAPI-1</v>
      </c>
      <c r="C388" s="26" t="str">
        <f>IFERROR(__xludf.DUMMYFUNCTION("""COMPUTED_VALUE"""),"Zoom API v1 (MVP)")</f>
        <v>Zoom API v1 (MVP)</v>
      </c>
      <c r="D388" s="28">
        <f>IFERROR(__xludf.DUMMYFUNCTION("""COMPUTED_VALUE"""),0.25)</f>
        <v>0.25</v>
      </c>
      <c r="E388" s="29">
        <f>IFERROR(__xludf.DUMMYFUNCTION("""COMPUTED_VALUE"""),43991.0)</f>
        <v>43991</v>
      </c>
      <c r="F388" s="26" t="str">
        <f>IFERROR(__xludf.DUMMYFUNCTION("""COMPUTED_VALUE"""),"557058:3124a1f0-e92a-405c-93f2-c1d4e621bc77")</f>
        <v>557058:3124a1f0-e92a-405c-93f2-c1d4e621bc77</v>
      </c>
      <c r="G388" s="26" t="str">
        <f>IFERROR(__xludf.DUMMYFUNCTION("""COMPUTED_VALUE"""),"Trevor Coehoorn")</f>
        <v>Trevor Coehoorn</v>
      </c>
      <c r="H388" s="26" t="b">
        <v>0</v>
      </c>
    </row>
    <row r="389" hidden="1">
      <c r="A389" s="26" t="str">
        <f>VLOOKUP(B389,'2020 SRED (JIRA) - Issues and l'!$B:$C,2,FALSE)</f>
        <v>insite-event-SRED</v>
      </c>
      <c r="B389" s="27" t="str">
        <f>IFERROR(__xludf.DUMMYFUNCTION("""COMPUTED_VALUE"""),"ZAPI-4")</f>
        <v>ZAPI-4</v>
      </c>
      <c r="C389" s="26" t="str">
        <f>IFERROR(__xludf.DUMMYFUNCTION("""COMPUTED_VALUE"""),"As a meeting administrator, I can pre-program polling questions and share them with clients ")</f>
        <v>As a meeting administrator, I can pre-program polling questions and share them with clients </v>
      </c>
      <c r="D389" s="28">
        <f>IFERROR(__xludf.DUMMYFUNCTION("""COMPUTED_VALUE"""),0.183333333333333)</f>
        <v>0.1833333333</v>
      </c>
      <c r="E389" s="29">
        <f>IFERROR(__xludf.DUMMYFUNCTION("""COMPUTED_VALUE"""),43992.0)</f>
        <v>43992</v>
      </c>
      <c r="F389" s="26" t="str">
        <f>IFERROR(__xludf.DUMMYFUNCTION("""COMPUTED_VALUE"""),"557058:3124a1f0-e92a-405c-93f2-c1d4e621bc77")</f>
        <v>557058:3124a1f0-e92a-405c-93f2-c1d4e621bc77</v>
      </c>
      <c r="G389" s="26" t="str">
        <f>IFERROR(__xludf.DUMMYFUNCTION("""COMPUTED_VALUE"""),"Trevor Coehoorn")</f>
        <v>Trevor Coehoorn</v>
      </c>
      <c r="H389" s="26" t="b">
        <v>0</v>
      </c>
    </row>
    <row r="390" hidden="1">
      <c r="A390" s="26" t="str">
        <f>VLOOKUP(B390,'2020 SRED (JIRA) - Issues and l'!$B:$C,2,FALSE)</f>
        <v>insite-mapping-SRED</v>
      </c>
      <c r="B390" s="27" t="str">
        <f>IFERROR(__xludf.DUMMYFUNCTION("""COMPUTED_VALUE"""),"ITP-1836")</f>
        <v>ITP-1836</v>
      </c>
      <c r="C390" s="26" t="str">
        <f>IFERROR(__xludf.DUMMYFUNCTION("""COMPUTED_VALUE"""),"Configurable Sails &amp; Anchors activity")</f>
        <v>Configurable Sails &amp; Anchors activity</v>
      </c>
      <c r="D390" s="28">
        <f>IFERROR(__xludf.DUMMYFUNCTION("""COMPUTED_VALUE"""),2.03333333333333)</f>
        <v>2.033333333</v>
      </c>
      <c r="E390" s="29">
        <f>IFERROR(__xludf.DUMMYFUNCTION("""COMPUTED_VALUE"""),43992.0)</f>
        <v>43992</v>
      </c>
      <c r="F390" s="26" t="str">
        <f>IFERROR(__xludf.DUMMYFUNCTION("""COMPUTED_VALUE"""),"557058:3124a1f0-e92a-405c-93f2-c1d4e621bc77")</f>
        <v>557058:3124a1f0-e92a-405c-93f2-c1d4e621bc77</v>
      </c>
      <c r="G390" s="26" t="str">
        <f>IFERROR(__xludf.DUMMYFUNCTION("""COMPUTED_VALUE"""),"Trevor Coehoorn")</f>
        <v>Trevor Coehoorn</v>
      </c>
      <c r="H390" s="26" t="b">
        <v>0</v>
      </c>
    </row>
    <row r="391" hidden="1">
      <c r="A391" s="26" t="str">
        <f>VLOOKUP(B391,'2020 SRED (JIRA) - Issues and l'!$B:$C,2,FALSE)</f>
        <v>insite-event-SRED</v>
      </c>
      <c r="B391" s="27" t="str">
        <f>IFERROR(__xludf.DUMMYFUNCTION("""COMPUTED_VALUE"""),"ZAPI-1")</f>
        <v>ZAPI-1</v>
      </c>
      <c r="C391" s="26" t="str">
        <f>IFERROR(__xludf.DUMMYFUNCTION("""COMPUTED_VALUE"""),"Zoom API v1 (MVP)")</f>
        <v>Zoom API v1 (MVP)</v>
      </c>
      <c r="D391" s="28">
        <f>IFERROR(__xludf.DUMMYFUNCTION("""COMPUTED_VALUE"""),0.65)</f>
        <v>0.65</v>
      </c>
      <c r="E391" s="29">
        <f>IFERROR(__xludf.DUMMYFUNCTION("""COMPUTED_VALUE"""),43992.0)</f>
        <v>43992</v>
      </c>
      <c r="F391" s="26" t="str">
        <f>IFERROR(__xludf.DUMMYFUNCTION("""COMPUTED_VALUE"""),"557058:3124a1f0-e92a-405c-93f2-c1d4e621bc77")</f>
        <v>557058:3124a1f0-e92a-405c-93f2-c1d4e621bc77</v>
      </c>
      <c r="G391" s="26" t="str">
        <f>IFERROR(__xludf.DUMMYFUNCTION("""COMPUTED_VALUE"""),"Trevor Coehoorn")</f>
        <v>Trevor Coehoorn</v>
      </c>
      <c r="H391" s="26" t="b">
        <v>0</v>
      </c>
    </row>
    <row r="392" hidden="1">
      <c r="A392" s="26" t="str">
        <f>VLOOKUP(B392,'2020 SRED (JIRA) - Issues and l'!$B:$C,2,FALSE)</f>
        <v>insite-event-SRED</v>
      </c>
      <c r="B392" s="27" t="str">
        <f>IFERROR(__xludf.DUMMYFUNCTION("""COMPUTED_VALUE"""),"ZAPI-40")</f>
        <v>ZAPI-40</v>
      </c>
      <c r="C392" s="26" t="str">
        <f>IFERROR(__xludf.DUMMYFUNCTION("""COMPUTED_VALUE"""),"Allow administrators to configure Zoom meeting settings")</f>
        <v>Allow administrators to configure Zoom meeting settings</v>
      </c>
      <c r="D392" s="28">
        <f>IFERROR(__xludf.DUMMYFUNCTION("""COMPUTED_VALUE"""),0.416666666666666)</f>
        <v>0.4166666667</v>
      </c>
      <c r="E392" s="29">
        <f>IFERROR(__xludf.DUMMYFUNCTION("""COMPUTED_VALUE"""),43993.0)</f>
        <v>43993</v>
      </c>
      <c r="F392" s="26" t="str">
        <f>IFERROR(__xludf.DUMMYFUNCTION("""COMPUTED_VALUE"""),"557058:3124a1f0-e92a-405c-93f2-c1d4e621bc77")</f>
        <v>557058:3124a1f0-e92a-405c-93f2-c1d4e621bc77</v>
      </c>
      <c r="G392" s="26" t="str">
        <f>IFERROR(__xludf.DUMMYFUNCTION("""COMPUTED_VALUE"""),"Trevor Coehoorn")</f>
        <v>Trevor Coehoorn</v>
      </c>
      <c r="H392" s="26" t="b">
        <v>0</v>
      </c>
    </row>
    <row r="393" hidden="1">
      <c r="A393" s="26" t="str">
        <f>VLOOKUP(B393,'2020 SRED (JIRA) - Issues and l'!$B:$C,2,FALSE)</f>
        <v>insite-event-SRED</v>
      </c>
      <c r="B393" s="27" t="str">
        <f>IFERROR(__xludf.DUMMYFUNCTION("""COMPUTED_VALUE"""),"ZAPI-27")</f>
        <v>ZAPI-27</v>
      </c>
      <c r="C393" s="26" t="str">
        <f>IFERROR(__xludf.DUMMYFUNCTION("""COMPUTED_VALUE"""),"As a meeting administrator, I can add a web meeting panel/widget to my touchpoint content page and start/join a meeting from there")</f>
        <v>As a meeting administrator, I can add a web meeting panel/widget to my touchpoint content page and start/join a meeting from there</v>
      </c>
      <c r="D393" s="28">
        <f>IFERROR(__xludf.DUMMYFUNCTION("""COMPUTED_VALUE"""),0.583333333333333)</f>
        <v>0.5833333333</v>
      </c>
      <c r="E393" s="29">
        <f>IFERROR(__xludf.DUMMYFUNCTION("""COMPUTED_VALUE"""),43993.0)</f>
        <v>43993</v>
      </c>
      <c r="F393" s="26" t="str">
        <f>IFERROR(__xludf.DUMMYFUNCTION("""COMPUTED_VALUE"""),"557058:3124a1f0-e92a-405c-93f2-c1d4e621bc77")</f>
        <v>557058:3124a1f0-e92a-405c-93f2-c1d4e621bc77</v>
      </c>
      <c r="G393" s="26" t="str">
        <f>IFERROR(__xludf.DUMMYFUNCTION("""COMPUTED_VALUE"""),"Trevor Coehoorn")</f>
        <v>Trevor Coehoorn</v>
      </c>
      <c r="H393" s="26" t="b">
        <v>0</v>
      </c>
    </row>
    <row r="394" hidden="1">
      <c r="A394" s="26" t="str">
        <f>VLOOKUP(B394,'2020 SRED (JIRA) - Issues and l'!$B:$C,2,FALSE)</f>
        <v>insite-mapping-SRED</v>
      </c>
      <c r="B394" s="27" t="str">
        <f>IFERROR(__xludf.DUMMYFUNCTION("""COMPUTED_VALUE"""),"ITP-1836")</f>
        <v>ITP-1836</v>
      </c>
      <c r="C394" s="26" t="str">
        <f>IFERROR(__xludf.DUMMYFUNCTION("""COMPUTED_VALUE"""),"Configurable Sails &amp; Anchors activity")</f>
        <v>Configurable Sails &amp; Anchors activity</v>
      </c>
      <c r="D394" s="28">
        <f>IFERROR(__xludf.DUMMYFUNCTION("""COMPUTED_VALUE"""),0.916666666666666)</f>
        <v>0.9166666667</v>
      </c>
      <c r="E394" s="29">
        <f>IFERROR(__xludf.DUMMYFUNCTION("""COMPUTED_VALUE"""),43993.0)</f>
        <v>43993</v>
      </c>
      <c r="F394" s="26" t="str">
        <f>IFERROR(__xludf.DUMMYFUNCTION("""COMPUTED_VALUE"""),"557058:3124a1f0-e92a-405c-93f2-c1d4e621bc77")</f>
        <v>557058:3124a1f0-e92a-405c-93f2-c1d4e621bc77</v>
      </c>
      <c r="G394" s="26" t="str">
        <f>IFERROR(__xludf.DUMMYFUNCTION("""COMPUTED_VALUE"""),"Trevor Coehoorn")</f>
        <v>Trevor Coehoorn</v>
      </c>
      <c r="H394" s="26" t="b">
        <v>0</v>
      </c>
    </row>
    <row r="395" hidden="1">
      <c r="A395" s="26" t="str">
        <f>VLOOKUP(B395,'2020 SRED (JIRA) - Issues and l'!$B:$C,2,FALSE)</f>
        <v>insite-event-SRED</v>
      </c>
      <c r="B395" s="27" t="str">
        <f>IFERROR(__xludf.DUMMYFUNCTION("""COMPUTED_VALUE"""),"ZAPI-1")</f>
        <v>ZAPI-1</v>
      </c>
      <c r="C395" s="26" t="str">
        <f>IFERROR(__xludf.DUMMYFUNCTION("""COMPUTED_VALUE"""),"Zoom API v1 (MVP)")</f>
        <v>Zoom API v1 (MVP)</v>
      </c>
      <c r="D395" s="28">
        <f>IFERROR(__xludf.DUMMYFUNCTION("""COMPUTED_VALUE"""),0.666666666666666)</f>
        <v>0.6666666667</v>
      </c>
      <c r="E395" s="29">
        <f>IFERROR(__xludf.DUMMYFUNCTION("""COMPUTED_VALUE"""),43993.0)</f>
        <v>43993</v>
      </c>
      <c r="F395" s="26" t="str">
        <f>IFERROR(__xludf.DUMMYFUNCTION("""COMPUTED_VALUE"""),"557058:3124a1f0-e92a-405c-93f2-c1d4e621bc77")</f>
        <v>557058:3124a1f0-e92a-405c-93f2-c1d4e621bc77</v>
      </c>
      <c r="G395" s="26" t="str">
        <f>IFERROR(__xludf.DUMMYFUNCTION("""COMPUTED_VALUE"""),"Trevor Coehoorn")</f>
        <v>Trevor Coehoorn</v>
      </c>
      <c r="H395" s="26" t="b">
        <v>0</v>
      </c>
    </row>
    <row r="396" hidden="1">
      <c r="A396" s="26" t="str">
        <f>VLOOKUP(B396,'2020 SRED (JIRA) - Issues and l'!$B:$C,2,FALSE)</f>
        <v>insite-event-SRED</v>
      </c>
      <c r="B396" s="27" t="str">
        <f>IFERROR(__xludf.DUMMYFUNCTION("""COMPUTED_VALUE"""),"ZAPI-63")</f>
        <v>ZAPI-63</v>
      </c>
      <c r="C396" s="26" t="str">
        <f>IFERROR(__xludf.DUMMYFUNCTION("""COMPUTED_VALUE"""),"Zoom API v1.1 (Cleanup) 🧹")</f>
        <v>Zoom API v1.1 (Cleanup) 🧹</v>
      </c>
      <c r="D396" s="28">
        <f>IFERROR(__xludf.DUMMYFUNCTION("""COMPUTED_VALUE"""),0.316666666666666)</f>
        <v>0.3166666667</v>
      </c>
      <c r="E396" s="29">
        <f>IFERROR(__xludf.DUMMYFUNCTION("""COMPUTED_VALUE"""),43994.0)</f>
        <v>43994</v>
      </c>
      <c r="F396" s="26" t="str">
        <f>IFERROR(__xludf.DUMMYFUNCTION("""COMPUTED_VALUE"""),"557058:3124a1f0-e92a-405c-93f2-c1d4e621bc77")</f>
        <v>557058:3124a1f0-e92a-405c-93f2-c1d4e621bc77</v>
      </c>
      <c r="G396" s="26" t="str">
        <f>IFERROR(__xludf.DUMMYFUNCTION("""COMPUTED_VALUE"""),"Trevor Coehoorn")</f>
        <v>Trevor Coehoorn</v>
      </c>
      <c r="H396" s="26" t="b">
        <v>0</v>
      </c>
    </row>
    <row r="397" hidden="1">
      <c r="A397" s="26" t="str">
        <f>VLOOKUP(B397,'2020 SRED (JIRA) - Issues and l'!$B:$C,2,FALSE)</f>
        <v>insite-event-SRED</v>
      </c>
      <c r="B397" s="27" t="str">
        <f>IFERROR(__xludf.DUMMYFUNCTION("""COMPUTED_VALUE"""),"ZAPI-4")</f>
        <v>ZAPI-4</v>
      </c>
      <c r="C397" s="26" t="str">
        <f>IFERROR(__xludf.DUMMYFUNCTION("""COMPUTED_VALUE"""),"As a meeting administrator, I can pre-program polling questions and share them with clients ")</f>
        <v>As a meeting administrator, I can pre-program polling questions and share them with clients </v>
      </c>
      <c r="D397" s="28">
        <f>IFERROR(__xludf.DUMMYFUNCTION("""COMPUTED_VALUE"""),1.13333333333333)</f>
        <v>1.133333333</v>
      </c>
      <c r="E397" s="29">
        <f>IFERROR(__xludf.DUMMYFUNCTION("""COMPUTED_VALUE"""),43994.0)</f>
        <v>43994</v>
      </c>
      <c r="F397" s="26" t="str">
        <f>IFERROR(__xludf.DUMMYFUNCTION("""COMPUTED_VALUE"""),"557058:3124a1f0-e92a-405c-93f2-c1d4e621bc77")</f>
        <v>557058:3124a1f0-e92a-405c-93f2-c1d4e621bc77</v>
      </c>
      <c r="G397" s="26" t="str">
        <f>IFERROR(__xludf.DUMMYFUNCTION("""COMPUTED_VALUE"""),"Trevor Coehoorn")</f>
        <v>Trevor Coehoorn</v>
      </c>
      <c r="H397" s="26" t="b">
        <v>0</v>
      </c>
    </row>
    <row r="398" hidden="1">
      <c r="A398" s="26" t="str">
        <f>VLOOKUP(B398,'2020 SRED (JIRA) - Issues and l'!$B:$C,2,FALSE)</f>
        <v>insite-event-SRED</v>
      </c>
      <c r="B398" s="27" t="str">
        <f>IFERROR(__xludf.DUMMYFUNCTION("""COMPUTED_VALUE"""),"ZAPI-1")</f>
        <v>ZAPI-1</v>
      </c>
      <c r="C398" s="26" t="str">
        <f>IFERROR(__xludf.DUMMYFUNCTION("""COMPUTED_VALUE"""),"Zoom API v1 (MVP)")</f>
        <v>Zoom API v1 (MVP)</v>
      </c>
      <c r="D398" s="28">
        <f>IFERROR(__xludf.DUMMYFUNCTION("""COMPUTED_VALUE"""),0.6)</f>
        <v>0.6</v>
      </c>
      <c r="E398" s="29">
        <f>IFERROR(__xludf.DUMMYFUNCTION("""COMPUTED_VALUE"""),43994.0)</f>
        <v>43994</v>
      </c>
      <c r="F398" s="26" t="str">
        <f>IFERROR(__xludf.DUMMYFUNCTION("""COMPUTED_VALUE"""),"557058:3124a1f0-e92a-405c-93f2-c1d4e621bc77")</f>
        <v>557058:3124a1f0-e92a-405c-93f2-c1d4e621bc77</v>
      </c>
      <c r="G398" s="26" t="str">
        <f>IFERROR(__xludf.DUMMYFUNCTION("""COMPUTED_VALUE"""),"Trevor Coehoorn")</f>
        <v>Trevor Coehoorn</v>
      </c>
      <c r="H398" s="26" t="b">
        <v>0</v>
      </c>
    </row>
    <row r="399" hidden="1">
      <c r="A399" s="26" t="str">
        <f>VLOOKUP(B399,'2020 SRED (JIRA) - Issues and l'!$B:$C,2,FALSE)</f>
        <v>insite-event-SRED</v>
      </c>
      <c r="B399" s="27" t="str">
        <f>IFERROR(__xludf.DUMMYFUNCTION("""COMPUTED_VALUE"""),"ZAPI-12")</f>
        <v>ZAPI-12</v>
      </c>
      <c r="C399" s="26" t="str">
        <f>IFERROR(__xludf.DUMMYFUNCTION("""COMPUTED_VALUE"""),"As an attendee, I can download a calendar invite with joining information")</f>
        <v>As an attendee, I can download a calendar invite with joining information</v>
      </c>
      <c r="D399" s="28">
        <f>IFERROR(__xludf.DUMMYFUNCTION("""COMPUTED_VALUE"""),0.733333333333333)</f>
        <v>0.7333333333</v>
      </c>
      <c r="E399" s="29">
        <f>IFERROR(__xludf.DUMMYFUNCTION("""COMPUTED_VALUE"""),43997.0)</f>
        <v>43997</v>
      </c>
      <c r="F399" s="26" t="str">
        <f>IFERROR(__xludf.DUMMYFUNCTION("""COMPUTED_VALUE"""),"557058:3124a1f0-e92a-405c-93f2-c1d4e621bc77")</f>
        <v>557058:3124a1f0-e92a-405c-93f2-c1d4e621bc77</v>
      </c>
      <c r="G399" s="26" t="str">
        <f>IFERROR(__xludf.DUMMYFUNCTION("""COMPUTED_VALUE"""),"Trevor Coehoorn")</f>
        <v>Trevor Coehoorn</v>
      </c>
      <c r="H399" s="26" t="b">
        <v>0</v>
      </c>
    </row>
    <row r="400" hidden="1">
      <c r="A400" s="26" t="str">
        <f>VLOOKUP(B400,'2020 SRED (JIRA) - Issues and l'!$B:$C,2,FALSE)</f>
        <v>insite-event-SRED</v>
      </c>
      <c r="B400" s="27" t="str">
        <f>IFERROR(__xludf.DUMMYFUNCTION("""COMPUTED_VALUE"""),"ZAPI-68")</f>
        <v>ZAPI-68</v>
      </c>
      <c r="C400" s="26" t="str">
        <f>IFERROR(__xludf.DUMMYFUNCTION("""COMPUTED_VALUE"""),"Move date, time, duration, time zone into a ""Time"" fieldset")</f>
        <v>Move date, time, duration, time zone into a "Time" fieldset</v>
      </c>
      <c r="D400" s="28">
        <f>IFERROR(__xludf.DUMMYFUNCTION("""COMPUTED_VALUE"""),0.133333333333333)</f>
        <v>0.1333333333</v>
      </c>
      <c r="E400" s="29">
        <f>IFERROR(__xludf.DUMMYFUNCTION("""COMPUTED_VALUE"""),43997.0)</f>
        <v>43997</v>
      </c>
      <c r="F400" s="26" t="str">
        <f>IFERROR(__xludf.DUMMYFUNCTION("""COMPUTED_VALUE"""),"557058:3124a1f0-e92a-405c-93f2-c1d4e621bc77")</f>
        <v>557058:3124a1f0-e92a-405c-93f2-c1d4e621bc77</v>
      </c>
      <c r="G400" s="26" t="str">
        <f>IFERROR(__xludf.DUMMYFUNCTION("""COMPUTED_VALUE"""),"Trevor Coehoorn")</f>
        <v>Trevor Coehoorn</v>
      </c>
      <c r="H400" s="26" t="b">
        <v>0</v>
      </c>
    </row>
    <row r="401" hidden="1">
      <c r="A401" s="26" t="str">
        <f>VLOOKUP(B401,'2020 SRED (JIRA) - Issues and l'!$B:$C,2,FALSE)</f>
        <v>insite-event-SRED</v>
      </c>
      <c r="B401" s="27" t="str">
        <f>IFERROR(__xludf.DUMMYFUNCTION("""COMPUTED_VALUE"""),"ZAPI-57")</f>
        <v>ZAPI-57</v>
      </c>
      <c r="C401" s="26" t="str">
        <f>IFERROR(__xludf.DUMMYFUNCTION("""COMPUTED_VALUE"""),"Right-align meeting action button group and ensure it looks good for mobile, tablet, and desktop screen sizes")</f>
        <v>Right-align meeting action button group and ensure it looks good for mobile, tablet, and desktop screen sizes</v>
      </c>
      <c r="D401" s="28">
        <f>IFERROR(__xludf.DUMMYFUNCTION("""COMPUTED_VALUE"""),0.683333333333333)</f>
        <v>0.6833333333</v>
      </c>
      <c r="E401" s="29">
        <f>IFERROR(__xludf.DUMMYFUNCTION("""COMPUTED_VALUE"""),43997.0)</f>
        <v>43997</v>
      </c>
      <c r="F401" s="26" t="str">
        <f>IFERROR(__xludf.DUMMYFUNCTION("""COMPUTED_VALUE"""),"557058:3124a1f0-e92a-405c-93f2-c1d4e621bc77")</f>
        <v>557058:3124a1f0-e92a-405c-93f2-c1d4e621bc77</v>
      </c>
      <c r="G401" s="26" t="str">
        <f>IFERROR(__xludf.DUMMYFUNCTION("""COMPUTED_VALUE"""),"Trevor Coehoorn")</f>
        <v>Trevor Coehoorn</v>
      </c>
      <c r="H401" s="26" t="b">
        <v>0</v>
      </c>
    </row>
    <row r="402" hidden="1">
      <c r="A402" s="26" t="str">
        <f>VLOOKUP(B402,'2020 SRED (JIRA) - Issues and l'!$B:$C,2,FALSE)</f>
        <v>insite-event-SRED</v>
      </c>
      <c r="B402" s="27" t="str">
        <f>IFERROR(__xludf.DUMMYFUNCTION("""COMPUTED_VALUE"""),"ZAPI-56")</f>
        <v>ZAPI-56</v>
      </c>
      <c r="C402" s="26" t="str">
        <f>IFERROR(__xludf.DUMMYFUNCTION("""COMPUTED_VALUE"""),"Display meeting times in the current user's timezone")</f>
        <v>Display meeting times in the current user's timezone</v>
      </c>
      <c r="D402" s="28">
        <f>IFERROR(__xludf.DUMMYFUNCTION("""COMPUTED_VALUE"""),0.366666666666666)</f>
        <v>0.3666666667</v>
      </c>
      <c r="E402" s="29">
        <f>IFERROR(__xludf.DUMMYFUNCTION("""COMPUTED_VALUE"""),43997.0)</f>
        <v>43997</v>
      </c>
      <c r="F402" s="26" t="str">
        <f>IFERROR(__xludf.DUMMYFUNCTION("""COMPUTED_VALUE"""),"557058:3124a1f0-e92a-405c-93f2-c1d4e621bc77")</f>
        <v>557058:3124a1f0-e92a-405c-93f2-c1d4e621bc77</v>
      </c>
      <c r="G402" s="26" t="str">
        <f>IFERROR(__xludf.DUMMYFUNCTION("""COMPUTED_VALUE"""),"Trevor Coehoorn")</f>
        <v>Trevor Coehoorn</v>
      </c>
      <c r="H402" s="26" t="b">
        <v>0</v>
      </c>
    </row>
    <row r="403" hidden="1">
      <c r="A403" s="26" t="str">
        <f>VLOOKUP(B403,'2020 SRED (JIRA) - Issues and l'!$B:$C,2,FALSE)</f>
        <v>insite-event-SRED</v>
      </c>
      <c r="B403" s="27" t="str">
        <f>IFERROR(__xludf.DUMMYFUNCTION("""COMPUTED_VALUE"""),"ZAPI-46")</f>
        <v>ZAPI-46</v>
      </c>
      <c r="C403" s="26" t="str">
        <f>IFERROR(__xludf.DUMMYFUNCTION("""COMPUTED_VALUE"""),"Update meeting registrants when a user group is modified")</f>
        <v>Update meeting registrants when a user group is modified</v>
      </c>
      <c r="D403" s="28">
        <f>IFERROR(__xludf.DUMMYFUNCTION("""COMPUTED_VALUE"""),0.2)</f>
        <v>0.2</v>
      </c>
      <c r="E403" s="29">
        <f>IFERROR(__xludf.DUMMYFUNCTION("""COMPUTED_VALUE"""),43997.0)</f>
        <v>43997</v>
      </c>
      <c r="F403" s="26" t="str">
        <f>IFERROR(__xludf.DUMMYFUNCTION("""COMPUTED_VALUE"""),"557058:3124a1f0-e92a-405c-93f2-c1d4e621bc77")</f>
        <v>557058:3124a1f0-e92a-405c-93f2-c1d4e621bc77</v>
      </c>
      <c r="G403" s="26" t="str">
        <f>IFERROR(__xludf.DUMMYFUNCTION("""COMPUTED_VALUE"""),"Trevor Coehoorn")</f>
        <v>Trevor Coehoorn</v>
      </c>
      <c r="H403" s="26" t="b">
        <v>0</v>
      </c>
    </row>
    <row r="404" hidden="1">
      <c r="A404" s="26" t="str">
        <f>VLOOKUP(B404,'2020 SRED (JIRA) - Issues and l'!$B:$C,2,FALSE)</f>
        <v>insite-event-SRED</v>
      </c>
      <c r="B404" s="27" t="str">
        <f>IFERROR(__xludf.DUMMYFUNCTION("""COMPUTED_VALUE"""),"ZAPI-53")</f>
        <v>ZAPI-53</v>
      </c>
      <c r="C404" s="26" t="str">
        <f>IFERROR(__xludf.DUMMYFUNCTION("""COMPUTED_VALUE"""),"Unregister user from meetings when their portal account is disabled")</f>
        <v>Unregister user from meetings when their portal account is disabled</v>
      </c>
      <c r="D404" s="28">
        <f>IFERROR(__xludf.DUMMYFUNCTION("""COMPUTED_VALUE"""),0.3)</f>
        <v>0.3</v>
      </c>
      <c r="E404" s="29">
        <f>IFERROR(__xludf.DUMMYFUNCTION("""COMPUTED_VALUE"""),43997.0)</f>
        <v>43997</v>
      </c>
      <c r="F404" s="26" t="str">
        <f>IFERROR(__xludf.DUMMYFUNCTION("""COMPUTED_VALUE"""),"557058:3124a1f0-e92a-405c-93f2-c1d4e621bc77")</f>
        <v>557058:3124a1f0-e92a-405c-93f2-c1d4e621bc77</v>
      </c>
      <c r="G404" s="26" t="str">
        <f>IFERROR(__xludf.DUMMYFUNCTION("""COMPUTED_VALUE"""),"Trevor Coehoorn")</f>
        <v>Trevor Coehoorn</v>
      </c>
      <c r="H404" s="26" t="b">
        <v>0</v>
      </c>
    </row>
    <row r="405" hidden="1">
      <c r="A405" s="26" t="str">
        <f>VLOOKUP(B405,'2020 SRED (JIRA) - Issues and l'!$B:$C,2,FALSE)</f>
        <v>insite-event-SRED</v>
      </c>
      <c r="B405" s="27" t="str">
        <f>IFERROR(__xludf.DUMMYFUNCTION("""COMPUTED_VALUE"""),"ZAPI-58")</f>
        <v>ZAPI-58</v>
      </c>
      <c r="C405" s="26" t="str">
        <f>IFERROR(__xludf.DUMMYFUNCTION("""COMPUTED_VALUE"""),"Prompt non-authenticated users for the meeting password before showing any meeting information or buttons")</f>
        <v>Prompt non-authenticated users for the meeting password before showing any meeting information or buttons</v>
      </c>
      <c r="D405" s="28">
        <f>IFERROR(__xludf.DUMMYFUNCTION("""COMPUTED_VALUE"""),0.816666666666666)</f>
        <v>0.8166666667</v>
      </c>
      <c r="E405" s="29">
        <f>IFERROR(__xludf.DUMMYFUNCTION("""COMPUTED_VALUE"""),43997.0)</f>
        <v>43997</v>
      </c>
      <c r="F405" s="26" t="str">
        <f>IFERROR(__xludf.DUMMYFUNCTION("""COMPUTED_VALUE"""),"557058:3124a1f0-e92a-405c-93f2-c1d4e621bc77")</f>
        <v>557058:3124a1f0-e92a-405c-93f2-c1d4e621bc77</v>
      </c>
      <c r="G405" s="26" t="str">
        <f>IFERROR(__xludf.DUMMYFUNCTION("""COMPUTED_VALUE"""),"Trevor Coehoorn")</f>
        <v>Trevor Coehoorn</v>
      </c>
      <c r="H405" s="26" t="b">
        <v>0</v>
      </c>
    </row>
    <row r="406" hidden="1">
      <c r="A406" s="26" t="str">
        <f>VLOOKUP(B406,'2020 SRED (JIRA) - Issues and l'!$B:$C,2,FALSE)</f>
        <v>portal-builder</v>
      </c>
      <c r="B406" s="27" t="str">
        <f>IFERROR(__xludf.DUMMYFUNCTION("""COMPUTED_VALUE"""),"IV2-31")</f>
        <v>IV2-31</v>
      </c>
      <c r="C406" s="26" t="str">
        <f>IFERROR(__xludf.DUMMYFUNCTION("""COMPUTED_VALUE"""),"V2 Status Meetings")</f>
        <v>V2 Status Meetings</v>
      </c>
      <c r="D406" s="28">
        <f>IFERROR(__xludf.DUMMYFUNCTION("""COMPUTED_VALUE"""),0.283333333333333)</f>
        <v>0.2833333333</v>
      </c>
      <c r="E406" s="29">
        <f>IFERROR(__xludf.DUMMYFUNCTION("""COMPUTED_VALUE"""),43997.0)</f>
        <v>43997</v>
      </c>
      <c r="F406" s="26" t="str">
        <f>IFERROR(__xludf.DUMMYFUNCTION("""COMPUTED_VALUE"""),"557058:3124a1f0-e92a-405c-93f2-c1d4e621bc77")</f>
        <v>557058:3124a1f0-e92a-405c-93f2-c1d4e621bc77</v>
      </c>
      <c r="G406" s="26" t="str">
        <f>IFERROR(__xludf.DUMMYFUNCTION("""COMPUTED_VALUE"""),"Trevor Coehoorn")</f>
        <v>Trevor Coehoorn</v>
      </c>
      <c r="H406" s="26" t="b">
        <v>0</v>
      </c>
    </row>
    <row r="407" hidden="1">
      <c r="A407" s="26" t="str">
        <f>VLOOKUP(B407,'2020 SRED (JIRA) - Issues and l'!$B:$C,2,FALSE)</f>
        <v>insite-mapping-SRED</v>
      </c>
      <c r="B407" s="27" t="str">
        <f>IFERROR(__xludf.DUMMYFUNCTION("""COMPUTED_VALUE"""),"ITP-1836")</f>
        <v>ITP-1836</v>
      </c>
      <c r="C407" s="26" t="str">
        <f>IFERROR(__xludf.DUMMYFUNCTION("""COMPUTED_VALUE"""),"Configurable Sails &amp; Anchors activity")</f>
        <v>Configurable Sails &amp; Anchors activity</v>
      </c>
      <c r="D407" s="28">
        <f>IFERROR(__xludf.DUMMYFUNCTION("""COMPUTED_VALUE"""),0.0666666666666666)</f>
        <v>0.06666666667</v>
      </c>
      <c r="E407" s="29">
        <f>IFERROR(__xludf.DUMMYFUNCTION("""COMPUTED_VALUE"""),43997.0)</f>
        <v>43997</v>
      </c>
      <c r="F407" s="26" t="str">
        <f>IFERROR(__xludf.DUMMYFUNCTION("""COMPUTED_VALUE"""),"557058:3124a1f0-e92a-405c-93f2-c1d4e621bc77")</f>
        <v>557058:3124a1f0-e92a-405c-93f2-c1d4e621bc77</v>
      </c>
      <c r="G407" s="26" t="str">
        <f>IFERROR(__xludf.DUMMYFUNCTION("""COMPUTED_VALUE"""),"Trevor Coehoorn")</f>
        <v>Trevor Coehoorn</v>
      </c>
      <c r="H407" s="26" t="b">
        <v>0</v>
      </c>
    </row>
    <row r="408" hidden="1">
      <c r="A408" s="26" t="str">
        <f>VLOOKUP(B408,'2020 SRED (JIRA) - Issues and l'!$B:$C,2,FALSE)</f>
        <v>insite-event-SRED</v>
      </c>
      <c r="B408" s="27" t="str">
        <f>IFERROR(__xludf.DUMMYFUNCTION("""COMPUTED_VALUE"""),"ZAPI-27")</f>
        <v>ZAPI-27</v>
      </c>
      <c r="C408" s="26" t="str">
        <f>IFERROR(__xludf.DUMMYFUNCTION("""COMPUTED_VALUE"""),"As a meeting administrator, I can add a web meeting panel/widget to my touchpoint content page and start/join a meeting from there")</f>
        <v>As a meeting administrator, I can add a web meeting panel/widget to my touchpoint content page and start/join a meeting from there</v>
      </c>
      <c r="D408" s="28">
        <f>IFERROR(__xludf.DUMMYFUNCTION("""COMPUTED_VALUE"""),0.116666666666666)</f>
        <v>0.1166666667</v>
      </c>
      <c r="E408" s="29">
        <f>IFERROR(__xludf.DUMMYFUNCTION("""COMPUTED_VALUE"""),43997.0)</f>
        <v>43997</v>
      </c>
      <c r="F408" s="26" t="str">
        <f>IFERROR(__xludf.DUMMYFUNCTION("""COMPUTED_VALUE"""),"557058:3124a1f0-e92a-405c-93f2-c1d4e621bc77")</f>
        <v>557058:3124a1f0-e92a-405c-93f2-c1d4e621bc77</v>
      </c>
      <c r="G408" s="26" t="str">
        <f>IFERROR(__xludf.DUMMYFUNCTION("""COMPUTED_VALUE"""),"Trevor Coehoorn")</f>
        <v>Trevor Coehoorn</v>
      </c>
      <c r="H408" s="26" t="b">
        <v>0</v>
      </c>
    </row>
    <row r="409" hidden="1">
      <c r="A409" s="26" t="str">
        <f>VLOOKUP(B409,'2020 SRED (JIRA) - Issues and l'!$B:$C,2,FALSE)</f>
        <v>insite-event-SRED</v>
      </c>
      <c r="B409" s="27" t="str">
        <f>IFERROR(__xludf.DUMMYFUNCTION("""COMPUTED_VALUE"""),"ZAPI-69")</f>
        <v>ZAPI-69</v>
      </c>
      <c r="C409" s="26" t="str">
        <f>IFERROR(__xludf.DUMMYFUNCTION("""COMPUTED_VALUE"""),"Add description below ""Users can join anonymously"" checkbox")</f>
        <v>Add description below "Users can join anonymously" checkbox</v>
      </c>
      <c r="D409" s="28">
        <f>IFERROR(__xludf.DUMMYFUNCTION("""COMPUTED_VALUE"""),0.133333333333333)</f>
        <v>0.1333333333</v>
      </c>
      <c r="E409" s="29">
        <f>IFERROR(__xludf.DUMMYFUNCTION("""COMPUTED_VALUE"""),43997.0)</f>
        <v>43997</v>
      </c>
      <c r="F409" s="26" t="str">
        <f>IFERROR(__xludf.DUMMYFUNCTION("""COMPUTED_VALUE"""),"557058:3124a1f0-e92a-405c-93f2-c1d4e621bc77")</f>
        <v>557058:3124a1f0-e92a-405c-93f2-c1d4e621bc77</v>
      </c>
      <c r="G409" s="26" t="str">
        <f>IFERROR(__xludf.DUMMYFUNCTION("""COMPUTED_VALUE"""),"Trevor Coehoorn")</f>
        <v>Trevor Coehoorn</v>
      </c>
      <c r="H409" s="26" t="b">
        <v>0</v>
      </c>
    </row>
    <row r="410" hidden="1">
      <c r="A410" s="26" t="str">
        <f>VLOOKUP(B410,'2020 SRED (JIRA) - Issues and l'!$B:$C,2,FALSE)</f>
        <v>insite-event-SRED</v>
      </c>
      <c r="B410" s="27" t="str">
        <f>IFERROR(__xludf.DUMMYFUNCTION("""COMPUTED_VALUE"""),"ZAPI-1")</f>
        <v>ZAPI-1</v>
      </c>
      <c r="C410" s="26" t="str">
        <f>IFERROR(__xludf.DUMMYFUNCTION("""COMPUTED_VALUE"""),"Zoom API v1 (MVP)")</f>
        <v>Zoom API v1 (MVP)</v>
      </c>
      <c r="D410" s="28">
        <f>IFERROR(__xludf.DUMMYFUNCTION("""COMPUTED_VALUE"""),0.5)</f>
        <v>0.5</v>
      </c>
      <c r="E410" s="29">
        <f>IFERROR(__xludf.DUMMYFUNCTION("""COMPUTED_VALUE"""),43997.0)</f>
        <v>43997</v>
      </c>
      <c r="F410" s="26" t="str">
        <f>IFERROR(__xludf.DUMMYFUNCTION("""COMPUTED_VALUE"""),"557058:3124a1f0-e92a-405c-93f2-c1d4e621bc77")</f>
        <v>557058:3124a1f0-e92a-405c-93f2-c1d4e621bc77</v>
      </c>
      <c r="G410" s="26" t="str">
        <f>IFERROR(__xludf.DUMMYFUNCTION("""COMPUTED_VALUE"""),"Trevor Coehoorn")</f>
        <v>Trevor Coehoorn</v>
      </c>
      <c r="H410" s="26" t="b">
        <v>0</v>
      </c>
    </row>
    <row r="411" hidden="1">
      <c r="A411" s="26" t="str">
        <f>VLOOKUP(B411,'2020 SRED (JIRA) - Issues and l'!$B:$C,2,FALSE)</f>
        <v>insite-workflow-SRED</v>
      </c>
      <c r="B411" s="27" t="str">
        <f>IFERROR(__xludf.DUMMYFUNCTION("""COMPUTED_VALUE"""),"APPS-72")</f>
        <v>APPS-72</v>
      </c>
      <c r="C411" s="26" t="str">
        <f>IFERROR(__xludf.DUMMYFUNCTION("""COMPUTED_VALUE"""),"Training App (Quang)")</f>
        <v>Training App (Quang)</v>
      </c>
      <c r="D411" s="28">
        <f>IFERROR(__xludf.DUMMYFUNCTION("""COMPUTED_VALUE"""),3.0)</f>
        <v>3</v>
      </c>
      <c r="E411" s="29">
        <f>IFERROR(__xludf.DUMMYFUNCTION("""COMPUTED_VALUE"""),43997.0)</f>
        <v>43997</v>
      </c>
      <c r="F411" s="26" t="str">
        <f>IFERROR(__xludf.DUMMYFUNCTION("""COMPUTED_VALUE"""),"5ee7b6ce868ce30ac49e2521")</f>
        <v>5ee7b6ce868ce30ac49e2521</v>
      </c>
      <c r="G411" s="26" t="str">
        <f>IFERROR(__xludf.DUMMYFUNCTION("""COMPUTED_VALUE"""),"Bryan Le")</f>
        <v>Bryan Le</v>
      </c>
      <c r="H411" s="26" t="b">
        <v>0</v>
      </c>
    </row>
    <row r="412" hidden="1">
      <c r="A412" s="26" t="str">
        <f>VLOOKUP(B412,'2020 SRED (JIRA) - Issues and l'!$B:$C,2,FALSE)</f>
        <v>insite-workflow-SRED</v>
      </c>
      <c r="B412" s="27" t="str">
        <f>IFERROR(__xludf.DUMMYFUNCTION("""COMPUTED_VALUE"""),"APPS-72")</f>
        <v>APPS-72</v>
      </c>
      <c r="C412" s="26" t="str">
        <f>IFERROR(__xludf.DUMMYFUNCTION("""COMPUTED_VALUE"""),"Training App (Quang)")</f>
        <v>Training App (Quang)</v>
      </c>
      <c r="D412" s="28">
        <f>IFERROR(__xludf.DUMMYFUNCTION("""COMPUTED_VALUE"""),7.0)</f>
        <v>7</v>
      </c>
      <c r="E412" s="29">
        <f>IFERROR(__xludf.DUMMYFUNCTION("""COMPUTED_VALUE"""),43997.0)</f>
        <v>43997</v>
      </c>
      <c r="F412" s="26" t="str">
        <f>IFERROR(__xludf.DUMMYFUNCTION("""COMPUTED_VALUE"""),"5ee7b6ce868ce30ac49e2521")</f>
        <v>5ee7b6ce868ce30ac49e2521</v>
      </c>
      <c r="G412" s="26" t="str">
        <f>IFERROR(__xludf.DUMMYFUNCTION("""COMPUTED_VALUE"""),"Bryan Le")</f>
        <v>Bryan Le</v>
      </c>
      <c r="H412" s="26" t="b">
        <v>0</v>
      </c>
    </row>
    <row r="413" hidden="1">
      <c r="A413" s="26" t="str">
        <f>VLOOKUP(B413,'2020 SRED (JIRA) - Issues and l'!$B:$C,2,FALSE)</f>
        <v>insite-workflow-SRED</v>
      </c>
      <c r="B413" s="27" t="str">
        <f>IFERROR(__xludf.DUMMYFUNCTION("""COMPUTED_VALUE"""),"APPS-73")</f>
        <v>APPS-73</v>
      </c>
      <c r="C413" s="26" t="str">
        <f>IFERROR(__xludf.DUMMYFUNCTION("""COMPUTED_VALUE"""),"Training App (Jessica)")</f>
        <v>Training App (Jessica)</v>
      </c>
      <c r="D413" s="28">
        <f>IFERROR(__xludf.DUMMYFUNCTION("""COMPUTED_VALUE"""),7.0)</f>
        <v>7</v>
      </c>
      <c r="E413" s="29">
        <f>IFERROR(__xludf.DUMMYFUNCTION("""COMPUTED_VALUE"""),43997.0)</f>
        <v>43997</v>
      </c>
      <c r="F413" s="26" t="str">
        <f>IFERROR(__xludf.DUMMYFUNCTION("""COMPUTED_VALUE"""),"5ee7b6cf02b4400ac4b65399")</f>
        <v>5ee7b6cf02b4400ac4b65399</v>
      </c>
      <c r="G413" s="26" t="str">
        <f>IFERROR(__xludf.DUMMYFUNCTION("""COMPUTED_VALUE"""),"Jessica Obando")</f>
        <v>Jessica Obando</v>
      </c>
      <c r="H413" s="26" t="b">
        <v>0</v>
      </c>
    </row>
    <row r="414" hidden="1">
      <c r="A414" s="26" t="str">
        <f>VLOOKUP(B414,'2020 SRED (JIRA) - Issues and l'!$B:$C,2,FALSE)</f>
        <v>insite-event-SRED</v>
      </c>
      <c r="B414" s="27" t="str">
        <f>IFERROR(__xludf.DUMMYFUNCTION("""COMPUTED_VALUE"""),"ZAPI-34")</f>
        <v>ZAPI-34</v>
      </c>
      <c r="C414" s="26" t="str">
        <f>IFERROR(__xludf.DUMMYFUNCTION("""COMPUTED_VALUE"""),"Record web meeting attendance")</f>
        <v>Record web meeting attendance</v>
      </c>
      <c r="D414" s="28">
        <f>IFERROR(__xludf.DUMMYFUNCTION("""COMPUTED_VALUE"""),0.55)</f>
        <v>0.55</v>
      </c>
      <c r="E414" s="29">
        <f>IFERROR(__xludf.DUMMYFUNCTION("""COMPUTED_VALUE"""),43998.0)</f>
        <v>43998</v>
      </c>
      <c r="F414" s="26" t="str">
        <f>IFERROR(__xludf.DUMMYFUNCTION("""COMPUTED_VALUE"""),"557058:3124a1f0-e92a-405c-93f2-c1d4e621bc77")</f>
        <v>557058:3124a1f0-e92a-405c-93f2-c1d4e621bc77</v>
      </c>
      <c r="G414" s="26" t="str">
        <f>IFERROR(__xludf.DUMMYFUNCTION("""COMPUTED_VALUE"""),"Trevor Coehoorn")</f>
        <v>Trevor Coehoorn</v>
      </c>
      <c r="H414" s="26" t="b">
        <v>0</v>
      </c>
    </row>
    <row r="415" hidden="1">
      <c r="A415" s="26" t="str">
        <f>VLOOKUP(B415,'2020 SRED (JIRA) - Issues and l'!$B:$C,2,FALSE)</f>
        <v>insite-event-SRED</v>
      </c>
      <c r="B415" s="27" t="str">
        <f>IFERROR(__xludf.DUMMYFUNCTION("""COMPUTED_VALUE"""),"ZAPI-72")</f>
        <v>ZAPI-72</v>
      </c>
      <c r="C415" s="26" t="str">
        <f>IFERROR(__xludf.DUMMYFUNCTION("""COMPUTED_VALUE"""),"Merge master branch changes into web meeting branch")</f>
        <v>Merge master branch changes into web meeting branch</v>
      </c>
      <c r="D415" s="28">
        <f>IFERROR(__xludf.DUMMYFUNCTION("""COMPUTED_VALUE"""),0.75)</f>
        <v>0.75</v>
      </c>
      <c r="E415" s="29">
        <f>IFERROR(__xludf.DUMMYFUNCTION("""COMPUTED_VALUE"""),43998.0)</f>
        <v>43998</v>
      </c>
      <c r="F415" s="26" t="str">
        <f>IFERROR(__xludf.DUMMYFUNCTION("""COMPUTED_VALUE"""),"557058:3124a1f0-e92a-405c-93f2-c1d4e621bc77")</f>
        <v>557058:3124a1f0-e92a-405c-93f2-c1d4e621bc77</v>
      </c>
      <c r="G415" s="26" t="str">
        <f>IFERROR(__xludf.DUMMYFUNCTION("""COMPUTED_VALUE"""),"Trevor Coehoorn")</f>
        <v>Trevor Coehoorn</v>
      </c>
      <c r="H415" s="26" t="b">
        <v>0</v>
      </c>
    </row>
    <row r="416" hidden="1">
      <c r="A416" s="26" t="str">
        <f>VLOOKUP(B416,'2020 SRED (JIRA) - Issues and l'!$B:$C,2,FALSE)</f>
        <v>insite-event-SRED</v>
      </c>
      <c r="B416" s="27" t="str">
        <f>IFERROR(__xludf.DUMMYFUNCTION("""COMPUTED_VALUE"""),"ZAPI-71")</f>
        <v>ZAPI-71</v>
      </c>
      <c r="C416" s="26" t="str">
        <f>IFERROR(__xludf.DUMMYFUNCTION("""COMPUTED_VALUE"""),"Zoom meetings should be deleted when nodes are deleted")</f>
        <v>Zoom meetings should be deleted when nodes are deleted</v>
      </c>
      <c r="D416" s="28">
        <f>IFERROR(__xludf.DUMMYFUNCTION("""COMPUTED_VALUE"""),0.2)</f>
        <v>0.2</v>
      </c>
      <c r="E416" s="29">
        <f>IFERROR(__xludf.DUMMYFUNCTION("""COMPUTED_VALUE"""),43998.0)</f>
        <v>43998</v>
      </c>
      <c r="F416" s="26" t="str">
        <f>IFERROR(__xludf.DUMMYFUNCTION("""COMPUTED_VALUE"""),"557058:3124a1f0-e92a-405c-93f2-c1d4e621bc77")</f>
        <v>557058:3124a1f0-e92a-405c-93f2-c1d4e621bc77</v>
      </c>
      <c r="G416" s="26" t="str">
        <f>IFERROR(__xludf.DUMMYFUNCTION("""COMPUTED_VALUE"""),"Trevor Coehoorn")</f>
        <v>Trevor Coehoorn</v>
      </c>
      <c r="H416" s="26" t="b">
        <v>0</v>
      </c>
    </row>
    <row r="417" hidden="1">
      <c r="A417" s="26" t="str">
        <f>VLOOKUP(B417,'2020 SRED (JIRA) - Issues and l'!$B:$C,2,FALSE)</f>
        <v>insite-event-SRED</v>
      </c>
      <c r="B417" s="27" t="str">
        <f>IFERROR(__xludf.DUMMYFUNCTION("""COMPUTED_VALUE"""),"ZAPI-64")</f>
        <v>ZAPI-64</v>
      </c>
      <c r="C417" s="26" t="str">
        <f>IFERROR(__xludf.DUMMYFUNCTION("""COMPUTED_VALUE"""),"Correct the maximum Poll title length")</f>
        <v>Correct the maximum Poll title length</v>
      </c>
      <c r="D417" s="28">
        <f>IFERROR(__xludf.DUMMYFUNCTION("""COMPUTED_VALUE"""),0.05)</f>
        <v>0.05</v>
      </c>
      <c r="E417" s="29">
        <f>IFERROR(__xludf.DUMMYFUNCTION("""COMPUTED_VALUE"""),43998.0)</f>
        <v>43998</v>
      </c>
      <c r="F417" s="26" t="str">
        <f>IFERROR(__xludf.DUMMYFUNCTION("""COMPUTED_VALUE"""),"557058:3124a1f0-e92a-405c-93f2-c1d4e621bc77")</f>
        <v>557058:3124a1f0-e92a-405c-93f2-c1d4e621bc77</v>
      </c>
      <c r="G417" s="26" t="str">
        <f>IFERROR(__xludf.DUMMYFUNCTION("""COMPUTED_VALUE"""),"Trevor Coehoorn")</f>
        <v>Trevor Coehoorn</v>
      </c>
      <c r="H417" s="26" t="b">
        <v>0</v>
      </c>
    </row>
    <row r="418" hidden="1">
      <c r="A418" s="26" t="str">
        <f>VLOOKUP(B418,'2020 SRED (JIRA) - Issues and l'!$B:$C,2,FALSE)</f>
        <v>insite-event-SRED</v>
      </c>
      <c r="B418" s="27" t="str">
        <f>IFERROR(__xludf.DUMMYFUNCTION("""COMPUTED_VALUE"""),"ZAPI-69")</f>
        <v>ZAPI-69</v>
      </c>
      <c r="C418" s="26" t="str">
        <f>IFERROR(__xludf.DUMMYFUNCTION("""COMPUTED_VALUE"""),"Add description below ""Users can join anonymously"" checkbox")</f>
        <v>Add description below "Users can join anonymously" checkbox</v>
      </c>
      <c r="D418" s="28">
        <f>IFERROR(__xludf.DUMMYFUNCTION("""COMPUTED_VALUE"""),0.183333333333333)</f>
        <v>0.1833333333</v>
      </c>
      <c r="E418" s="29">
        <f>IFERROR(__xludf.DUMMYFUNCTION("""COMPUTED_VALUE"""),43998.0)</f>
        <v>43998</v>
      </c>
      <c r="F418" s="26" t="str">
        <f>IFERROR(__xludf.DUMMYFUNCTION("""COMPUTED_VALUE"""),"557058:3124a1f0-e92a-405c-93f2-c1d4e621bc77")</f>
        <v>557058:3124a1f0-e92a-405c-93f2-c1d4e621bc77</v>
      </c>
      <c r="G418" s="26" t="str">
        <f>IFERROR(__xludf.DUMMYFUNCTION("""COMPUTED_VALUE"""),"Trevor Coehoorn")</f>
        <v>Trevor Coehoorn</v>
      </c>
      <c r="H418" s="26" t="b">
        <v>0</v>
      </c>
    </row>
    <row r="419" hidden="1">
      <c r="A419" s="26" t="str">
        <f>VLOOKUP(B419,'2020 SRED (JIRA) - Issues and l'!$B:$C,2,FALSE)</f>
        <v>insite-event-SRED</v>
      </c>
      <c r="B419" s="27" t="str">
        <f>IFERROR(__xludf.DUMMYFUNCTION("""COMPUTED_VALUE"""),"ZAPI-58")</f>
        <v>ZAPI-58</v>
      </c>
      <c r="C419" s="26" t="str">
        <f>IFERROR(__xludf.DUMMYFUNCTION("""COMPUTED_VALUE"""),"Prompt non-authenticated users for the meeting password before showing any meeting information or buttons")</f>
        <v>Prompt non-authenticated users for the meeting password before showing any meeting information or buttons</v>
      </c>
      <c r="D419" s="28">
        <f>IFERROR(__xludf.DUMMYFUNCTION("""COMPUTED_VALUE"""),0.583333333333333)</f>
        <v>0.5833333333</v>
      </c>
      <c r="E419" s="29">
        <f>IFERROR(__xludf.DUMMYFUNCTION("""COMPUTED_VALUE"""),43998.0)</f>
        <v>43998</v>
      </c>
      <c r="F419" s="26" t="str">
        <f>IFERROR(__xludf.DUMMYFUNCTION("""COMPUTED_VALUE"""),"557058:3124a1f0-e92a-405c-93f2-c1d4e621bc77")</f>
        <v>557058:3124a1f0-e92a-405c-93f2-c1d4e621bc77</v>
      </c>
      <c r="G419" s="26" t="str">
        <f>IFERROR(__xludf.DUMMYFUNCTION("""COMPUTED_VALUE"""),"Trevor Coehoorn")</f>
        <v>Trevor Coehoorn</v>
      </c>
      <c r="H419" s="26" t="b">
        <v>0</v>
      </c>
    </row>
    <row r="420" hidden="1">
      <c r="A420" s="26" t="str">
        <f>VLOOKUP(B420,'2020 SRED (JIRA) - Issues and l'!$B:$C,2,FALSE)</f>
        <v>insite-event-SRED</v>
      </c>
      <c r="B420" s="27" t="str">
        <f>IFERROR(__xludf.DUMMYFUNCTION("""COMPUTED_VALUE"""),"ZAPI-54")</f>
        <v>ZAPI-54</v>
      </c>
      <c r="C420" s="26" t="str">
        <f>IFERROR(__xludf.DUMMYFUNCTION("""COMPUTED_VALUE"""),"Choose Zoom host account when creating meetings")</f>
        <v>Choose Zoom host account when creating meetings</v>
      </c>
      <c r="D420" s="28">
        <f>IFERROR(__xludf.DUMMYFUNCTION("""COMPUTED_VALUE"""),0.333333333333333)</f>
        <v>0.3333333333</v>
      </c>
      <c r="E420" s="29">
        <f>IFERROR(__xludf.DUMMYFUNCTION("""COMPUTED_VALUE"""),43998.0)</f>
        <v>43998</v>
      </c>
      <c r="F420" s="26" t="str">
        <f>IFERROR(__xludf.DUMMYFUNCTION("""COMPUTED_VALUE"""),"557058:3124a1f0-e92a-405c-93f2-c1d4e621bc77")</f>
        <v>557058:3124a1f0-e92a-405c-93f2-c1d4e621bc77</v>
      </c>
      <c r="G420" s="26" t="str">
        <f>IFERROR(__xludf.DUMMYFUNCTION("""COMPUTED_VALUE"""),"Trevor Coehoorn")</f>
        <v>Trevor Coehoorn</v>
      </c>
      <c r="H420" s="26" t="b">
        <v>0</v>
      </c>
    </row>
    <row r="421" hidden="1">
      <c r="A421" s="26" t="str">
        <f>VLOOKUP(B421,'2020 SRED (JIRA) - Issues and l'!$B:$C,2,FALSE)</f>
        <v>insite-event-SRED</v>
      </c>
      <c r="B421" s="27" t="str">
        <f>IFERROR(__xludf.DUMMYFUNCTION("""COMPUTED_VALUE"""),"ZAPI-52")</f>
        <v>ZAPI-52</v>
      </c>
      <c r="C421" s="26" t="str">
        <f>IFERROR(__xludf.DUMMYFUNCTION("""COMPUTED_VALUE"""),"As an administrator, I can configure Zoom Webinar options")</f>
        <v>As an administrator, I can configure Zoom Webinar options</v>
      </c>
      <c r="D421" s="28">
        <f>IFERROR(__xludf.DUMMYFUNCTION("""COMPUTED_VALUE"""),2.36666666666666)</f>
        <v>2.366666667</v>
      </c>
      <c r="E421" s="29">
        <f>IFERROR(__xludf.DUMMYFUNCTION("""COMPUTED_VALUE"""),43998.0)</f>
        <v>43998</v>
      </c>
      <c r="F421" s="26" t="str">
        <f>IFERROR(__xludf.DUMMYFUNCTION("""COMPUTED_VALUE"""),"557058:3124a1f0-e92a-405c-93f2-c1d4e621bc77")</f>
        <v>557058:3124a1f0-e92a-405c-93f2-c1d4e621bc77</v>
      </c>
      <c r="G421" s="26" t="str">
        <f>IFERROR(__xludf.DUMMYFUNCTION("""COMPUTED_VALUE"""),"Trevor Coehoorn")</f>
        <v>Trevor Coehoorn</v>
      </c>
      <c r="H421" s="26" t="b">
        <v>0</v>
      </c>
    </row>
    <row r="422" hidden="1">
      <c r="A422" s="26" t="str">
        <f>VLOOKUP(B422,'2020 SRED (JIRA) - Issues and l'!$B:$C,2,FALSE)</f>
        <v>insite-event-SRED</v>
      </c>
      <c r="B422" s="27" t="str">
        <f>IFERROR(__xludf.DUMMYFUNCTION("""COMPUTED_VALUE"""),"ZAPI-40")</f>
        <v>ZAPI-40</v>
      </c>
      <c r="C422" s="26" t="str">
        <f>IFERROR(__xludf.DUMMYFUNCTION("""COMPUTED_VALUE"""),"Allow administrators to configure Zoom meeting settings")</f>
        <v>Allow administrators to configure Zoom meeting settings</v>
      </c>
      <c r="D422" s="28">
        <f>IFERROR(__xludf.DUMMYFUNCTION("""COMPUTED_VALUE"""),1.18333333333333)</f>
        <v>1.183333333</v>
      </c>
      <c r="E422" s="29">
        <f>IFERROR(__xludf.DUMMYFUNCTION("""COMPUTED_VALUE"""),43998.0)</f>
        <v>43998</v>
      </c>
      <c r="F422" s="26" t="str">
        <f>IFERROR(__xludf.DUMMYFUNCTION("""COMPUTED_VALUE"""),"557058:3124a1f0-e92a-405c-93f2-c1d4e621bc77")</f>
        <v>557058:3124a1f0-e92a-405c-93f2-c1d4e621bc77</v>
      </c>
      <c r="G422" s="26" t="str">
        <f>IFERROR(__xludf.DUMMYFUNCTION("""COMPUTED_VALUE"""),"Trevor Coehoorn")</f>
        <v>Trevor Coehoorn</v>
      </c>
      <c r="H422" s="26" t="b">
        <v>0</v>
      </c>
    </row>
    <row r="423" hidden="1">
      <c r="A423" s="26" t="str">
        <f>VLOOKUP(B423,'2020 SRED (JIRA) - Issues and l'!$B:$C,2,FALSE)</f>
        <v>insite-event-SRED</v>
      </c>
      <c r="B423" s="27" t="str">
        <f>IFERROR(__xludf.DUMMYFUNCTION("""COMPUTED_VALUE"""),"ZAPI-66")</f>
        <v>ZAPI-66</v>
      </c>
      <c r="C423" s="26" t="str">
        <f>IFERROR(__xludf.DUMMYFUNCTION("""COMPUTED_VALUE"""),"Add polls in the correct order when web meetings are created")</f>
        <v>Add polls in the correct order when web meetings are created</v>
      </c>
      <c r="D423" s="28">
        <f>IFERROR(__xludf.DUMMYFUNCTION("""COMPUTED_VALUE"""),0.0666666666666666)</f>
        <v>0.06666666667</v>
      </c>
      <c r="E423" s="29">
        <f>IFERROR(__xludf.DUMMYFUNCTION("""COMPUTED_VALUE"""),43998.0)</f>
        <v>43998</v>
      </c>
      <c r="F423" s="26" t="str">
        <f>IFERROR(__xludf.DUMMYFUNCTION("""COMPUTED_VALUE"""),"557058:3124a1f0-e92a-405c-93f2-c1d4e621bc77")</f>
        <v>557058:3124a1f0-e92a-405c-93f2-c1d4e621bc77</v>
      </c>
      <c r="G423" s="26" t="str">
        <f>IFERROR(__xludf.DUMMYFUNCTION("""COMPUTED_VALUE"""),"Trevor Coehoorn")</f>
        <v>Trevor Coehoorn</v>
      </c>
      <c r="H423" s="26" t="b">
        <v>0</v>
      </c>
    </row>
    <row r="424" hidden="1">
      <c r="A424" s="26" t="str">
        <f>VLOOKUP(B424,'2020 SRED (JIRA) - Issues and l'!$B:$C,2,FALSE)</f>
        <v>insite-event-SRED</v>
      </c>
      <c r="B424" s="27" t="str">
        <f>IFERROR(__xludf.DUMMYFUNCTION("""COMPUTED_VALUE"""),"ZAPI-1")</f>
        <v>ZAPI-1</v>
      </c>
      <c r="C424" s="26" t="str">
        <f>IFERROR(__xludf.DUMMYFUNCTION("""COMPUTED_VALUE"""),"Zoom API v1 (MVP)")</f>
        <v>Zoom API v1 (MVP)</v>
      </c>
      <c r="D424" s="28">
        <f>IFERROR(__xludf.DUMMYFUNCTION("""COMPUTED_VALUE"""),0.583333333333333)</f>
        <v>0.5833333333</v>
      </c>
      <c r="E424" s="29">
        <f>IFERROR(__xludf.DUMMYFUNCTION("""COMPUTED_VALUE"""),43998.0)</f>
        <v>43998</v>
      </c>
      <c r="F424" s="26" t="str">
        <f>IFERROR(__xludf.DUMMYFUNCTION("""COMPUTED_VALUE"""),"557058:3124a1f0-e92a-405c-93f2-c1d4e621bc77")</f>
        <v>557058:3124a1f0-e92a-405c-93f2-c1d4e621bc77</v>
      </c>
      <c r="G424" s="26" t="str">
        <f>IFERROR(__xludf.DUMMYFUNCTION("""COMPUTED_VALUE"""),"Trevor Coehoorn")</f>
        <v>Trevor Coehoorn</v>
      </c>
      <c r="H424" s="26" t="b">
        <v>0</v>
      </c>
    </row>
    <row r="425" hidden="1">
      <c r="A425" s="26" t="str">
        <f>VLOOKUP(B425,'2020 SRED (JIRA) - Issues and l'!$B:$C,2,FALSE)</f>
        <v>insite-workflow-SRED</v>
      </c>
      <c r="B425" s="27" t="str">
        <f>IFERROR(__xludf.DUMMYFUNCTION("""COMPUTED_VALUE"""),"APPS-72")</f>
        <v>APPS-72</v>
      </c>
      <c r="C425" s="26" t="str">
        <f>IFERROR(__xludf.DUMMYFUNCTION("""COMPUTED_VALUE"""),"Training App (Quang)")</f>
        <v>Training App (Quang)</v>
      </c>
      <c r="D425" s="28">
        <f>IFERROR(__xludf.DUMMYFUNCTION("""COMPUTED_VALUE"""),7.0)</f>
        <v>7</v>
      </c>
      <c r="E425" s="29">
        <f>IFERROR(__xludf.DUMMYFUNCTION("""COMPUTED_VALUE"""),43998.0)</f>
        <v>43998</v>
      </c>
      <c r="F425" s="26" t="str">
        <f>IFERROR(__xludf.DUMMYFUNCTION("""COMPUTED_VALUE"""),"5ee7b6ce868ce30ac49e2521")</f>
        <v>5ee7b6ce868ce30ac49e2521</v>
      </c>
      <c r="G425" s="26" t="str">
        <f>IFERROR(__xludf.DUMMYFUNCTION("""COMPUTED_VALUE"""),"Bryan Le")</f>
        <v>Bryan Le</v>
      </c>
      <c r="H425" s="26" t="b">
        <v>0</v>
      </c>
    </row>
    <row r="426" hidden="1">
      <c r="A426" s="26" t="str">
        <f>VLOOKUP(B426,'2020 SRED (JIRA) - Issues and l'!$B:$C,2,FALSE)</f>
        <v>insite-workflow-SRED</v>
      </c>
      <c r="B426" s="27" t="str">
        <f>IFERROR(__xludf.DUMMYFUNCTION("""COMPUTED_VALUE"""),"APPS-73")</f>
        <v>APPS-73</v>
      </c>
      <c r="C426" s="26" t="str">
        <f>IFERROR(__xludf.DUMMYFUNCTION("""COMPUTED_VALUE"""),"Training App (Jessica)")</f>
        <v>Training App (Jessica)</v>
      </c>
      <c r="D426" s="28">
        <f>IFERROR(__xludf.DUMMYFUNCTION("""COMPUTED_VALUE"""),8.0)</f>
        <v>8</v>
      </c>
      <c r="E426" s="29">
        <f>IFERROR(__xludf.DUMMYFUNCTION("""COMPUTED_VALUE"""),43998.0)</f>
        <v>43998</v>
      </c>
      <c r="F426" s="26" t="str">
        <f>IFERROR(__xludf.DUMMYFUNCTION("""COMPUTED_VALUE"""),"5ee7b6cf02b4400ac4b65399")</f>
        <v>5ee7b6cf02b4400ac4b65399</v>
      </c>
      <c r="G426" s="26" t="str">
        <f>IFERROR(__xludf.DUMMYFUNCTION("""COMPUTED_VALUE"""),"Jessica Obando")</f>
        <v>Jessica Obando</v>
      </c>
      <c r="H426" s="26" t="b">
        <v>0</v>
      </c>
    </row>
    <row r="427" hidden="1">
      <c r="A427" s="26" t="str">
        <f>VLOOKUP(B427,'2020 SRED (JIRA) - Issues and l'!$B:$C,2,FALSE)</f>
        <v>portal-builder-SRED</v>
      </c>
      <c r="B427" s="27" t="str">
        <f>IFERROR(__xludf.DUMMYFUNCTION("""COMPUTED_VALUE"""),"ITP-1847")</f>
        <v>ITP-1847</v>
      </c>
      <c r="C427" s="26" t="str">
        <f>IFERROR(__xludf.DUMMYFUNCTION("""COMPUTED_VALUE"""),"Add reply count and login number to the touchpoint statistics")</f>
        <v>Add reply count and login number to the touchpoint statistics</v>
      </c>
      <c r="D427" s="28">
        <f>IFERROR(__xludf.DUMMYFUNCTION("""COMPUTED_VALUE"""),0.233333333333333)</f>
        <v>0.2333333333</v>
      </c>
      <c r="E427" s="29">
        <f>IFERROR(__xludf.DUMMYFUNCTION("""COMPUTED_VALUE"""),43999.0)</f>
        <v>43999</v>
      </c>
      <c r="F427" s="26" t="str">
        <f>IFERROR(__xludf.DUMMYFUNCTION("""COMPUTED_VALUE"""),"557058:3124a1f0-e92a-405c-93f2-c1d4e621bc77")</f>
        <v>557058:3124a1f0-e92a-405c-93f2-c1d4e621bc77</v>
      </c>
      <c r="G427" s="26" t="str">
        <f>IFERROR(__xludf.DUMMYFUNCTION("""COMPUTED_VALUE"""),"Trevor Coehoorn")</f>
        <v>Trevor Coehoorn</v>
      </c>
      <c r="H427" s="26" t="b">
        <v>0</v>
      </c>
    </row>
    <row r="428" hidden="1">
      <c r="A428" s="26" t="str">
        <f>VLOOKUP(B428,'2020 SRED (JIRA) - Issues and l'!$B:$C,2,FALSE)</f>
        <v>insite-event-SRED</v>
      </c>
      <c r="B428" s="27" t="str">
        <f>IFERROR(__xludf.DUMMYFUNCTION("""COMPUTED_VALUE"""),"ZAPI-76")</f>
        <v>ZAPI-76</v>
      </c>
      <c r="C428" s="26" t="str">
        <f>IFERROR(__xludf.DUMMYFUNCTION("""COMPUTED_VALUE"""),"Unable to change the audio type after it's been set to voip only")</f>
        <v>Unable to change the audio type after it's been set to voip only</v>
      </c>
      <c r="D428" s="28">
        <f>IFERROR(__xludf.DUMMYFUNCTION("""COMPUTED_VALUE"""),0.266666666666666)</f>
        <v>0.2666666667</v>
      </c>
      <c r="E428" s="29">
        <f>IFERROR(__xludf.DUMMYFUNCTION("""COMPUTED_VALUE"""),43999.0)</f>
        <v>43999</v>
      </c>
      <c r="F428" s="26" t="str">
        <f>IFERROR(__xludf.DUMMYFUNCTION("""COMPUTED_VALUE"""),"557058:3124a1f0-e92a-405c-93f2-c1d4e621bc77")</f>
        <v>557058:3124a1f0-e92a-405c-93f2-c1d4e621bc77</v>
      </c>
      <c r="G428" s="26" t="str">
        <f>IFERROR(__xludf.DUMMYFUNCTION("""COMPUTED_VALUE"""),"Trevor Coehoorn")</f>
        <v>Trevor Coehoorn</v>
      </c>
      <c r="H428" s="26" t="b">
        <v>0</v>
      </c>
    </row>
    <row r="429" hidden="1">
      <c r="A429" s="26" t="str">
        <f>VLOOKUP(B429,'2020 SRED (JIRA) - Issues and l'!$B:$C,2,FALSE)</f>
        <v>insite-event-SRED</v>
      </c>
      <c r="B429" s="27" t="str">
        <f>IFERROR(__xludf.DUMMYFUNCTION("""COMPUTED_VALUE"""),"ZAPI-74")</f>
        <v>ZAPI-74</v>
      </c>
      <c r="C429" s="26" t="str">
        <f>IFERROR(__xludf.DUMMYFUNCTION("""COMPUTED_VALUE"""),"Allow users to register for web meetings on anonymous pages")</f>
        <v>Allow users to register for web meetings on anonymous pages</v>
      </c>
      <c r="D429" s="28">
        <f>IFERROR(__xludf.DUMMYFUNCTION("""COMPUTED_VALUE"""),0.316666666666666)</f>
        <v>0.3166666667</v>
      </c>
      <c r="E429" s="29">
        <f>IFERROR(__xludf.DUMMYFUNCTION("""COMPUTED_VALUE"""),43999.0)</f>
        <v>43999</v>
      </c>
      <c r="F429" s="26" t="str">
        <f>IFERROR(__xludf.DUMMYFUNCTION("""COMPUTED_VALUE"""),"557058:3124a1f0-e92a-405c-93f2-c1d4e621bc77")</f>
        <v>557058:3124a1f0-e92a-405c-93f2-c1d4e621bc77</v>
      </c>
      <c r="G429" s="26" t="str">
        <f>IFERROR(__xludf.DUMMYFUNCTION("""COMPUTED_VALUE"""),"Trevor Coehoorn")</f>
        <v>Trevor Coehoorn</v>
      </c>
      <c r="H429" s="26" t="b">
        <v>0</v>
      </c>
    </row>
    <row r="430" hidden="1">
      <c r="A430" s="26" t="str">
        <f>VLOOKUP(B430,'2020 SRED (JIRA) - Issues and l'!$B:$C,2,FALSE)</f>
        <v>insite-event-SRED</v>
      </c>
      <c r="B430" s="27" t="str">
        <f>IFERROR(__xludf.DUMMYFUNCTION("""COMPUTED_VALUE"""),"ZAPI-67")</f>
        <v>ZAPI-67</v>
      </c>
      <c r="C430" s="26" t="str">
        <f>IFERROR(__xludf.DUMMYFUNCTION("""COMPUTED_VALUE"""),"Validation errors break form styling")</f>
        <v>Validation errors break form styling</v>
      </c>
      <c r="D430" s="28">
        <f>IFERROR(__xludf.DUMMYFUNCTION("""COMPUTED_VALUE"""),0.266666666666666)</f>
        <v>0.2666666667</v>
      </c>
      <c r="E430" s="29">
        <f>IFERROR(__xludf.DUMMYFUNCTION("""COMPUTED_VALUE"""),43999.0)</f>
        <v>43999</v>
      </c>
      <c r="F430" s="26" t="str">
        <f>IFERROR(__xludf.DUMMYFUNCTION("""COMPUTED_VALUE"""),"557058:3124a1f0-e92a-405c-93f2-c1d4e621bc77")</f>
        <v>557058:3124a1f0-e92a-405c-93f2-c1d4e621bc77</v>
      </c>
      <c r="G430" s="26" t="str">
        <f>IFERROR(__xludf.DUMMYFUNCTION("""COMPUTED_VALUE"""),"Trevor Coehoorn")</f>
        <v>Trevor Coehoorn</v>
      </c>
      <c r="H430" s="26" t="b">
        <v>0</v>
      </c>
    </row>
    <row r="431" hidden="1">
      <c r="A431" s="26" t="str">
        <f>VLOOKUP(B431,'2020 SRED (JIRA) - Issues and l'!$B:$C,2,FALSE)</f>
        <v>insite-event-SRED</v>
      </c>
      <c r="B431" s="27" t="str">
        <f>IFERROR(__xludf.DUMMYFUNCTION("""COMPUTED_VALUE"""),"ZAPI-73")</f>
        <v>ZAPI-73</v>
      </c>
      <c r="C431" s="26" t="str">
        <f>IFERROR(__xludf.DUMMYFUNCTION("""COMPUTED_VALUE"""),"Perform code review on the web meeting branch")</f>
        <v>Perform code review on the web meeting branch</v>
      </c>
      <c r="D431" s="28">
        <f>IFERROR(__xludf.DUMMYFUNCTION("""COMPUTED_VALUE"""),0.516666666666666)</f>
        <v>0.5166666667</v>
      </c>
      <c r="E431" s="29">
        <f>IFERROR(__xludf.DUMMYFUNCTION("""COMPUTED_VALUE"""),43999.0)</f>
        <v>43999</v>
      </c>
      <c r="F431" s="26" t="str">
        <f>IFERROR(__xludf.DUMMYFUNCTION("""COMPUTED_VALUE"""),"557058:3124a1f0-e92a-405c-93f2-c1d4e621bc77")</f>
        <v>557058:3124a1f0-e92a-405c-93f2-c1d4e621bc77</v>
      </c>
      <c r="G431" s="26" t="str">
        <f>IFERROR(__xludf.DUMMYFUNCTION("""COMPUTED_VALUE"""),"Trevor Coehoorn")</f>
        <v>Trevor Coehoorn</v>
      </c>
      <c r="H431" s="26" t="b">
        <v>0</v>
      </c>
    </row>
    <row r="432" hidden="1">
      <c r="A432" s="26" t="str">
        <f>VLOOKUP(B432,'2020 SRED (JIRA) - Issues and l'!$B:$C,2,FALSE)</f>
        <v>insite-event-SRED</v>
      </c>
      <c r="B432" s="27" t="str">
        <f>IFERROR(__xludf.DUMMYFUNCTION("""COMPUTED_VALUE"""),"ZAPI-54")</f>
        <v>ZAPI-54</v>
      </c>
      <c r="C432" s="26" t="str">
        <f>IFERROR(__xludf.DUMMYFUNCTION("""COMPUTED_VALUE"""),"Choose Zoom host account when creating meetings")</f>
        <v>Choose Zoom host account when creating meetings</v>
      </c>
      <c r="D432" s="28">
        <f>IFERROR(__xludf.DUMMYFUNCTION("""COMPUTED_VALUE"""),1.83333333333333)</f>
        <v>1.833333333</v>
      </c>
      <c r="E432" s="29">
        <f>IFERROR(__xludf.DUMMYFUNCTION("""COMPUTED_VALUE"""),43999.0)</f>
        <v>43999</v>
      </c>
      <c r="F432" s="26" t="str">
        <f>IFERROR(__xludf.DUMMYFUNCTION("""COMPUTED_VALUE"""),"557058:3124a1f0-e92a-405c-93f2-c1d4e621bc77")</f>
        <v>557058:3124a1f0-e92a-405c-93f2-c1d4e621bc77</v>
      </c>
      <c r="G432" s="26" t="str">
        <f>IFERROR(__xludf.DUMMYFUNCTION("""COMPUTED_VALUE"""),"Trevor Coehoorn")</f>
        <v>Trevor Coehoorn</v>
      </c>
      <c r="H432" s="26" t="b">
        <v>0</v>
      </c>
    </row>
    <row r="433" hidden="1">
      <c r="A433" s="26" t="str">
        <f>VLOOKUP(B433,'2020 SRED (JIRA) - Issues and l'!$B:$C,2,FALSE)</f>
        <v>insite-event-SRED</v>
      </c>
      <c r="B433" s="27" t="str">
        <f>IFERROR(__xludf.DUMMYFUNCTION("""COMPUTED_VALUE"""),"ZAPI-69")</f>
        <v>ZAPI-69</v>
      </c>
      <c r="C433" s="26" t="str">
        <f>IFERROR(__xludf.DUMMYFUNCTION("""COMPUTED_VALUE"""),"Add description below ""Users can join anonymously"" checkbox")</f>
        <v>Add description below "Users can join anonymously" checkbox</v>
      </c>
      <c r="D433" s="28">
        <f>IFERROR(__xludf.DUMMYFUNCTION("""COMPUTED_VALUE"""),0.05)</f>
        <v>0.05</v>
      </c>
      <c r="E433" s="29">
        <f>IFERROR(__xludf.DUMMYFUNCTION("""COMPUTED_VALUE"""),43999.0)</f>
        <v>43999</v>
      </c>
      <c r="F433" s="26" t="str">
        <f>IFERROR(__xludf.DUMMYFUNCTION("""COMPUTED_VALUE"""),"557058:3124a1f0-e92a-405c-93f2-c1d4e621bc77")</f>
        <v>557058:3124a1f0-e92a-405c-93f2-c1d4e621bc77</v>
      </c>
      <c r="G433" s="26" t="str">
        <f>IFERROR(__xludf.DUMMYFUNCTION("""COMPUTED_VALUE"""),"Trevor Coehoorn")</f>
        <v>Trevor Coehoorn</v>
      </c>
      <c r="H433" s="26" t="b">
        <v>0</v>
      </c>
    </row>
    <row r="434" hidden="1">
      <c r="A434" s="26" t="str">
        <f>VLOOKUP(B434,'2020 SRED (JIRA) - Issues and l'!$B:$C,2,FALSE)</f>
        <v>insite-event-SRED</v>
      </c>
      <c r="B434" s="27" t="str">
        <f>IFERROR(__xludf.DUMMYFUNCTION("""COMPUTED_VALUE"""),"ZAPI-34")</f>
        <v>ZAPI-34</v>
      </c>
      <c r="C434" s="26" t="str">
        <f>IFERROR(__xludf.DUMMYFUNCTION("""COMPUTED_VALUE"""),"Record web meeting attendance")</f>
        <v>Record web meeting attendance</v>
      </c>
      <c r="D434" s="28">
        <f>IFERROR(__xludf.DUMMYFUNCTION("""COMPUTED_VALUE"""),0.433333333333333)</f>
        <v>0.4333333333</v>
      </c>
      <c r="E434" s="29">
        <f>IFERROR(__xludf.DUMMYFUNCTION("""COMPUTED_VALUE"""),43999.0)</f>
        <v>43999</v>
      </c>
      <c r="F434" s="26" t="str">
        <f>IFERROR(__xludf.DUMMYFUNCTION("""COMPUTED_VALUE"""),"557058:3124a1f0-e92a-405c-93f2-c1d4e621bc77")</f>
        <v>557058:3124a1f0-e92a-405c-93f2-c1d4e621bc77</v>
      </c>
      <c r="G434" s="26" t="str">
        <f>IFERROR(__xludf.DUMMYFUNCTION("""COMPUTED_VALUE"""),"Trevor Coehoorn")</f>
        <v>Trevor Coehoorn</v>
      </c>
      <c r="H434" s="26" t="b">
        <v>0</v>
      </c>
    </row>
    <row r="435" hidden="1">
      <c r="A435" s="26" t="str">
        <f>VLOOKUP(B435,'2020 SRED (JIRA) - Issues and l'!$B:$C,2,FALSE)</f>
        <v>insite-event-SRED</v>
      </c>
      <c r="B435" s="27" t="str">
        <f>IFERROR(__xludf.DUMMYFUNCTION("""COMPUTED_VALUE"""),"ZAPI-40")</f>
        <v>ZAPI-40</v>
      </c>
      <c r="C435" s="26" t="str">
        <f>IFERROR(__xludf.DUMMYFUNCTION("""COMPUTED_VALUE"""),"Allow administrators to configure Zoom meeting settings")</f>
        <v>Allow administrators to configure Zoom meeting settings</v>
      </c>
      <c r="D435" s="28">
        <f>IFERROR(__xludf.DUMMYFUNCTION("""COMPUTED_VALUE"""),0.25)</f>
        <v>0.25</v>
      </c>
      <c r="E435" s="29">
        <f>IFERROR(__xludf.DUMMYFUNCTION("""COMPUTED_VALUE"""),43999.0)</f>
        <v>43999</v>
      </c>
      <c r="F435" s="26" t="str">
        <f>IFERROR(__xludf.DUMMYFUNCTION("""COMPUTED_VALUE"""),"557058:3124a1f0-e92a-405c-93f2-c1d4e621bc77")</f>
        <v>557058:3124a1f0-e92a-405c-93f2-c1d4e621bc77</v>
      </c>
      <c r="G435" s="26" t="str">
        <f>IFERROR(__xludf.DUMMYFUNCTION("""COMPUTED_VALUE"""),"Trevor Coehoorn")</f>
        <v>Trevor Coehoorn</v>
      </c>
      <c r="H435" s="26" t="b">
        <v>0</v>
      </c>
    </row>
    <row r="436" hidden="1">
      <c r="A436" s="26" t="str">
        <f>VLOOKUP(B436,'2020 SRED (JIRA) - Issues and l'!$B:$C,2,FALSE)</f>
        <v>insite-event-SRED</v>
      </c>
      <c r="B436" s="27" t="str">
        <f>IFERROR(__xludf.DUMMYFUNCTION("""COMPUTED_VALUE"""),"ZAPI-71")</f>
        <v>ZAPI-71</v>
      </c>
      <c r="C436" s="26" t="str">
        <f>IFERROR(__xludf.DUMMYFUNCTION("""COMPUTED_VALUE"""),"Zoom meetings should be deleted when nodes are deleted")</f>
        <v>Zoom meetings should be deleted when nodes are deleted</v>
      </c>
      <c r="D436" s="28">
        <f>IFERROR(__xludf.DUMMYFUNCTION("""COMPUTED_VALUE"""),0.55)</f>
        <v>0.55</v>
      </c>
      <c r="E436" s="29">
        <f>IFERROR(__xludf.DUMMYFUNCTION("""COMPUTED_VALUE"""),43999.0)</f>
        <v>43999</v>
      </c>
      <c r="F436" s="26" t="str">
        <f>IFERROR(__xludf.DUMMYFUNCTION("""COMPUTED_VALUE"""),"557058:3124a1f0-e92a-405c-93f2-c1d4e621bc77")</f>
        <v>557058:3124a1f0-e92a-405c-93f2-c1d4e621bc77</v>
      </c>
      <c r="G436" s="26" t="str">
        <f>IFERROR(__xludf.DUMMYFUNCTION("""COMPUTED_VALUE"""),"Trevor Coehoorn")</f>
        <v>Trevor Coehoorn</v>
      </c>
      <c r="H436" s="26" t="b">
        <v>0</v>
      </c>
    </row>
    <row r="437" hidden="1">
      <c r="A437" s="26" t="str">
        <f>VLOOKUP(B437,'2020 SRED (JIRA) - Issues and l'!$B:$C,2,FALSE)</f>
        <v>insite-event-SRED</v>
      </c>
      <c r="B437" s="27" t="str">
        <f>IFERROR(__xludf.DUMMYFUNCTION("""COMPUTED_VALUE"""),"ZAPI-1")</f>
        <v>ZAPI-1</v>
      </c>
      <c r="C437" s="26" t="str">
        <f>IFERROR(__xludf.DUMMYFUNCTION("""COMPUTED_VALUE"""),"Zoom API v1 (MVP)")</f>
        <v>Zoom API v1 (MVP)</v>
      </c>
      <c r="D437" s="28">
        <f>IFERROR(__xludf.DUMMYFUNCTION("""COMPUTED_VALUE"""),0.516666666666666)</f>
        <v>0.5166666667</v>
      </c>
      <c r="E437" s="29">
        <f>IFERROR(__xludf.DUMMYFUNCTION("""COMPUTED_VALUE"""),43999.0)</f>
        <v>43999</v>
      </c>
      <c r="F437" s="26" t="str">
        <f>IFERROR(__xludf.DUMMYFUNCTION("""COMPUTED_VALUE"""),"557058:3124a1f0-e92a-405c-93f2-c1d4e621bc77")</f>
        <v>557058:3124a1f0-e92a-405c-93f2-c1d4e621bc77</v>
      </c>
      <c r="G437" s="26" t="str">
        <f>IFERROR(__xludf.DUMMYFUNCTION("""COMPUTED_VALUE"""),"Trevor Coehoorn")</f>
        <v>Trevor Coehoorn</v>
      </c>
      <c r="H437" s="26" t="b">
        <v>0</v>
      </c>
    </row>
    <row r="438" hidden="1">
      <c r="A438" s="26" t="str">
        <f>VLOOKUP(B438,'2020 SRED (JIRA) - Issues and l'!$B:$C,2,FALSE)</f>
        <v>insite-workflow-SRED</v>
      </c>
      <c r="B438" s="27" t="str">
        <f>IFERROR(__xludf.DUMMYFUNCTION("""COMPUTED_VALUE"""),"APPS-72")</f>
        <v>APPS-72</v>
      </c>
      <c r="C438" s="26" t="str">
        <f>IFERROR(__xludf.DUMMYFUNCTION("""COMPUTED_VALUE"""),"Training App (Quang)")</f>
        <v>Training App (Quang)</v>
      </c>
      <c r="D438" s="28">
        <f>IFERROR(__xludf.DUMMYFUNCTION("""COMPUTED_VALUE"""),5.5)</f>
        <v>5.5</v>
      </c>
      <c r="E438" s="29">
        <f>IFERROR(__xludf.DUMMYFUNCTION("""COMPUTED_VALUE"""),43999.0)</f>
        <v>43999</v>
      </c>
      <c r="F438" s="26" t="str">
        <f>IFERROR(__xludf.DUMMYFUNCTION("""COMPUTED_VALUE"""),"5ee7b6ce868ce30ac49e2521")</f>
        <v>5ee7b6ce868ce30ac49e2521</v>
      </c>
      <c r="G438" s="26" t="str">
        <f>IFERROR(__xludf.DUMMYFUNCTION("""COMPUTED_VALUE"""),"Bryan Le")</f>
        <v>Bryan Le</v>
      </c>
      <c r="H438" s="26" t="b">
        <v>0</v>
      </c>
    </row>
    <row r="439" hidden="1">
      <c r="A439" s="26" t="str">
        <f>VLOOKUP(B439,'2020 SRED (JIRA) - Issues and l'!$B:$C,2,FALSE)</f>
        <v>insite-workflow-SRED</v>
      </c>
      <c r="B439" s="27" t="str">
        <f>IFERROR(__xludf.DUMMYFUNCTION("""COMPUTED_VALUE"""),"APPS-73")</f>
        <v>APPS-73</v>
      </c>
      <c r="C439" s="26" t="str">
        <f>IFERROR(__xludf.DUMMYFUNCTION("""COMPUTED_VALUE"""),"Training App (Jessica)")</f>
        <v>Training App (Jessica)</v>
      </c>
      <c r="D439" s="28">
        <f>IFERROR(__xludf.DUMMYFUNCTION("""COMPUTED_VALUE"""),7.0)</f>
        <v>7</v>
      </c>
      <c r="E439" s="29">
        <f>IFERROR(__xludf.DUMMYFUNCTION("""COMPUTED_VALUE"""),43999.0)</f>
        <v>43999</v>
      </c>
      <c r="F439" s="26" t="str">
        <f>IFERROR(__xludf.DUMMYFUNCTION("""COMPUTED_VALUE"""),"5ee7b6cf02b4400ac4b65399")</f>
        <v>5ee7b6cf02b4400ac4b65399</v>
      </c>
      <c r="G439" s="26" t="str">
        <f>IFERROR(__xludf.DUMMYFUNCTION("""COMPUTED_VALUE"""),"Jessica Obando")</f>
        <v>Jessica Obando</v>
      </c>
      <c r="H439" s="26" t="b">
        <v>0</v>
      </c>
    </row>
    <row r="440" hidden="1">
      <c r="A440" s="26" t="str">
        <f>VLOOKUP(B440,'2020 SRED (JIRA) - Issues and l'!$B:$C,2,FALSE)</f>
        <v>insite-event-SRED</v>
      </c>
      <c r="B440" s="27" t="str">
        <f>IFERROR(__xludf.DUMMYFUNCTION("""COMPUTED_VALUE"""),"ZAPI-72")</f>
        <v>ZAPI-72</v>
      </c>
      <c r="C440" s="26" t="str">
        <f>IFERROR(__xludf.DUMMYFUNCTION("""COMPUTED_VALUE"""),"Merge master branch changes into web meeting branch")</f>
        <v>Merge master branch changes into web meeting branch</v>
      </c>
      <c r="D440" s="28">
        <f>IFERROR(__xludf.DUMMYFUNCTION("""COMPUTED_VALUE"""),0.133333333333333)</f>
        <v>0.1333333333</v>
      </c>
      <c r="E440" s="29">
        <f>IFERROR(__xludf.DUMMYFUNCTION("""COMPUTED_VALUE"""),44000.0)</f>
        <v>44000</v>
      </c>
      <c r="F440" s="26" t="str">
        <f>IFERROR(__xludf.DUMMYFUNCTION("""COMPUTED_VALUE"""),"557058:3124a1f0-e92a-405c-93f2-c1d4e621bc77")</f>
        <v>557058:3124a1f0-e92a-405c-93f2-c1d4e621bc77</v>
      </c>
      <c r="G440" s="26" t="str">
        <f>IFERROR(__xludf.DUMMYFUNCTION("""COMPUTED_VALUE"""),"Trevor Coehoorn")</f>
        <v>Trevor Coehoorn</v>
      </c>
      <c r="H440" s="26" t="b">
        <v>0</v>
      </c>
    </row>
    <row r="441" hidden="1">
      <c r="A441" s="26" t="str">
        <f>VLOOKUP(B441,'2020 SRED (JIRA) - Issues and l'!$B:$C,2,FALSE)</f>
        <v>insite-event-SRED</v>
      </c>
      <c r="B441" s="27" t="str">
        <f>IFERROR(__xludf.DUMMYFUNCTION("""COMPUTED_VALUE"""),"ZAPI-67")</f>
        <v>ZAPI-67</v>
      </c>
      <c r="C441" s="26" t="str">
        <f>IFERROR(__xludf.DUMMYFUNCTION("""COMPUTED_VALUE"""),"Validation errors break form styling")</f>
        <v>Validation errors break form styling</v>
      </c>
      <c r="D441" s="28">
        <f>IFERROR(__xludf.DUMMYFUNCTION("""COMPUTED_VALUE"""),0.216666666666666)</f>
        <v>0.2166666667</v>
      </c>
      <c r="E441" s="29">
        <f>IFERROR(__xludf.DUMMYFUNCTION("""COMPUTED_VALUE"""),44000.0)</f>
        <v>44000</v>
      </c>
      <c r="F441" s="26" t="str">
        <f>IFERROR(__xludf.DUMMYFUNCTION("""COMPUTED_VALUE"""),"557058:3124a1f0-e92a-405c-93f2-c1d4e621bc77")</f>
        <v>557058:3124a1f0-e92a-405c-93f2-c1d4e621bc77</v>
      </c>
      <c r="G441" s="26" t="str">
        <f>IFERROR(__xludf.DUMMYFUNCTION("""COMPUTED_VALUE"""),"Trevor Coehoorn")</f>
        <v>Trevor Coehoorn</v>
      </c>
      <c r="H441" s="26" t="b">
        <v>0</v>
      </c>
    </row>
    <row r="442" hidden="1">
      <c r="A442" s="26" t="str">
        <f>VLOOKUP(B442,'2020 SRED (JIRA) - Issues and l'!$B:$C,2,FALSE)</f>
        <v>insite-event-SRED</v>
      </c>
      <c r="B442" s="27" t="str">
        <f>IFERROR(__xludf.DUMMYFUNCTION("""COMPUTED_VALUE"""),"ZAPI-73")</f>
        <v>ZAPI-73</v>
      </c>
      <c r="C442" s="26" t="str">
        <f>IFERROR(__xludf.DUMMYFUNCTION("""COMPUTED_VALUE"""),"Perform code review on the web meeting branch")</f>
        <v>Perform code review on the web meeting branch</v>
      </c>
      <c r="D442" s="28">
        <f>IFERROR(__xludf.DUMMYFUNCTION("""COMPUTED_VALUE"""),0.516666666666666)</f>
        <v>0.5166666667</v>
      </c>
      <c r="E442" s="29">
        <f>IFERROR(__xludf.DUMMYFUNCTION("""COMPUTED_VALUE"""),44000.0)</f>
        <v>44000</v>
      </c>
      <c r="F442" s="26" t="str">
        <f>IFERROR(__xludf.DUMMYFUNCTION("""COMPUTED_VALUE"""),"557058:3124a1f0-e92a-405c-93f2-c1d4e621bc77")</f>
        <v>557058:3124a1f0-e92a-405c-93f2-c1d4e621bc77</v>
      </c>
      <c r="G442" s="26" t="str">
        <f>IFERROR(__xludf.DUMMYFUNCTION("""COMPUTED_VALUE"""),"Trevor Coehoorn")</f>
        <v>Trevor Coehoorn</v>
      </c>
      <c r="H442" s="26" t="b">
        <v>0</v>
      </c>
    </row>
    <row r="443" hidden="1">
      <c r="A443" s="26" t="str">
        <f>VLOOKUP(B443,'2020 SRED (JIRA) - Issues and l'!$B:$C,2,FALSE)</f>
        <v>portal-builder-SRED</v>
      </c>
      <c r="B443" s="27" t="str">
        <f>IFERROR(__xludf.DUMMYFUNCTION("""COMPUTED_VALUE"""),"ITP-1847")</f>
        <v>ITP-1847</v>
      </c>
      <c r="C443" s="26" t="str">
        <f>IFERROR(__xludf.DUMMYFUNCTION("""COMPUTED_VALUE"""),"Add reply count and login number to the touchpoint statistics")</f>
        <v>Add reply count and login number to the touchpoint statistics</v>
      </c>
      <c r="D443" s="28">
        <f>IFERROR(__xludf.DUMMYFUNCTION("""COMPUTED_VALUE"""),0.0666666666666666)</f>
        <v>0.06666666667</v>
      </c>
      <c r="E443" s="29">
        <f>IFERROR(__xludf.DUMMYFUNCTION("""COMPUTED_VALUE"""),44000.0)</f>
        <v>44000</v>
      </c>
      <c r="F443" s="26" t="str">
        <f>IFERROR(__xludf.DUMMYFUNCTION("""COMPUTED_VALUE"""),"557058:3124a1f0-e92a-405c-93f2-c1d4e621bc77")</f>
        <v>557058:3124a1f0-e92a-405c-93f2-c1d4e621bc77</v>
      </c>
      <c r="G443" s="26" t="str">
        <f>IFERROR(__xludf.DUMMYFUNCTION("""COMPUTED_VALUE"""),"Trevor Coehoorn")</f>
        <v>Trevor Coehoorn</v>
      </c>
      <c r="H443" s="26" t="b">
        <v>0</v>
      </c>
    </row>
    <row r="444" hidden="1">
      <c r="A444" s="26" t="str">
        <f>VLOOKUP(B444,'2020 SRED (JIRA) - Issues and l'!$B:$C,2,FALSE)</f>
        <v>insite-event-SRED</v>
      </c>
      <c r="B444" s="27" t="str">
        <f>IFERROR(__xludf.DUMMYFUNCTION("""COMPUTED_VALUE"""),"ZAPI-77")</f>
        <v>ZAPI-77</v>
      </c>
      <c r="C444" s="26" t="str">
        <f>IFERROR(__xludf.DUMMYFUNCTION("""COMPUTED_VALUE"""),"Set up default Zoom and Web Meeting configuration")</f>
        <v>Set up default Zoom and Web Meeting configuration</v>
      </c>
      <c r="D444" s="28">
        <f>IFERROR(__xludf.DUMMYFUNCTION("""COMPUTED_VALUE"""),0.116666666666666)</f>
        <v>0.1166666667</v>
      </c>
      <c r="E444" s="29">
        <f>IFERROR(__xludf.DUMMYFUNCTION("""COMPUTED_VALUE"""),44000.0)</f>
        <v>44000</v>
      </c>
      <c r="F444" s="26" t="str">
        <f>IFERROR(__xludf.DUMMYFUNCTION("""COMPUTED_VALUE"""),"557058:3124a1f0-e92a-405c-93f2-c1d4e621bc77")</f>
        <v>557058:3124a1f0-e92a-405c-93f2-c1d4e621bc77</v>
      </c>
      <c r="G444" s="26" t="str">
        <f>IFERROR(__xludf.DUMMYFUNCTION("""COMPUTED_VALUE"""),"Trevor Coehoorn")</f>
        <v>Trevor Coehoorn</v>
      </c>
      <c r="H444" s="26" t="b">
        <v>0</v>
      </c>
    </row>
    <row r="445" hidden="1">
      <c r="A445" s="26" t="str">
        <f>VLOOKUP(B445,'2020 SRED (JIRA) - Issues and l'!$B:$C,2,FALSE)</f>
        <v>insite-event-SRED</v>
      </c>
      <c r="B445" s="27" t="str">
        <f>IFERROR(__xludf.DUMMYFUNCTION("""COMPUTED_VALUE"""),"ZAPI-1")</f>
        <v>ZAPI-1</v>
      </c>
      <c r="C445" s="26" t="str">
        <f>IFERROR(__xludf.DUMMYFUNCTION("""COMPUTED_VALUE"""),"Zoom API v1 (MVP)")</f>
        <v>Zoom API v1 (MVP)</v>
      </c>
      <c r="D445" s="28">
        <f>IFERROR(__xludf.DUMMYFUNCTION("""COMPUTED_VALUE"""),0.733333333333333)</f>
        <v>0.7333333333</v>
      </c>
      <c r="E445" s="29">
        <f>IFERROR(__xludf.DUMMYFUNCTION("""COMPUTED_VALUE"""),44000.0)</f>
        <v>44000</v>
      </c>
      <c r="F445" s="26" t="str">
        <f>IFERROR(__xludf.DUMMYFUNCTION("""COMPUTED_VALUE"""),"557058:3124a1f0-e92a-405c-93f2-c1d4e621bc77")</f>
        <v>557058:3124a1f0-e92a-405c-93f2-c1d4e621bc77</v>
      </c>
      <c r="G445" s="26" t="str">
        <f>IFERROR(__xludf.DUMMYFUNCTION("""COMPUTED_VALUE"""),"Trevor Coehoorn")</f>
        <v>Trevor Coehoorn</v>
      </c>
      <c r="H445" s="26" t="b">
        <v>0</v>
      </c>
    </row>
    <row r="446" hidden="1">
      <c r="A446" s="26" t="str">
        <f>VLOOKUP(B446,'2020 SRED (JIRA) - Issues and l'!$B:$C,2,FALSE)</f>
        <v>insite-workflow-SRED</v>
      </c>
      <c r="B446" s="27" t="str">
        <f>IFERROR(__xludf.DUMMYFUNCTION("""COMPUTED_VALUE"""),"APPS-76")</f>
        <v>APPS-76</v>
      </c>
      <c r="C446" s="26" t="str">
        <f>IFERROR(__xludf.DUMMYFUNCTION("""COMPUTED_VALUE"""),"Proposal Builder Test App")</f>
        <v>Proposal Builder Test App</v>
      </c>
      <c r="D446" s="28">
        <f>IFERROR(__xludf.DUMMYFUNCTION("""COMPUTED_VALUE"""),7.0)</f>
        <v>7</v>
      </c>
      <c r="E446" s="29">
        <f>IFERROR(__xludf.DUMMYFUNCTION("""COMPUTED_VALUE"""),44000.0)</f>
        <v>44000</v>
      </c>
      <c r="F446" s="26" t="str">
        <f>IFERROR(__xludf.DUMMYFUNCTION("""COMPUTED_VALUE"""),"5ee7b6ce868ce30ac49e2521")</f>
        <v>5ee7b6ce868ce30ac49e2521</v>
      </c>
      <c r="G446" s="26" t="str">
        <f>IFERROR(__xludf.DUMMYFUNCTION("""COMPUTED_VALUE"""),"Bryan Le")</f>
        <v>Bryan Le</v>
      </c>
      <c r="H446" s="26" t="b">
        <v>0</v>
      </c>
    </row>
    <row r="447" hidden="1">
      <c r="A447" s="26" t="str">
        <f>VLOOKUP(B447,'2020 SRED (JIRA) - Issues and l'!$B:$C,2,FALSE)</f>
        <v>insite-workflow-SRED</v>
      </c>
      <c r="B447" s="27" t="str">
        <f>IFERROR(__xludf.DUMMYFUNCTION("""COMPUTED_VALUE"""),"APPS-76")</f>
        <v>APPS-76</v>
      </c>
      <c r="C447" s="26" t="str">
        <f>IFERROR(__xludf.DUMMYFUNCTION("""COMPUTED_VALUE"""),"Proposal Builder Test App")</f>
        <v>Proposal Builder Test App</v>
      </c>
      <c r="D447" s="28">
        <f>IFERROR(__xludf.DUMMYFUNCTION("""COMPUTED_VALUE"""),7.0)</f>
        <v>7</v>
      </c>
      <c r="E447" s="29">
        <f>IFERROR(__xludf.DUMMYFUNCTION("""COMPUTED_VALUE"""),44000.0)</f>
        <v>44000</v>
      </c>
      <c r="F447" s="26" t="str">
        <f>IFERROR(__xludf.DUMMYFUNCTION("""COMPUTED_VALUE"""),"5ee7b6cf02b4400ac4b65399")</f>
        <v>5ee7b6cf02b4400ac4b65399</v>
      </c>
      <c r="G447" s="26" t="str">
        <f>IFERROR(__xludf.DUMMYFUNCTION("""COMPUTED_VALUE"""),"Jessica Obando")</f>
        <v>Jessica Obando</v>
      </c>
      <c r="H447" s="26" t="b">
        <v>0</v>
      </c>
    </row>
    <row r="448" hidden="1">
      <c r="A448" s="26" t="str">
        <f>VLOOKUP(B448,'2020 SRED (JIRA) - Issues and l'!$B:$C,2,FALSE)</f>
        <v>insite-event-SRED</v>
      </c>
      <c r="B448" s="27" t="str">
        <f>IFERROR(__xludf.DUMMYFUNCTION("""COMPUTED_VALUE"""),"ZAPI-78")</f>
        <v>ZAPI-78</v>
      </c>
      <c r="C448" s="26" t="str">
        <f>IFERROR(__xludf.DUMMYFUNCTION("""COMPUTED_VALUE"""),"Deploy Web Meetings v1")</f>
        <v>Deploy Web Meetings v1</v>
      </c>
      <c r="D448" s="28">
        <f>IFERROR(__xludf.DUMMYFUNCTION("""COMPUTED_VALUE"""),0.25)</f>
        <v>0.25</v>
      </c>
      <c r="E448" s="29">
        <f>IFERROR(__xludf.DUMMYFUNCTION("""COMPUTED_VALUE"""),44001.0)</f>
        <v>44001</v>
      </c>
      <c r="F448" s="26" t="str">
        <f>IFERROR(__xludf.DUMMYFUNCTION("""COMPUTED_VALUE"""),"557058:3124a1f0-e92a-405c-93f2-c1d4e621bc77")</f>
        <v>557058:3124a1f0-e92a-405c-93f2-c1d4e621bc77</v>
      </c>
      <c r="G448" s="26" t="str">
        <f>IFERROR(__xludf.DUMMYFUNCTION("""COMPUTED_VALUE"""),"Trevor Coehoorn")</f>
        <v>Trevor Coehoorn</v>
      </c>
      <c r="H448" s="26" t="b">
        <v>0</v>
      </c>
    </row>
    <row r="449" hidden="1">
      <c r="A449" s="26" t="str">
        <f>VLOOKUP(B449,'2020 SRED (JIRA) - Issues and l'!$B:$C,2,FALSE)</f>
        <v>insite-event-SRED</v>
      </c>
      <c r="B449" s="27" t="str">
        <f>IFERROR(__xludf.DUMMYFUNCTION("""COMPUTED_VALUE"""),"ZAPI-77")</f>
        <v>ZAPI-77</v>
      </c>
      <c r="C449" s="26" t="str">
        <f>IFERROR(__xludf.DUMMYFUNCTION("""COMPUTED_VALUE"""),"Set up default Zoom and Web Meeting configuration")</f>
        <v>Set up default Zoom and Web Meeting configuration</v>
      </c>
      <c r="D449" s="28">
        <f>IFERROR(__xludf.DUMMYFUNCTION("""COMPUTED_VALUE"""),1.66666666666666)</f>
        <v>1.666666667</v>
      </c>
      <c r="E449" s="29">
        <f>IFERROR(__xludf.DUMMYFUNCTION("""COMPUTED_VALUE"""),44001.0)</f>
        <v>44001</v>
      </c>
      <c r="F449" s="26" t="str">
        <f>IFERROR(__xludf.DUMMYFUNCTION("""COMPUTED_VALUE"""),"557058:3124a1f0-e92a-405c-93f2-c1d4e621bc77")</f>
        <v>557058:3124a1f0-e92a-405c-93f2-c1d4e621bc77</v>
      </c>
      <c r="G449" s="26" t="str">
        <f>IFERROR(__xludf.DUMMYFUNCTION("""COMPUTED_VALUE"""),"Trevor Coehoorn")</f>
        <v>Trevor Coehoorn</v>
      </c>
      <c r="H449" s="26" t="b">
        <v>0</v>
      </c>
    </row>
    <row r="450" hidden="1">
      <c r="A450" s="26" t="str">
        <f>VLOOKUP(B450,'2020 SRED (JIRA) - Issues and l'!$B:$C,2,FALSE)</f>
        <v>portal-builder-SRED</v>
      </c>
      <c r="B450" s="27" t="str">
        <f>IFERROR(__xludf.DUMMYFUNCTION("""COMPUTED_VALUE"""),"ITP-1847")</f>
        <v>ITP-1847</v>
      </c>
      <c r="C450" s="26" t="str">
        <f>IFERROR(__xludf.DUMMYFUNCTION("""COMPUTED_VALUE"""),"Add reply count and login number to the touchpoint statistics")</f>
        <v>Add reply count and login number to the touchpoint statistics</v>
      </c>
      <c r="D450" s="28">
        <f>IFERROR(__xludf.DUMMYFUNCTION("""COMPUTED_VALUE"""),2.15)</f>
        <v>2.15</v>
      </c>
      <c r="E450" s="29">
        <f>IFERROR(__xludf.DUMMYFUNCTION("""COMPUTED_VALUE"""),44001.0)</f>
        <v>44001</v>
      </c>
      <c r="F450" s="26" t="str">
        <f>IFERROR(__xludf.DUMMYFUNCTION("""COMPUTED_VALUE"""),"557058:3124a1f0-e92a-405c-93f2-c1d4e621bc77")</f>
        <v>557058:3124a1f0-e92a-405c-93f2-c1d4e621bc77</v>
      </c>
      <c r="G450" s="26" t="str">
        <f>IFERROR(__xludf.DUMMYFUNCTION("""COMPUTED_VALUE"""),"Trevor Coehoorn")</f>
        <v>Trevor Coehoorn</v>
      </c>
      <c r="H450" s="26" t="b">
        <v>0</v>
      </c>
    </row>
    <row r="451" hidden="1">
      <c r="A451" s="26" t="str">
        <f>VLOOKUP(B451,'2020 SRED (JIRA) - Issues and l'!$B:$C,2,FALSE)</f>
        <v>insite-event-SRED</v>
      </c>
      <c r="B451" s="27" t="str">
        <f>IFERROR(__xludf.DUMMYFUNCTION("""COMPUTED_VALUE"""),"ZAPI-1")</f>
        <v>ZAPI-1</v>
      </c>
      <c r="C451" s="26" t="str">
        <f>IFERROR(__xludf.DUMMYFUNCTION("""COMPUTED_VALUE"""),"Zoom API v1 (MVP)")</f>
        <v>Zoom API v1 (MVP)</v>
      </c>
      <c r="D451" s="28">
        <f>IFERROR(__xludf.DUMMYFUNCTION("""COMPUTED_VALUE"""),0.2)</f>
        <v>0.2</v>
      </c>
      <c r="E451" s="29">
        <f>IFERROR(__xludf.DUMMYFUNCTION("""COMPUTED_VALUE"""),44001.0)</f>
        <v>44001</v>
      </c>
      <c r="F451" s="26" t="str">
        <f>IFERROR(__xludf.DUMMYFUNCTION("""COMPUTED_VALUE"""),"557058:3124a1f0-e92a-405c-93f2-c1d4e621bc77")</f>
        <v>557058:3124a1f0-e92a-405c-93f2-c1d4e621bc77</v>
      </c>
      <c r="G451" s="26" t="str">
        <f>IFERROR(__xludf.DUMMYFUNCTION("""COMPUTED_VALUE"""),"Trevor Coehoorn")</f>
        <v>Trevor Coehoorn</v>
      </c>
      <c r="H451" s="26" t="b">
        <v>0</v>
      </c>
    </row>
    <row r="452" hidden="1">
      <c r="A452" s="26" t="str">
        <f>VLOOKUP(B452,'2020 SRED (JIRA) - Issues and l'!$B:$C,2,FALSE)</f>
        <v>insite-event-SRED</v>
      </c>
      <c r="B452" s="27" t="str">
        <f>IFERROR(__xludf.DUMMYFUNCTION("""COMPUTED_VALUE"""),"ZAPI-73")</f>
        <v>ZAPI-73</v>
      </c>
      <c r="C452" s="26" t="str">
        <f>IFERROR(__xludf.DUMMYFUNCTION("""COMPUTED_VALUE"""),"Perform code review on the web meeting branch")</f>
        <v>Perform code review on the web meeting branch</v>
      </c>
      <c r="D452" s="28">
        <f>IFERROR(__xludf.DUMMYFUNCTION("""COMPUTED_VALUE"""),0.633333333333333)</f>
        <v>0.6333333333</v>
      </c>
      <c r="E452" s="29">
        <f>IFERROR(__xludf.DUMMYFUNCTION("""COMPUTED_VALUE"""),44001.0)</f>
        <v>44001</v>
      </c>
      <c r="F452" s="26" t="str">
        <f>IFERROR(__xludf.DUMMYFUNCTION("""COMPUTED_VALUE"""),"557058:3124a1f0-e92a-405c-93f2-c1d4e621bc77")</f>
        <v>557058:3124a1f0-e92a-405c-93f2-c1d4e621bc77</v>
      </c>
      <c r="G452" s="26" t="str">
        <f>IFERROR(__xludf.DUMMYFUNCTION("""COMPUTED_VALUE"""),"Trevor Coehoorn")</f>
        <v>Trevor Coehoorn</v>
      </c>
      <c r="H452" s="26" t="b">
        <v>0</v>
      </c>
    </row>
    <row r="453" hidden="1">
      <c r="A453" s="26" t="str">
        <f>VLOOKUP(B453,'2020 SRED (JIRA) - Issues and l'!$B:$C,2,FALSE)</f>
        <v>insite-workflow-SRED</v>
      </c>
      <c r="B453" s="27" t="str">
        <f>IFERROR(__xludf.DUMMYFUNCTION("""COMPUTED_VALUE"""),"APPS-72")</f>
        <v>APPS-72</v>
      </c>
      <c r="C453" s="26" t="str">
        <f>IFERROR(__xludf.DUMMYFUNCTION("""COMPUTED_VALUE"""),"Training App (Quang)")</f>
        <v>Training App (Quang)</v>
      </c>
      <c r="D453" s="28">
        <f>IFERROR(__xludf.DUMMYFUNCTION("""COMPUTED_VALUE"""),6.5)</f>
        <v>6.5</v>
      </c>
      <c r="E453" s="29">
        <f>IFERROR(__xludf.DUMMYFUNCTION("""COMPUTED_VALUE"""),44001.0)</f>
        <v>44001</v>
      </c>
      <c r="F453" s="26" t="str">
        <f>IFERROR(__xludf.DUMMYFUNCTION("""COMPUTED_VALUE"""),"5ee7b6ce868ce30ac49e2521")</f>
        <v>5ee7b6ce868ce30ac49e2521</v>
      </c>
      <c r="G453" s="26" t="str">
        <f>IFERROR(__xludf.DUMMYFUNCTION("""COMPUTED_VALUE"""),"Bryan Le")</f>
        <v>Bryan Le</v>
      </c>
      <c r="H453" s="26" t="b">
        <v>0</v>
      </c>
    </row>
    <row r="454" hidden="1">
      <c r="A454" s="26" t="str">
        <f>VLOOKUP(B454,'2020 SRED (JIRA) - Issues and l'!$B:$C,2,FALSE)</f>
        <v>insite-workflow-SRED</v>
      </c>
      <c r="B454" s="27" t="str">
        <f>IFERROR(__xludf.DUMMYFUNCTION("""COMPUTED_VALUE"""),"APPS-75")</f>
        <v>APPS-75</v>
      </c>
      <c r="C454" s="26" t="str">
        <f>IFERROR(__xludf.DUMMYFUNCTION("""COMPUTED_VALUE"""),"Branding review")</f>
        <v>Branding review</v>
      </c>
      <c r="D454" s="28">
        <f>IFERROR(__xludf.DUMMYFUNCTION("""COMPUTED_VALUE"""),1.0)</f>
        <v>1</v>
      </c>
      <c r="E454" s="29">
        <f>IFERROR(__xludf.DUMMYFUNCTION("""COMPUTED_VALUE"""),44001.0)</f>
        <v>44001</v>
      </c>
      <c r="F454" s="26" t="str">
        <f>IFERROR(__xludf.DUMMYFUNCTION("""COMPUTED_VALUE"""),"5ee7b6cf02b4400ac4b65399")</f>
        <v>5ee7b6cf02b4400ac4b65399</v>
      </c>
      <c r="G454" s="26" t="str">
        <f>IFERROR(__xludf.DUMMYFUNCTION("""COMPUTED_VALUE"""),"Jessica Obando")</f>
        <v>Jessica Obando</v>
      </c>
      <c r="H454" s="26" t="b">
        <v>0</v>
      </c>
    </row>
    <row r="455" hidden="1">
      <c r="A455" s="26" t="str">
        <f>VLOOKUP(B455,'2020 SRED (JIRA) - Issues and l'!$B:$C,2,FALSE)</f>
        <v>insite-workflow-SRED</v>
      </c>
      <c r="B455" s="27" t="str">
        <f>IFERROR(__xludf.DUMMYFUNCTION("""COMPUTED_VALUE"""),"APPS-74")</f>
        <v>APPS-74</v>
      </c>
      <c r="C455" s="26" t="str">
        <f>IFERROR(__xludf.DUMMYFUNCTION("""COMPUTED_VALUE"""),"Policy review")</f>
        <v>Policy review</v>
      </c>
      <c r="D455" s="28">
        <f>IFERROR(__xludf.DUMMYFUNCTION("""COMPUTED_VALUE"""),2.0)</f>
        <v>2</v>
      </c>
      <c r="E455" s="29">
        <f>IFERROR(__xludf.DUMMYFUNCTION("""COMPUTED_VALUE"""),44001.0)</f>
        <v>44001</v>
      </c>
      <c r="F455" s="26" t="str">
        <f>IFERROR(__xludf.DUMMYFUNCTION("""COMPUTED_VALUE"""),"5ee7b6cf02b4400ac4b65399")</f>
        <v>5ee7b6cf02b4400ac4b65399</v>
      </c>
      <c r="G455" s="26" t="str">
        <f>IFERROR(__xludf.DUMMYFUNCTION("""COMPUTED_VALUE"""),"Jessica Obando")</f>
        <v>Jessica Obando</v>
      </c>
      <c r="H455" s="26" t="b">
        <v>0</v>
      </c>
    </row>
    <row r="456" hidden="1">
      <c r="A456" s="26" t="str">
        <f>VLOOKUP(B456,'2020 SRED (JIRA) - Issues and l'!$B:$C,2,FALSE)</f>
        <v>insite-workflow-SRED</v>
      </c>
      <c r="B456" s="27" t="str">
        <f>IFERROR(__xludf.DUMMYFUNCTION("""COMPUTED_VALUE"""),"APPS-76")</f>
        <v>APPS-76</v>
      </c>
      <c r="C456" s="26" t="str">
        <f>IFERROR(__xludf.DUMMYFUNCTION("""COMPUTED_VALUE"""),"Proposal Builder Test App")</f>
        <v>Proposal Builder Test App</v>
      </c>
      <c r="D456" s="28">
        <f>IFERROR(__xludf.DUMMYFUNCTION("""COMPUTED_VALUE"""),8.0)</f>
        <v>8</v>
      </c>
      <c r="E456" s="29">
        <f>IFERROR(__xludf.DUMMYFUNCTION("""COMPUTED_VALUE"""),44001.0)</f>
        <v>44001</v>
      </c>
      <c r="F456" s="26" t="str">
        <f>IFERROR(__xludf.DUMMYFUNCTION("""COMPUTED_VALUE"""),"5ee7b6cf02b4400ac4b65399")</f>
        <v>5ee7b6cf02b4400ac4b65399</v>
      </c>
      <c r="G456" s="26" t="str">
        <f>IFERROR(__xludf.DUMMYFUNCTION("""COMPUTED_VALUE"""),"Jessica Obando")</f>
        <v>Jessica Obando</v>
      </c>
      <c r="H456" s="26" t="b">
        <v>0</v>
      </c>
    </row>
    <row r="457" hidden="1">
      <c r="A457" s="26" t="str">
        <f>VLOOKUP(B457,'2020 SRED (JIRA) - Issues and l'!$B:$C,2,FALSE)</f>
        <v>portal-builder-SRED</v>
      </c>
      <c r="B457" s="27" t="str">
        <f>IFERROR(__xludf.DUMMYFUNCTION("""COMPUTED_VALUE"""),"ITP-1857")</f>
        <v>ITP-1857</v>
      </c>
      <c r="C457" s="26" t="str">
        <f>IFERROR(__xludf.DUMMYFUNCTION("""COMPUTED_VALUE"""),"Collapse comments in annotation activities")</f>
        <v>Collapse comments in annotation activities</v>
      </c>
      <c r="D457" s="28">
        <f>IFERROR(__xludf.DUMMYFUNCTION("""COMPUTED_VALUE"""),0.65)</f>
        <v>0.65</v>
      </c>
      <c r="E457" s="29">
        <f>IFERROR(__xludf.DUMMYFUNCTION("""COMPUTED_VALUE"""),44004.0)</f>
        <v>44004</v>
      </c>
      <c r="F457" s="26" t="str">
        <f>IFERROR(__xludf.DUMMYFUNCTION("""COMPUTED_VALUE"""),"557058:3124a1f0-e92a-405c-93f2-c1d4e621bc77")</f>
        <v>557058:3124a1f0-e92a-405c-93f2-c1d4e621bc77</v>
      </c>
      <c r="G457" s="26" t="str">
        <f>IFERROR(__xludf.DUMMYFUNCTION("""COMPUTED_VALUE"""),"Trevor Coehoorn")</f>
        <v>Trevor Coehoorn</v>
      </c>
      <c r="H457" s="26" t="b">
        <v>0</v>
      </c>
    </row>
    <row r="458" hidden="1">
      <c r="A458" s="26" t="str">
        <f>VLOOKUP(B458,'2020 SRED (JIRA) - Issues and l'!$B:$C,2,FALSE)</f>
        <v>insite-event-SRED</v>
      </c>
      <c r="B458" s="27" t="str">
        <f>IFERROR(__xludf.DUMMYFUNCTION("""COMPUTED_VALUE"""),"ZAPI-78")</f>
        <v>ZAPI-78</v>
      </c>
      <c r="C458" s="26" t="str">
        <f>IFERROR(__xludf.DUMMYFUNCTION("""COMPUTED_VALUE"""),"Deploy Web Meetings v1")</f>
        <v>Deploy Web Meetings v1</v>
      </c>
      <c r="D458" s="28">
        <f>IFERROR(__xludf.DUMMYFUNCTION("""COMPUTED_VALUE"""),1.48333333333333)</f>
        <v>1.483333333</v>
      </c>
      <c r="E458" s="29">
        <f>IFERROR(__xludf.DUMMYFUNCTION("""COMPUTED_VALUE"""),44004.0)</f>
        <v>44004</v>
      </c>
      <c r="F458" s="26" t="str">
        <f>IFERROR(__xludf.DUMMYFUNCTION("""COMPUTED_VALUE"""),"557058:3124a1f0-e92a-405c-93f2-c1d4e621bc77")</f>
        <v>557058:3124a1f0-e92a-405c-93f2-c1d4e621bc77</v>
      </c>
      <c r="G458" s="26" t="str">
        <f>IFERROR(__xludf.DUMMYFUNCTION("""COMPUTED_VALUE"""),"Trevor Coehoorn")</f>
        <v>Trevor Coehoorn</v>
      </c>
      <c r="H458" s="26" t="b">
        <v>0</v>
      </c>
    </row>
    <row r="459" hidden="1">
      <c r="A459" s="26" t="str">
        <f>VLOOKUP(B459,'2020 SRED (JIRA) - Issues and l'!$B:$C,2,FALSE)</f>
        <v>insite-event-SRED</v>
      </c>
      <c r="B459" s="27" t="str">
        <f>IFERROR(__xludf.DUMMYFUNCTION("""COMPUTED_VALUE"""),"ZAPI-13")</f>
        <v>ZAPI-13</v>
      </c>
      <c r="C459" s="26" t="str">
        <f>IFERROR(__xludf.DUMMYFUNCTION("""COMPUTED_VALUE"""),"As an attendee, I can access meeting/webinar recordings via the portal")</f>
        <v>As an attendee, I can access meeting/webinar recordings via the portal</v>
      </c>
      <c r="D459" s="28">
        <f>IFERROR(__xludf.DUMMYFUNCTION("""COMPUTED_VALUE"""),0.233333333333333)</f>
        <v>0.2333333333</v>
      </c>
      <c r="E459" s="29">
        <f>IFERROR(__xludf.DUMMYFUNCTION("""COMPUTED_VALUE"""),44004.0)</f>
        <v>44004</v>
      </c>
      <c r="F459" s="26" t="str">
        <f>IFERROR(__xludf.DUMMYFUNCTION("""COMPUTED_VALUE"""),"557058:3124a1f0-e92a-405c-93f2-c1d4e621bc77")</f>
        <v>557058:3124a1f0-e92a-405c-93f2-c1d4e621bc77</v>
      </c>
      <c r="G459" s="26" t="str">
        <f>IFERROR(__xludf.DUMMYFUNCTION("""COMPUTED_VALUE"""),"Trevor Coehoorn")</f>
        <v>Trevor Coehoorn</v>
      </c>
      <c r="H459" s="26" t="b">
        <v>0</v>
      </c>
    </row>
    <row r="460" hidden="1">
      <c r="A460" s="26" t="str">
        <f>VLOOKUP(B460,'2020 SRED (JIRA) - Issues and l'!$B:$C,2,FALSE)</f>
        <v>insite-event-SRED</v>
      </c>
      <c r="B460" s="27" t="str">
        <f>IFERROR(__xludf.DUMMYFUNCTION("""COMPUTED_VALUE"""),"ZAPI-1")</f>
        <v>ZAPI-1</v>
      </c>
      <c r="C460" s="26" t="str">
        <f>IFERROR(__xludf.DUMMYFUNCTION("""COMPUTED_VALUE"""),"Zoom API v1 (MVP)")</f>
        <v>Zoom API v1 (MVP)</v>
      </c>
      <c r="D460" s="28">
        <f>IFERROR(__xludf.DUMMYFUNCTION("""COMPUTED_VALUE"""),0.5)</f>
        <v>0.5</v>
      </c>
      <c r="E460" s="29">
        <f>IFERROR(__xludf.DUMMYFUNCTION("""COMPUTED_VALUE"""),44004.0)</f>
        <v>44004</v>
      </c>
      <c r="F460" s="26" t="str">
        <f>IFERROR(__xludf.DUMMYFUNCTION("""COMPUTED_VALUE"""),"557058:3124a1f0-e92a-405c-93f2-c1d4e621bc77")</f>
        <v>557058:3124a1f0-e92a-405c-93f2-c1d4e621bc77</v>
      </c>
      <c r="G460" s="26" t="str">
        <f>IFERROR(__xludf.DUMMYFUNCTION("""COMPUTED_VALUE"""),"Trevor Coehoorn")</f>
        <v>Trevor Coehoorn</v>
      </c>
      <c r="H460" s="26" t="b">
        <v>0</v>
      </c>
    </row>
    <row r="461" hidden="1">
      <c r="A461" s="26" t="str">
        <f>VLOOKUP(B461,'2020 SRED (JIRA) - Issues and l'!$B:$C,2,FALSE)</f>
        <v>insite-workflow-SRED</v>
      </c>
      <c r="B461" s="27" t="str">
        <f>IFERROR(__xludf.DUMMYFUNCTION("""COMPUTED_VALUE"""),"APPS-76")</f>
        <v>APPS-76</v>
      </c>
      <c r="C461" s="26" t="str">
        <f>IFERROR(__xludf.DUMMYFUNCTION("""COMPUTED_VALUE"""),"Proposal Builder Test App")</f>
        <v>Proposal Builder Test App</v>
      </c>
      <c r="D461" s="28">
        <f>IFERROR(__xludf.DUMMYFUNCTION("""COMPUTED_VALUE"""),3.0)</f>
        <v>3</v>
      </c>
      <c r="E461" s="29">
        <f>IFERROR(__xludf.DUMMYFUNCTION("""COMPUTED_VALUE"""),44004.0)</f>
        <v>44004</v>
      </c>
      <c r="F461" s="26" t="str">
        <f>IFERROR(__xludf.DUMMYFUNCTION("""COMPUTED_VALUE"""),"5ee7b6ce868ce30ac49e2521")</f>
        <v>5ee7b6ce868ce30ac49e2521</v>
      </c>
      <c r="G461" s="26" t="str">
        <f>IFERROR(__xludf.DUMMYFUNCTION("""COMPUTED_VALUE"""),"Bryan Le")</f>
        <v>Bryan Le</v>
      </c>
      <c r="H461" s="26" t="b">
        <v>0</v>
      </c>
    </row>
    <row r="462" hidden="1">
      <c r="A462" s="26" t="str">
        <f>VLOOKUP(B462,'2020 SRED (JIRA) - Issues and l'!$B:$C,2,FALSE)</f>
        <v>insite-workflow-SRED</v>
      </c>
      <c r="B462" s="27" t="str">
        <f>IFERROR(__xludf.DUMMYFUNCTION("""COMPUTED_VALUE"""),"APPS-74")</f>
        <v>APPS-74</v>
      </c>
      <c r="C462" s="26" t="str">
        <f>IFERROR(__xludf.DUMMYFUNCTION("""COMPUTED_VALUE"""),"Policy review")</f>
        <v>Policy review</v>
      </c>
      <c r="D462" s="28">
        <f>IFERROR(__xludf.DUMMYFUNCTION("""COMPUTED_VALUE"""),1.0)</f>
        <v>1</v>
      </c>
      <c r="E462" s="29">
        <f>IFERROR(__xludf.DUMMYFUNCTION("""COMPUTED_VALUE"""),44004.0)</f>
        <v>44004</v>
      </c>
      <c r="F462" s="26" t="str">
        <f>IFERROR(__xludf.DUMMYFUNCTION("""COMPUTED_VALUE"""),"5ee7b6cf02b4400ac4b65399")</f>
        <v>5ee7b6cf02b4400ac4b65399</v>
      </c>
      <c r="G462" s="26" t="str">
        <f>IFERROR(__xludf.DUMMYFUNCTION("""COMPUTED_VALUE"""),"Jessica Obando")</f>
        <v>Jessica Obando</v>
      </c>
      <c r="H462" s="26" t="b">
        <v>0</v>
      </c>
    </row>
    <row r="463" hidden="1">
      <c r="A463" s="26" t="str">
        <f>VLOOKUP(B463,'2020 SRED (JIRA) - Issues and l'!$B:$C,2,FALSE)</f>
        <v>insite-workflow-SRED</v>
      </c>
      <c r="B463" s="27" t="str">
        <f>IFERROR(__xludf.DUMMYFUNCTION("""COMPUTED_VALUE"""),"APPS-76")</f>
        <v>APPS-76</v>
      </c>
      <c r="C463" s="26" t="str">
        <f>IFERROR(__xludf.DUMMYFUNCTION("""COMPUTED_VALUE"""),"Proposal Builder Test App")</f>
        <v>Proposal Builder Test App</v>
      </c>
      <c r="D463" s="28">
        <f>IFERROR(__xludf.DUMMYFUNCTION("""COMPUTED_VALUE"""),5.0)</f>
        <v>5</v>
      </c>
      <c r="E463" s="29">
        <f>IFERROR(__xludf.DUMMYFUNCTION("""COMPUTED_VALUE"""),44004.0)</f>
        <v>44004</v>
      </c>
      <c r="F463" s="26" t="str">
        <f>IFERROR(__xludf.DUMMYFUNCTION("""COMPUTED_VALUE"""),"5ee7b6cf02b4400ac4b65399")</f>
        <v>5ee7b6cf02b4400ac4b65399</v>
      </c>
      <c r="G463" s="26" t="str">
        <f>IFERROR(__xludf.DUMMYFUNCTION("""COMPUTED_VALUE"""),"Jessica Obando")</f>
        <v>Jessica Obando</v>
      </c>
      <c r="H463" s="26" t="b">
        <v>0</v>
      </c>
    </row>
    <row r="464" hidden="1">
      <c r="A464" s="26" t="str">
        <f>VLOOKUP(B464,'2020 SRED (JIRA) - Issues and l'!$B:$C,2,FALSE)</f>
        <v>insite-event-SRED</v>
      </c>
      <c r="B464" s="27" t="str">
        <f>IFERROR(__xludf.DUMMYFUNCTION("""COMPUTED_VALUE"""),"ZAPI-81")</f>
        <v>ZAPI-81</v>
      </c>
      <c r="C464" s="26" t="str">
        <f>IFERROR(__xludf.DUMMYFUNCTION("""COMPUTED_VALUE"""),"Prevent meeting deletion on development/test portals")</f>
        <v>Prevent meeting deletion on development/test portals</v>
      </c>
      <c r="D464" s="28">
        <f>IFERROR(__xludf.DUMMYFUNCTION("""COMPUTED_VALUE"""),0.216666666666666)</f>
        <v>0.2166666667</v>
      </c>
      <c r="E464" s="29">
        <f>IFERROR(__xludf.DUMMYFUNCTION("""COMPUTED_VALUE"""),44005.0)</f>
        <v>44005</v>
      </c>
      <c r="F464" s="26" t="str">
        <f>IFERROR(__xludf.DUMMYFUNCTION("""COMPUTED_VALUE"""),"557058:3124a1f0-e92a-405c-93f2-c1d4e621bc77")</f>
        <v>557058:3124a1f0-e92a-405c-93f2-c1d4e621bc77</v>
      </c>
      <c r="G464" s="26" t="str">
        <f>IFERROR(__xludf.DUMMYFUNCTION("""COMPUTED_VALUE"""),"Trevor Coehoorn")</f>
        <v>Trevor Coehoorn</v>
      </c>
      <c r="H464" s="26" t="b">
        <v>0</v>
      </c>
    </row>
    <row r="465" hidden="1">
      <c r="A465" s="26" t="str">
        <f>VLOOKUP(B465,'2020 SRED (JIRA) - Issues and l'!$B:$C,2,FALSE)</f>
        <v>insite-event-SRED</v>
      </c>
      <c r="B465" s="27" t="str">
        <f>IFERROR(__xludf.DUMMYFUNCTION("""COMPUTED_VALUE"""),"ZAPI-6")</f>
        <v>ZAPI-6</v>
      </c>
      <c r="C465" s="26" t="str">
        <f>IFERROR(__xludf.DUMMYFUNCTION("""COMPUTED_VALUE"""),"Zoom API v2 (Registration Flow and Reporting)")</f>
        <v>Zoom API v2 (Registration Flow and Reporting)</v>
      </c>
      <c r="D465" s="28">
        <f>IFERROR(__xludf.DUMMYFUNCTION("""COMPUTED_VALUE"""),0.833333333333333)</f>
        <v>0.8333333333</v>
      </c>
      <c r="E465" s="29">
        <f>IFERROR(__xludf.DUMMYFUNCTION("""COMPUTED_VALUE"""),44005.0)</f>
        <v>44005</v>
      </c>
      <c r="F465" s="26" t="str">
        <f>IFERROR(__xludf.DUMMYFUNCTION("""COMPUTED_VALUE"""),"557058:3124a1f0-e92a-405c-93f2-c1d4e621bc77")</f>
        <v>557058:3124a1f0-e92a-405c-93f2-c1d4e621bc77</v>
      </c>
      <c r="G465" s="26" t="str">
        <f>IFERROR(__xludf.DUMMYFUNCTION("""COMPUTED_VALUE"""),"Trevor Coehoorn")</f>
        <v>Trevor Coehoorn</v>
      </c>
      <c r="H465" s="26" t="b">
        <v>0</v>
      </c>
    </row>
    <row r="466" hidden="1">
      <c r="A466" s="26" t="str">
        <f>VLOOKUP(B466,'2020 SRED (JIRA) - Issues and l'!$B:$C,2,FALSE)</f>
        <v>insite-workflow-SRED</v>
      </c>
      <c r="B466" s="27" t="str">
        <f>IFERROR(__xludf.DUMMYFUNCTION("""COMPUTED_VALUE"""),"APPS-81")</f>
        <v>APPS-81</v>
      </c>
      <c r="C466" s="26" t="str">
        <f>IFERROR(__xludf.DUMMYFUNCTION("""COMPUTED_VALUE"""),"As a client, I can request a new asynchronous touchpoint")</f>
        <v>As a client, I can request a new asynchronous touchpoint</v>
      </c>
      <c r="D466" s="28">
        <f>IFERROR(__xludf.DUMMYFUNCTION("""COMPUTED_VALUE"""),5.0)</f>
        <v>5</v>
      </c>
      <c r="E466" s="29">
        <f>IFERROR(__xludf.DUMMYFUNCTION("""COMPUTED_VALUE"""),44005.0)</f>
        <v>44005</v>
      </c>
      <c r="F466" s="26" t="str">
        <f>IFERROR(__xludf.DUMMYFUNCTION("""COMPUTED_VALUE"""),"5ee7b6ce868ce30ac49e2521")</f>
        <v>5ee7b6ce868ce30ac49e2521</v>
      </c>
      <c r="G466" s="26" t="str">
        <f>IFERROR(__xludf.DUMMYFUNCTION("""COMPUTED_VALUE"""),"Bryan Le")</f>
        <v>Bryan Le</v>
      </c>
      <c r="H466" s="26" t="b">
        <v>0</v>
      </c>
    </row>
    <row r="467" hidden="1">
      <c r="A467" s="26" t="str">
        <f>VLOOKUP(B467,'2020 SRED (JIRA) - Issues and l'!$B:$C,2,FALSE)</f>
        <v>insite-workflow-SRED</v>
      </c>
      <c r="B467" s="27" t="str">
        <f>IFERROR(__xludf.DUMMYFUNCTION("""COMPUTED_VALUE"""),"APPS-35")</f>
        <v>APPS-35</v>
      </c>
      <c r="C467" s="26" t="str">
        <f>IFERROR(__xludf.DUMMYFUNCTION("""COMPUTED_VALUE"""),"As a salesperson, I can create/modify contacts, organizations, sales opportunities, and proposals")</f>
        <v>As a salesperson, I can create/modify contacts, organizations, sales opportunities, and proposals</v>
      </c>
      <c r="D467" s="28">
        <f>IFERROR(__xludf.DUMMYFUNCTION("""COMPUTED_VALUE"""),7.0)</f>
        <v>7</v>
      </c>
      <c r="E467" s="29">
        <f>IFERROR(__xludf.DUMMYFUNCTION("""COMPUTED_VALUE"""),44005.0)</f>
        <v>44005</v>
      </c>
      <c r="F467" s="26" t="str">
        <f>IFERROR(__xludf.DUMMYFUNCTION("""COMPUTED_VALUE"""),"5ee7b6cf02b4400ac4b65399")</f>
        <v>5ee7b6cf02b4400ac4b65399</v>
      </c>
      <c r="G467" s="26" t="str">
        <f>IFERROR(__xludf.DUMMYFUNCTION("""COMPUTED_VALUE"""),"Jessica Obando")</f>
        <v>Jessica Obando</v>
      </c>
      <c r="H467" s="26" t="b">
        <v>0</v>
      </c>
    </row>
    <row r="468" hidden="1">
      <c r="A468" s="26" t="str">
        <f>VLOOKUP(B468,'2020 SRED (JIRA) - Issues and l'!$B:$C,2,FALSE)</f>
        <v>portal-builder-SRED</v>
      </c>
      <c r="B468" s="27" t="str">
        <f>IFERROR(__xludf.DUMMYFUNCTION("""COMPUTED_VALUE"""),"ITP-1847")</f>
        <v>ITP-1847</v>
      </c>
      <c r="C468" s="26" t="str">
        <f>IFERROR(__xludf.DUMMYFUNCTION("""COMPUTED_VALUE"""),"Add reply count and login number to the touchpoint statistics")</f>
        <v>Add reply count and login number to the touchpoint statistics</v>
      </c>
      <c r="D468" s="28">
        <f>IFERROR(__xludf.DUMMYFUNCTION("""COMPUTED_VALUE"""),1.75)</f>
        <v>1.75</v>
      </c>
      <c r="E468" s="29">
        <f>IFERROR(__xludf.DUMMYFUNCTION("""COMPUTED_VALUE"""),44006.0)</f>
        <v>44006</v>
      </c>
      <c r="F468" s="26" t="str">
        <f>IFERROR(__xludf.DUMMYFUNCTION("""COMPUTED_VALUE"""),"557058:3124a1f0-e92a-405c-93f2-c1d4e621bc77")</f>
        <v>557058:3124a1f0-e92a-405c-93f2-c1d4e621bc77</v>
      </c>
      <c r="G468" s="26" t="str">
        <f>IFERROR(__xludf.DUMMYFUNCTION("""COMPUTED_VALUE"""),"Trevor Coehoorn")</f>
        <v>Trevor Coehoorn</v>
      </c>
      <c r="H468" s="26" t="b">
        <v>0</v>
      </c>
    </row>
    <row r="469" hidden="1">
      <c r="A469" s="26" t="str">
        <f>VLOOKUP(B469,'2020 SRED (JIRA) - Issues and l'!$B:$C,2,FALSE)</f>
        <v>insite-event-SRED</v>
      </c>
      <c r="B469" s="27" t="str">
        <f>IFERROR(__xludf.DUMMYFUNCTION("""COMPUTED_VALUE"""),"ZAPI-6")</f>
        <v>ZAPI-6</v>
      </c>
      <c r="C469" s="26" t="str">
        <f>IFERROR(__xludf.DUMMYFUNCTION("""COMPUTED_VALUE"""),"Zoom API v2 (Registration Flow and Reporting)")</f>
        <v>Zoom API v2 (Registration Flow and Reporting)</v>
      </c>
      <c r="D469" s="28">
        <f>IFERROR(__xludf.DUMMYFUNCTION("""COMPUTED_VALUE"""),0.866666666666666)</f>
        <v>0.8666666667</v>
      </c>
      <c r="E469" s="29">
        <f>IFERROR(__xludf.DUMMYFUNCTION("""COMPUTED_VALUE"""),44006.0)</f>
        <v>44006</v>
      </c>
      <c r="F469" s="26" t="str">
        <f>IFERROR(__xludf.DUMMYFUNCTION("""COMPUTED_VALUE"""),"557058:3124a1f0-e92a-405c-93f2-c1d4e621bc77")</f>
        <v>557058:3124a1f0-e92a-405c-93f2-c1d4e621bc77</v>
      </c>
      <c r="G469" s="26" t="str">
        <f>IFERROR(__xludf.DUMMYFUNCTION("""COMPUTED_VALUE"""),"Trevor Coehoorn")</f>
        <v>Trevor Coehoorn</v>
      </c>
      <c r="H469" s="26" t="b">
        <v>0</v>
      </c>
    </row>
    <row r="470" hidden="1">
      <c r="A470" s="26" t="str">
        <f>VLOOKUP(B470,'2020 SRED (JIRA) - Issues and l'!$B:$C,2,FALSE)</f>
        <v>insite-workflow-SRED</v>
      </c>
      <c r="B470" s="27" t="str">
        <f>IFERROR(__xludf.DUMMYFUNCTION("""COMPUTED_VALUE"""),"APPS-82")</f>
        <v>APPS-82</v>
      </c>
      <c r="C470" s="26" t="str">
        <f>IFERROR(__xludf.DUMMYFUNCTION("""COMPUTED_VALUE"""),"As a client, I can request a new synchronous touchpoint")</f>
        <v>As a client, I can request a new synchronous touchpoint</v>
      </c>
      <c r="D470" s="28">
        <f>IFERROR(__xludf.DUMMYFUNCTION("""COMPUTED_VALUE"""),8.0)</f>
        <v>8</v>
      </c>
      <c r="E470" s="29">
        <f>IFERROR(__xludf.DUMMYFUNCTION("""COMPUTED_VALUE"""),44006.0)</f>
        <v>44006</v>
      </c>
      <c r="F470" s="26" t="str">
        <f>IFERROR(__xludf.DUMMYFUNCTION("""COMPUTED_VALUE"""),"5ee7b6ce868ce30ac49e2521")</f>
        <v>5ee7b6ce868ce30ac49e2521</v>
      </c>
      <c r="G470" s="26" t="str">
        <f>IFERROR(__xludf.DUMMYFUNCTION("""COMPUTED_VALUE"""),"Bryan Le")</f>
        <v>Bryan Le</v>
      </c>
      <c r="H470" s="26" t="b">
        <v>0</v>
      </c>
    </row>
    <row r="471" hidden="1">
      <c r="A471" s="26" t="str">
        <f>VLOOKUP(B471,'2020 SRED (JIRA) - Issues and l'!$B:$C,2,FALSE)</f>
        <v>insite-workflow-SRED</v>
      </c>
      <c r="B471" s="27" t="str">
        <f>IFERROR(__xludf.DUMMYFUNCTION("""COMPUTED_VALUE"""),"APPS-35")</f>
        <v>APPS-35</v>
      </c>
      <c r="C471" s="26" t="str">
        <f>IFERROR(__xludf.DUMMYFUNCTION("""COMPUTED_VALUE"""),"As a salesperson, I can create/modify contacts, organizations, sales opportunities, and proposals")</f>
        <v>As a salesperson, I can create/modify contacts, organizations, sales opportunities, and proposals</v>
      </c>
      <c r="D471" s="28">
        <f>IFERROR(__xludf.DUMMYFUNCTION("""COMPUTED_VALUE"""),8.0)</f>
        <v>8</v>
      </c>
      <c r="E471" s="29">
        <f>IFERROR(__xludf.DUMMYFUNCTION("""COMPUTED_VALUE"""),44006.0)</f>
        <v>44006</v>
      </c>
      <c r="F471" s="26" t="str">
        <f>IFERROR(__xludf.DUMMYFUNCTION("""COMPUTED_VALUE"""),"5ee7b6cf02b4400ac4b65399")</f>
        <v>5ee7b6cf02b4400ac4b65399</v>
      </c>
      <c r="G471" s="26" t="str">
        <f>IFERROR(__xludf.DUMMYFUNCTION("""COMPUTED_VALUE"""),"Jessica Obando")</f>
        <v>Jessica Obando</v>
      </c>
      <c r="H471" s="26" t="b">
        <v>0</v>
      </c>
    </row>
    <row r="472" hidden="1">
      <c r="A472" s="26" t="str">
        <f>VLOOKUP(B472,'2020 SRED (JIRA) - Issues and l'!$B:$C,2,FALSE)</f>
        <v>portal-builder-SRED</v>
      </c>
      <c r="B472" s="27" t="str">
        <f>IFERROR(__xludf.DUMMYFUNCTION("""COMPUTED_VALUE"""),"ITP-1859")</f>
        <v>ITP-1859</v>
      </c>
      <c r="C472" s="26" t="str">
        <f>IFERROR(__xludf.DUMMYFUNCTION("""COMPUTED_VALUE"""),"Webform analysis components broken (title length limit)")</f>
        <v>Webform analysis components broken (title length limit)</v>
      </c>
      <c r="D472" s="28">
        <f>IFERROR(__xludf.DUMMYFUNCTION("""COMPUTED_VALUE"""),3.18333333333333)</f>
        <v>3.183333333</v>
      </c>
      <c r="E472" s="29">
        <f>IFERROR(__xludf.DUMMYFUNCTION("""COMPUTED_VALUE"""),44007.0)</f>
        <v>44007</v>
      </c>
      <c r="F472" s="26" t="str">
        <f>IFERROR(__xludf.DUMMYFUNCTION("""COMPUTED_VALUE"""),"557058:3124a1f0-e92a-405c-93f2-c1d4e621bc77")</f>
        <v>557058:3124a1f0-e92a-405c-93f2-c1d4e621bc77</v>
      </c>
      <c r="G472" s="26" t="str">
        <f>IFERROR(__xludf.DUMMYFUNCTION("""COMPUTED_VALUE"""),"Trevor Coehoorn")</f>
        <v>Trevor Coehoorn</v>
      </c>
      <c r="H472" s="26" t="b">
        <v>0</v>
      </c>
    </row>
    <row r="473" hidden="1">
      <c r="A473" s="26" t="str">
        <f>VLOOKUP(B473,'2020 SRED (JIRA) - Issues and l'!$B:$C,2,FALSE)</f>
        <v>portal-builder-SRED</v>
      </c>
      <c r="B473" s="27" t="str">
        <f>IFERROR(__xludf.DUMMYFUNCTION("""COMPUTED_VALUE"""),"ITP-1847")</f>
        <v>ITP-1847</v>
      </c>
      <c r="C473" s="26" t="str">
        <f>IFERROR(__xludf.DUMMYFUNCTION("""COMPUTED_VALUE"""),"Add reply count and login number to the touchpoint statistics")</f>
        <v>Add reply count and login number to the touchpoint statistics</v>
      </c>
      <c r="D473" s="28">
        <f>IFERROR(__xludf.DUMMYFUNCTION("""COMPUTED_VALUE"""),0.166666666666666)</f>
        <v>0.1666666667</v>
      </c>
      <c r="E473" s="29">
        <f>IFERROR(__xludf.DUMMYFUNCTION("""COMPUTED_VALUE"""),44007.0)</f>
        <v>44007</v>
      </c>
      <c r="F473" s="26" t="str">
        <f>IFERROR(__xludf.DUMMYFUNCTION("""COMPUTED_VALUE"""),"557058:3124a1f0-e92a-405c-93f2-c1d4e621bc77")</f>
        <v>557058:3124a1f0-e92a-405c-93f2-c1d4e621bc77</v>
      </c>
      <c r="G473" s="26" t="str">
        <f>IFERROR(__xludf.DUMMYFUNCTION("""COMPUTED_VALUE"""),"Trevor Coehoorn")</f>
        <v>Trevor Coehoorn</v>
      </c>
      <c r="H473" s="26" t="b">
        <v>0</v>
      </c>
    </row>
    <row r="474" hidden="1">
      <c r="A474" s="26" t="str">
        <f>VLOOKUP(B474,'2020 SRED (JIRA) - Issues and l'!$B:$C,2,FALSE)</f>
        <v>portal-builder-SRED</v>
      </c>
      <c r="B474" s="27" t="str">
        <f>IFERROR(__xludf.DUMMYFUNCTION("""COMPUTED_VALUE"""),"ITP-1857")</f>
        <v>ITP-1857</v>
      </c>
      <c r="C474" s="26" t="str">
        <f>IFERROR(__xludf.DUMMYFUNCTION("""COMPUTED_VALUE"""),"Collapse comments in annotation activities")</f>
        <v>Collapse comments in annotation activities</v>
      </c>
      <c r="D474" s="28">
        <f>IFERROR(__xludf.DUMMYFUNCTION("""COMPUTED_VALUE"""),0.35)</f>
        <v>0.35</v>
      </c>
      <c r="E474" s="29">
        <f>IFERROR(__xludf.DUMMYFUNCTION("""COMPUTED_VALUE"""),44007.0)</f>
        <v>44007</v>
      </c>
      <c r="F474" s="26" t="str">
        <f>IFERROR(__xludf.DUMMYFUNCTION("""COMPUTED_VALUE"""),"557058:3124a1f0-e92a-405c-93f2-c1d4e621bc77")</f>
        <v>557058:3124a1f0-e92a-405c-93f2-c1d4e621bc77</v>
      </c>
      <c r="G474" s="26" t="str">
        <f>IFERROR(__xludf.DUMMYFUNCTION("""COMPUTED_VALUE"""),"Trevor Coehoorn")</f>
        <v>Trevor Coehoorn</v>
      </c>
      <c r="H474" s="26" t="b">
        <v>0</v>
      </c>
    </row>
    <row r="475" hidden="1">
      <c r="A475" s="26" t="str">
        <f>VLOOKUP(B475,'2020 SRED (JIRA) - Issues and l'!$B:$C,2,FALSE)</f>
        <v>insite-event-SRED</v>
      </c>
      <c r="B475" s="27" t="str">
        <f>IFERROR(__xludf.DUMMYFUNCTION("""COMPUTED_VALUE"""),"ZAPI-27")</f>
        <v>ZAPI-27</v>
      </c>
      <c r="C475" s="26" t="str">
        <f>IFERROR(__xludf.DUMMYFUNCTION("""COMPUTED_VALUE"""),"As a meeting administrator, I can add a web meeting panel/widget to my touchpoint content page and start/join a meeting from there")</f>
        <v>As a meeting administrator, I can add a web meeting panel/widget to my touchpoint content page and start/join a meeting from there</v>
      </c>
      <c r="D475" s="28">
        <f>IFERROR(__xludf.DUMMYFUNCTION("""COMPUTED_VALUE"""),0.15)</f>
        <v>0.15</v>
      </c>
      <c r="E475" s="29">
        <f>IFERROR(__xludf.DUMMYFUNCTION("""COMPUTED_VALUE"""),44007.0)</f>
        <v>44007</v>
      </c>
      <c r="F475" s="26" t="str">
        <f>IFERROR(__xludf.DUMMYFUNCTION("""COMPUTED_VALUE"""),"557058:3124a1f0-e92a-405c-93f2-c1d4e621bc77")</f>
        <v>557058:3124a1f0-e92a-405c-93f2-c1d4e621bc77</v>
      </c>
      <c r="G475" s="26" t="str">
        <f>IFERROR(__xludf.DUMMYFUNCTION("""COMPUTED_VALUE"""),"Trevor Coehoorn")</f>
        <v>Trevor Coehoorn</v>
      </c>
      <c r="H475" s="26" t="b">
        <v>0</v>
      </c>
    </row>
    <row r="476" hidden="1">
      <c r="A476" s="26" t="str">
        <f>VLOOKUP(B476,'2020 SRED (JIRA) - Issues and l'!$B:$C,2,FALSE)</f>
        <v>insite-event-SRED</v>
      </c>
      <c r="B476" s="27" t="str">
        <f>IFERROR(__xludf.DUMMYFUNCTION("""COMPUTED_VALUE"""),"ZAPI-6")</f>
        <v>ZAPI-6</v>
      </c>
      <c r="C476" s="26" t="str">
        <f>IFERROR(__xludf.DUMMYFUNCTION("""COMPUTED_VALUE"""),"Zoom API v2 (Registration Flow and Reporting)")</f>
        <v>Zoom API v2 (Registration Flow and Reporting)</v>
      </c>
      <c r="D476" s="28">
        <f>IFERROR(__xludf.DUMMYFUNCTION("""COMPUTED_VALUE"""),1.53333333333333)</f>
        <v>1.533333333</v>
      </c>
      <c r="E476" s="29">
        <f>IFERROR(__xludf.DUMMYFUNCTION("""COMPUTED_VALUE"""),44007.0)</f>
        <v>44007</v>
      </c>
      <c r="F476" s="26" t="str">
        <f>IFERROR(__xludf.DUMMYFUNCTION("""COMPUTED_VALUE"""),"557058:3124a1f0-e92a-405c-93f2-c1d4e621bc77")</f>
        <v>557058:3124a1f0-e92a-405c-93f2-c1d4e621bc77</v>
      </c>
      <c r="G476" s="26" t="str">
        <f>IFERROR(__xludf.DUMMYFUNCTION("""COMPUTED_VALUE"""),"Trevor Coehoorn")</f>
        <v>Trevor Coehoorn</v>
      </c>
      <c r="H476" s="26" t="b">
        <v>0</v>
      </c>
    </row>
    <row r="477" hidden="1">
      <c r="A477" s="26" t="str">
        <f>VLOOKUP(B477,'2020 SRED (JIRA) - Issues and l'!$B:$C,2,FALSE)</f>
        <v>portal-builder-SRED</v>
      </c>
      <c r="B477" s="27" t="str">
        <f>IFERROR(__xludf.DUMMYFUNCTION("""COMPUTED_VALUE"""),"ITP-1859")</f>
        <v>ITP-1859</v>
      </c>
      <c r="C477" s="26" t="str">
        <f>IFERROR(__xludf.DUMMYFUNCTION("""COMPUTED_VALUE"""),"Webform analysis components broken (title length limit)")</f>
        <v>Webform analysis components broken (title length limit)</v>
      </c>
      <c r="D477" s="28">
        <f>IFERROR(__xludf.DUMMYFUNCTION("""COMPUTED_VALUE"""),0.75)</f>
        <v>0.75</v>
      </c>
      <c r="E477" s="29">
        <f>IFERROR(__xludf.DUMMYFUNCTION("""COMPUTED_VALUE"""),44007.0)</f>
        <v>44007</v>
      </c>
      <c r="F477" s="26" t="str">
        <f>IFERROR(__xludf.DUMMYFUNCTION("""COMPUTED_VALUE"""),"557058:73c9cac1-5a92-492c-86e8-838810ee0dde")</f>
        <v>557058:73c9cac1-5a92-492c-86e8-838810ee0dde</v>
      </c>
      <c r="G477" s="26" t="str">
        <f>IFERROR(__xludf.DUMMYFUNCTION("""COMPUTED_VALUE"""),"Dan Wells")</f>
        <v>Dan Wells</v>
      </c>
      <c r="H477" s="26" t="b">
        <v>0</v>
      </c>
    </row>
    <row r="478" hidden="1">
      <c r="A478" s="26" t="str">
        <f>VLOOKUP(B478,'2020 SRED (JIRA) - Issues and l'!$B:$C,2,FALSE)</f>
        <v>insite-workflow-SRED</v>
      </c>
      <c r="B478" s="27" t="str">
        <f>IFERROR(__xludf.DUMMYFUNCTION("""COMPUTED_VALUE"""),"APPS-82")</f>
        <v>APPS-82</v>
      </c>
      <c r="C478" s="26" t="str">
        <f>IFERROR(__xludf.DUMMYFUNCTION("""COMPUTED_VALUE"""),"As a client, I can request a new synchronous touchpoint")</f>
        <v>As a client, I can request a new synchronous touchpoint</v>
      </c>
      <c r="D478" s="28">
        <f>IFERROR(__xludf.DUMMYFUNCTION("""COMPUTED_VALUE"""),8.0)</f>
        <v>8</v>
      </c>
      <c r="E478" s="29">
        <f>IFERROR(__xludf.DUMMYFUNCTION("""COMPUTED_VALUE"""),44007.0)</f>
        <v>44007</v>
      </c>
      <c r="F478" s="26" t="str">
        <f>IFERROR(__xludf.DUMMYFUNCTION("""COMPUTED_VALUE"""),"5ee7b6ce868ce30ac49e2521")</f>
        <v>5ee7b6ce868ce30ac49e2521</v>
      </c>
      <c r="G478" s="26" t="str">
        <f>IFERROR(__xludf.DUMMYFUNCTION("""COMPUTED_VALUE"""),"Bryan Le")</f>
        <v>Bryan Le</v>
      </c>
      <c r="H478" s="26" t="b">
        <v>0</v>
      </c>
    </row>
    <row r="479" hidden="1">
      <c r="A479" s="26" t="str">
        <f>VLOOKUP(B479,'2020 SRED (JIRA) - Issues and l'!$B:$C,2,FALSE)</f>
        <v>insite-workflow-SRED</v>
      </c>
      <c r="B479" s="27" t="str">
        <f>IFERROR(__xludf.DUMMYFUNCTION("""COMPUTED_VALUE"""),"APPS-35")</f>
        <v>APPS-35</v>
      </c>
      <c r="C479" s="26" t="str">
        <f>IFERROR(__xludf.DUMMYFUNCTION("""COMPUTED_VALUE"""),"As a salesperson, I can create/modify contacts, organizations, sales opportunities, and proposals")</f>
        <v>As a salesperson, I can create/modify contacts, organizations, sales opportunities, and proposals</v>
      </c>
      <c r="D479" s="28">
        <f>IFERROR(__xludf.DUMMYFUNCTION("""COMPUTED_VALUE"""),7.0)</f>
        <v>7</v>
      </c>
      <c r="E479" s="29">
        <f>IFERROR(__xludf.DUMMYFUNCTION("""COMPUTED_VALUE"""),44007.0)</f>
        <v>44007</v>
      </c>
      <c r="F479" s="26" t="str">
        <f>IFERROR(__xludf.DUMMYFUNCTION("""COMPUTED_VALUE"""),"5ee7b6cf02b4400ac4b65399")</f>
        <v>5ee7b6cf02b4400ac4b65399</v>
      </c>
      <c r="G479" s="26" t="str">
        <f>IFERROR(__xludf.DUMMYFUNCTION("""COMPUTED_VALUE"""),"Jessica Obando")</f>
        <v>Jessica Obando</v>
      </c>
      <c r="H479" s="26" t="b">
        <v>0</v>
      </c>
    </row>
    <row r="480" hidden="1">
      <c r="A480" s="26" t="str">
        <f>VLOOKUP(B480,'2020 SRED (JIRA) - Issues and l'!$B:$C,2,FALSE)</f>
        <v>portal-builder-SRED</v>
      </c>
      <c r="B480" s="27" t="str">
        <f>IFERROR(__xludf.DUMMYFUNCTION("""COMPUTED_VALUE"""),"ITP-1847")</f>
        <v>ITP-1847</v>
      </c>
      <c r="C480" s="26" t="str">
        <f>IFERROR(__xludf.DUMMYFUNCTION("""COMPUTED_VALUE"""),"Add reply count and login number to the touchpoint statistics")</f>
        <v>Add reply count and login number to the touchpoint statistics</v>
      </c>
      <c r="D480" s="28">
        <f>IFERROR(__xludf.DUMMYFUNCTION("""COMPUTED_VALUE"""),1.66666666666666)</f>
        <v>1.666666667</v>
      </c>
      <c r="E480" s="29">
        <f>IFERROR(__xludf.DUMMYFUNCTION("""COMPUTED_VALUE"""),44008.0)</f>
        <v>44008</v>
      </c>
      <c r="F480" s="26" t="str">
        <f>IFERROR(__xludf.DUMMYFUNCTION("""COMPUTED_VALUE"""),"557058:3124a1f0-e92a-405c-93f2-c1d4e621bc77")</f>
        <v>557058:3124a1f0-e92a-405c-93f2-c1d4e621bc77</v>
      </c>
      <c r="G480" s="26" t="str">
        <f>IFERROR(__xludf.DUMMYFUNCTION("""COMPUTED_VALUE"""),"Trevor Coehoorn")</f>
        <v>Trevor Coehoorn</v>
      </c>
      <c r="H480" s="26" t="b">
        <v>0</v>
      </c>
    </row>
    <row r="481" hidden="1">
      <c r="A481" s="26" t="str">
        <f>VLOOKUP(B481,'2020 SRED (JIRA) - Issues and l'!$B:$C,2,FALSE)</f>
        <v>portal-builder-SRED</v>
      </c>
      <c r="B481" s="27" t="str">
        <f>IFERROR(__xludf.DUMMYFUNCTION("""COMPUTED_VALUE"""),"ITP-1857")</f>
        <v>ITP-1857</v>
      </c>
      <c r="C481" s="26" t="str">
        <f>IFERROR(__xludf.DUMMYFUNCTION("""COMPUTED_VALUE"""),"Collapse comments in annotation activities")</f>
        <v>Collapse comments in annotation activities</v>
      </c>
      <c r="D481" s="28">
        <f>IFERROR(__xludf.DUMMYFUNCTION("""COMPUTED_VALUE"""),1.61666666666666)</f>
        <v>1.616666667</v>
      </c>
      <c r="E481" s="29">
        <f>IFERROR(__xludf.DUMMYFUNCTION("""COMPUTED_VALUE"""),44008.0)</f>
        <v>44008</v>
      </c>
      <c r="F481" s="26" t="str">
        <f>IFERROR(__xludf.DUMMYFUNCTION("""COMPUTED_VALUE"""),"557058:3124a1f0-e92a-405c-93f2-c1d4e621bc77")</f>
        <v>557058:3124a1f0-e92a-405c-93f2-c1d4e621bc77</v>
      </c>
      <c r="G481" s="26" t="str">
        <f>IFERROR(__xludf.DUMMYFUNCTION("""COMPUTED_VALUE"""),"Trevor Coehoorn")</f>
        <v>Trevor Coehoorn</v>
      </c>
      <c r="H481" s="26" t="b">
        <v>0</v>
      </c>
    </row>
    <row r="482" hidden="1">
      <c r="A482" s="26" t="str">
        <f>VLOOKUP(B482,'2020 SRED (JIRA) - Issues and l'!$B:$C,2,FALSE)</f>
        <v>portal-builder-SRED</v>
      </c>
      <c r="B482" s="27" t="str">
        <f>IFERROR(__xludf.DUMMYFUNCTION("""COMPUTED_VALUE"""),"ITP-1859")</f>
        <v>ITP-1859</v>
      </c>
      <c r="C482" s="26" t="str">
        <f>IFERROR(__xludf.DUMMYFUNCTION("""COMPUTED_VALUE"""),"Webform analysis components broken (title length limit)")</f>
        <v>Webform analysis components broken (title length limit)</v>
      </c>
      <c r="D482" s="28">
        <f>IFERROR(__xludf.DUMMYFUNCTION("""COMPUTED_VALUE"""),1.01666666666666)</f>
        <v>1.016666667</v>
      </c>
      <c r="E482" s="29">
        <f>IFERROR(__xludf.DUMMYFUNCTION("""COMPUTED_VALUE"""),44008.0)</f>
        <v>44008</v>
      </c>
      <c r="F482" s="26" t="str">
        <f>IFERROR(__xludf.DUMMYFUNCTION("""COMPUTED_VALUE"""),"557058:3124a1f0-e92a-405c-93f2-c1d4e621bc77")</f>
        <v>557058:3124a1f0-e92a-405c-93f2-c1d4e621bc77</v>
      </c>
      <c r="G482" s="26" t="str">
        <f>IFERROR(__xludf.DUMMYFUNCTION("""COMPUTED_VALUE"""),"Trevor Coehoorn")</f>
        <v>Trevor Coehoorn</v>
      </c>
      <c r="H482" s="26" t="b">
        <v>0</v>
      </c>
    </row>
    <row r="483" hidden="1">
      <c r="A483" s="26" t="str">
        <f>VLOOKUP(B483,'2020 SRED (JIRA) - Issues and l'!$B:$C,2,FALSE)</f>
        <v>insite-event-SRED</v>
      </c>
      <c r="B483" s="27" t="str">
        <f>IFERROR(__xludf.DUMMYFUNCTION("""COMPUTED_VALUE"""),"ZAPI-6")</f>
        <v>ZAPI-6</v>
      </c>
      <c r="C483" s="26" t="str">
        <f>IFERROR(__xludf.DUMMYFUNCTION("""COMPUTED_VALUE"""),"Zoom API v2 (Registration Flow and Reporting)")</f>
        <v>Zoom API v2 (Registration Flow and Reporting)</v>
      </c>
      <c r="D483" s="28">
        <f>IFERROR(__xludf.DUMMYFUNCTION("""COMPUTED_VALUE"""),0.3)</f>
        <v>0.3</v>
      </c>
      <c r="E483" s="29">
        <f>IFERROR(__xludf.DUMMYFUNCTION("""COMPUTED_VALUE"""),44008.0)</f>
        <v>44008</v>
      </c>
      <c r="F483" s="26" t="str">
        <f>IFERROR(__xludf.DUMMYFUNCTION("""COMPUTED_VALUE"""),"557058:3124a1f0-e92a-405c-93f2-c1d4e621bc77")</f>
        <v>557058:3124a1f0-e92a-405c-93f2-c1d4e621bc77</v>
      </c>
      <c r="G483" s="26" t="str">
        <f>IFERROR(__xludf.DUMMYFUNCTION("""COMPUTED_VALUE"""),"Trevor Coehoorn")</f>
        <v>Trevor Coehoorn</v>
      </c>
      <c r="H483" s="26" t="b">
        <v>0</v>
      </c>
    </row>
    <row r="484" hidden="1">
      <c r="A484" s="26" t="str">
        <f>VLOOKUP(B484,'2020 SRED (JIRA) - Issues and l'!$B:$C,2,FALSE)</f>
        <v>insite-workflow-SRED</v>
      </c>
      <c r="B484" s="27" t="str">
        <f>IFERROR(__xludf.DUMMYFUNCTION("""COMPUTED_VALUE"""),"APPS-82")</f>
        <v>APPS-82</v>
      </c>
      <c r="C484" s="26" t="str">
        <f>IFERROR(__xludf.DUMMYFUNCTION("""COMPUTED_VALUE"""),"As a client, I can request a new synchronous touchpoint")</f>
        <v>As a client, I can request a new synchronous touchpoint</v>
      </c>
      <c r="D484" s="28">
        <f>IFERROR(__xludf.DUMMYFUNCTION("""COMPUTED_VALUE"""),8.0)</f>
        <v>8</v>
      </c>
      <c r="E484" s="29">
        <f>IFERROR(__xludf.DUMMYFUNCTION("""COMPUTED_VALUE"""),44008.0)</f>
        <v>44008</v>
      </c>
      <c r="F484" s="26" t="str">
        <f>IFERROR(__xludf.DUMMYFUNCTION("""COMPUTED_VALUE"""),"5ee7b6ce868ce30ac49e2521")</f>
        <v>5ee7b6ce868ce30ac49e2521</v>
      </c>
      <c r="G484" s="26" t="str">
        <f>IFERROR(__xludf.DUMMYFUNCTION("""COMPUTED_VALUE"""),"Bryan Le")</f>
        <v>Bryan Le</v>
      </c>
      <c r="H484" s="26" t="b">
        <v>0</v>
      </c>
    </row>
    <row r="485" hidden="1">
      <c r="A485" s="26" t="str">
        <f>VLOOKUP(B485,'2020 SRED (JIRA) - Issues and l'!$B:$C,2,FALSE)</f>
        <v>insite-workflow-SRED</v>
      </c>
      <c r="B485" s="27" t="str">
        <f>IFERROR(__xludf.DUMMYFUNCTION("""COMPUTED_VALUE"""),"APPS-35")</f>
        <v>APPS-35</v>
      </c>
      <c r="C485" s="26" t="str">
        <f>IFERROR(__xludf.DUMMYFUNCTION("""COMPUTED_VALUE"""),"As a salesperson, I can create/modify contacts, organizations, sales opportunities, and proposals")</f>
        <v>As a salesperson, I can create/modify contacts, organizations, sales opportunities, and proposals</v>
      </c>
      <c r="D485" s="28">
        <f>IFERROR(__xludf.DUMMYFUNCTION("""COMPUTED_VALUE"""),7.0)</f>
        <v>7</v>
      </c>
      <c r="E485" s="29">
        <f>IFERROR(__xludf.DUMMYFUNCTION("""COMPUTED_VALUE"""),44008.0)</f>
        <v>44008</v>
      </c>
      <c r="F485" s="26" t="str">
        <f>IFERROR(__xludf.DUMMYFUNCTION("""COMPUTED_VALUE"""),"5ee7b6cf02b4400ac4b65399")</f>
        <v>5ee7b6cf02b4400ac4b65399</v>
      </c>
      <c r="G485" s="26" t="str">
        <f>IFERROR(__xludf.DUMMYFUNCTION("""COMPUTED_VALUE"""),"Jessica Obando")</f>
        <v>Jessica Obando</v>
      </c>
      <c r="H485" s="26" t="b">
        <v>0</v>
      </c>
    </row>
    <row r="486" hidden="1">
      <c r="A486" s="26" t="str">
        <f>VLOOKUP(B486,'2020 SRED (JIRA) - Issues and l'!$B:$C,2,FALSE)</f>
        <v>insite-event-SRED</v>
      </c>
      <c r="B486" s="27" t="str">
        <f>IFERROR(__xludf.DUMMYFUNCTION("""COMPUTED_VALUE"""),"ZAPI-83")</f>
        <v>ZAPI-83</v>
      </c>
      <c r="C486" s="26" t="str">
        <f>IFERROR(__xludf.DUMMYFUNCTION("""COMPUTED_VALUE"""),"Change mentioning of meeting ""password"" to ""passcode"" to be consistent with Zoom's change in language")</f>
        <v>Change mentioning of meeting "password" to "passcode" to be consistent with Zoom's change in language</v>
      </c>
      <c r="D486" s="28">
        <f>IFERROR(__xludf.DUMMYFUNCTION("""COMPUTED_VALUE"""),0.2)</f>
        <v>0.2</v>
      </c>
      <c r="E486" s="29">
        <f>IFERROR(__xludf.DUMMYFUNCTION("""COMPUTED_VALUE"""),44011.0)</f>
        <v>44011</v>
      </c>
      <c r="F486" s="26" t="str">
        <f>IFERROR(__xludf.DUMMYFUNCTION("""COMPUTED_VALUE"""),"557058:3124a1f0-e92a-405c-93f2-c1d4e621bc77")</f>
        <v>557058:3124a1f0-e92a-405c-93f2-c1d4e621bc77</v>
      </c>
      <c r="G486" s="26" t="str">
        <f>IFERROR(__xludf.DUMMYFUNCTION("""COMPUTED_VALUE"""),"Trevor Coehoorn")</f>
        <v>Trevor Coehoorn</v>
      </c>
      <c r="H486" s="26" t="b">
        <v>0</v>
      </c>
    </row>
    <row r="487" hidden="1">
      <c r="A487" s="26" t="str">
        <f>VLOOKUP(B487,'2020 SRED (JIRA) - Issues and l'!$B:$C,2,FALSE)</f>
        <v>portal-builder-SRED</v>
      </c>
      <c r="B487" s="27" t="str">
        <f>IFERROR(__xludf.DUMMYFUNCTION("""COMPUTED_VALUE"""),"ITP-1819")</f>
        <v>ITP-1819</v>
      </c>
      <c r="C487" s="26" t="str">
        <f>IFERROR(__xludf.DUMMYFUNCTION("""COMPUTED_VALUE"""),"Set up one-time login password creation process")</f>
        <v>Set up one-time login password creation process</v>
      </c>
      <c r="D487" s="28">
        <f>IFERROR(__xludf.DUMMYFUNCTION("""COMPUTED_VALUE"""),0.433333333333333)</f>
        <v>0.4333333333</v>
      </c>
      <c r="E487" s="29">
        <f>IFERROR(__xludf.DUMMYFUNCTION("""COMPUTED_VALUE"""),44011.0)</f>
        <v>44011</v>
      </c>
      <c r="F487" s="26" t="str">
        <f>IFERROR(__xludf.DUMMYFUNCTION("""COMPUTED_VALUE"""),"557058:3124a1f0-e92a-405c-93f2-c1d4e621bc77")</f>
        <v>557058:3124a1f0-e92a-405c-93f2-c1d4e621bc77</v>
      </c>
      <c r="G487" s="26" t="str">
        <f>IFERROR(__xludf.DUMMYFUNCTION("""COMPUTED_VALUE"""),"Trevor Coehoorn")</f>
        <v>Trevor Coehoorn</v>
      </c>
      <c r="H487" s="26" t="b">
        <v>0</v>
      </c>
    </row>
    <row r="488" hidden="1">
      <c r="A488" s="26" t="str">
        <f>VLOOKUP(B488,'2020 SRED (JIRA) - Issues and l'!$B:$C,2,FALSE)</f>
        <v>portal-builder-SRED</v>
      </c>
      <c r="B488" s="27" t="str">
        <f>IFERROR(__xludf.DUMMYFUNCTION("""COMPUTED_VALUE"""),"ITP-1857")</f>
        <v>ITP-1857</v>
      </c>
      <c r="C488" s="26" t="str">
        <f>IFERROR(__xludf.DUMMYFUNCTION("""COMPUTED_VALUE"""),"Collapse comments in annotation activities")</f>
        <v>Collapse comments in annotation activities</v>
      </c>
      <c r="D488" s="28">
        <f>IFERROR(__xludf.DUMMYFUNCTION("""COMPUTED_VALUE"""),0.25)</f>
        <v>0.25</v>
      </c>
      <c r="E488" s="29">
        <f>IFERROR(__xludf.DUMMYFUNCTION("""COMPUTED_VALUE"""),44011.0)</f>
        <v>44011</v>
      </c>
      <c r="F488" s="26" t="str">
        <f>IFERROR(__xludf.DUMMYFUNCTION("""COMPUTED_VALUE"""),"557058:3124a1f0-e92a-405c-93f2-c1d4e621bc77")</f>
        <v>557058:3124a1f0-e92a-405c-93f2-c1d4e621bc77</v>
      </c>
      <c r="G488" s="26" t="str">
        <f>IFERROR(__xludf.DUMMYFUNCTION("""COMPUTED_VALUE"""),"Trevor Coehoorn")</f>
        <v>Trevor Coehoorn</v>
      </c>
      <c r="H488" s="26" t="b">
        <v>0</v>
      </c>
    </row>
    <row r="489" hidden="1">
      <c r="A489" s="26" t="str">
        <f>VLOOKUP(B489,'2020 SRED (JIRA) - Issues and l'!$B:$C,2,FALSE)</f>
        <v>portal-builder-SRED</v>
      </c>
      <c r="B489" s="27" t="str">
        <f>IFERROR(__xludf.DUMMYFUNCTION("""COMPUTED_VALUE"""),"ITP-1860")</f>
        <v>ITP-1860</v>
      </c>
      <c r="C489" s="26" t="str">
        <f>IFERROR(__xludf.DUMMYFUNCTION("""COMPUTED_VALUE"""),"Count characters instead of words in Asian language touchpoints")</f>
        <v>Count characters instead of words in Asian language touchpoints</v>
      </c>
      <c r="D489" s="28">
        <f>IFERROR(__xludf.DUMMYFUNCTION("""COMPUTED_VALUE"""),1.71666666666666)</f>
        <v>1.716666667</v>
      </c>
      <c r="E489" s="29">
        <f>IFERROR(__xludf.DUMMYFUNCTION("""COMPUTED_VALUE"""),44011.0)</f>
        <v>44011</v>
      </c>
      <c r="F489" s="26" t="str">
        <f>IFERROR(__xludf.DUMMYFUNCTION("""COMPUTED_VALUE"""),"557058:3124a1f0-e92a-405c-93f2-c1d4e621bc77")</f>
        <v>557058:3124a1f0-e92a-405c-93f2-c1d4e621bc77</v>
      </c>
      <c r="G489" s="26" t="str">
        <f>IFERROR(__xludf.DUMMYFUNCTION("""COMPUTED_VALUE"""),"Trevor Coehoorn")</f>
        <v>Trevor Coehoorn</v>
      </c>
      <c r="H489" s="26" t="b">
        <v>0</v>
      </c>
    </row>
    <row r="490" hidden="1">
      <c r="A490" s="26" t="str">
        <f>VLOOKUP(B490,'2020 SRED (JIRA) - Issues and l'!$B:$C,2,FALSE)</f>
        <v>insite-event-SRED</v>
      </c>
      <c r="B490" s="27" t="str">
        <f>IFERROR(__xludf.DUMMYFUNCTION("""COMPUTED_VALUE"""),"ZAPI-13")</f>
        <v>ZAPI-13</v>
      </c>
      <c r="C490" s="26" t="str">
        <f>IFERROR(__xludf.DUMMYFUNCTION("""COMPUTED_VALUE"""),"As an attendee, I can access meeting/webinar recordings via the portal")</f>
        <v>As an attendee, I can access meeting/webinar recordings via the portal</v>
      </c>
      <c r="D490" s="28">
        <f>IFERROR(__xludf.DUMMYFUNCTION("""COMPUTED_VALUE"""),0.3)</f>
        <v>0.3</v>
      </c>
      <c r="E490" s="29">
        <f>IFERROR(__xludf.DUMMYFUNCTION("""COMPUTED_VALUE"""),44011.0)</f>
        <v>44011</v>
      </c>
      <c r="F490" s="26" t="str">
        <f>IFERROR(__xludf.DUMMYFUNCTION("""COMPUTED_VALUE"""),"557058:3124a1f0-e92a-405c-93f2-c1d4e621bc77")</f>
        <v>557058:3124a1f0-e92a-405c-93f2-c1d4e621bc77</v>
      </c>
      <c r="G490" s="26" t="str">
        <f>IFERROR(__xludf.DUMMYFUNCTION("""COMPUTED_VALUE"""),"Trevor Coehoorn")</f>
        <v>Trevor Coehoorn</v>
      </c>
      <c r="H490" s="26" t="b">
        <v>0</v>
      </c>
    </row>
    <row r="491" hidden="1">
      <c r="A491" s="26" t="str">
        <f>VLOOKUP(B491,'2020 SRED (JIRA) - Issues and l'!$B:$C,2,FALSE)</f>
        <v>insite-event-SRED</v>
      </c>
      <c r="B491" s="27" t="str">
        <f>IFERROR(__xludf.DUMMYFUNCTION("""COMPUTED_VALUE"""),"ZAPI-6")</f>
        <v>ZAPI-6</v>
      </c>
      <c r="C491" s="26" t="str">
        <f>IFERROR(__xludf.DUMMYFUNCTION("""COMPUTED_VALUE"""),"Zoom API v2 (Registration Flow and Reporting)")</f>
        <v>Zoom API v2 (Registration Flow and Reporting)</v>
      </c>
      <c r="D491" s="28">
        <f>IFERROR(__xludf.DUMMYFUNCTION("""COMPUTED_VALUE"""),0.466666666666666)</f>
        <v>0.4666666667</v>
      </c>
      <c r="E491" s="29">
        <f>IFERROR(__xludf.DUMMYFUNCTION("""COMPUTED_VALUE"""),44011.0)</f>
        <v>44011</v>
      </c>
      <c r="F491" s="26" t="str">
        <f>IFERROR(__xludf.DUMMYFUNCTION("""COMPUTED_VALUE"""),"557058:3124a1f0-e92a-405c-93f2-c1d4e621bc77")</f>
        <v>557058:3124a1f0-e92a-405c-93f2-c1d4e621bc77</v>
      </c>
      <c r="G491" s="26" t="str">
        <f>IFERROR(__xludf.DUMMYFUNCTION("""COMPUTED_VALUE"""),"Trevor Coehoorn")</f>
        <v>Trevor Coehoorn</v>
      </c>
      <c r="H491" s="26" t="b">
        <v>0</v>
      </c>
    </row>
    <row r="492" hidden="1">
      <c r="A492" s="26" t="str">
        <f>VLOOKUP(B492,'2020 SRED (JIRA) - Issues and l'!$B:$C,2,FALSE)</f>
        <v>portal-builder-SRED</v>
      </c>
      <c r="B492" s="27" t="str">
        <f>IFERROR(__xludf.DUMMYFUNCTION("""COMPUTED_VALUE"""),"ITP-1847")</f>
        <v>ITP-1847</v>
      </c>
      <c r="C492" s="26" t="str">
        <f>IFERROR(__xludf.DUMMYFUNCTION("""COMPUTED_VALUE"""),"Add reply count and login number to the touchpoint statistics")</f>
        <v>Add reply count and login number to the touchpoint statistics</v>
      </c>
      <c r="D492" s="28">
        <f>IFERROR(__xludf.DUMMYFUNCTION("""COMPUTED_VALUE"""),4.45)</f>
        <v>4.45</v>
      </c>
      <c r="E492" s="29">
        <f>IFERROR(__xludf.DUMMYFUNCTION("""COMPUTED_VALUE"""),44011.0)</f>
        <v>44011</v>
      </c>
      <c r="F492" s="26" t="str">
        <f>IFERROR(__xludf.DUMMYFUNCTION("""COMPUTED_VALUE"""),"557058:3124a1f0-e92a-405c-93f2-c1d4e621bc77")</f>
        <v>557058:3124a1f0-e92a-405c-93f2-c1d4e621bc77</v>
      </c>
      <c r="G492" s="26" t="str">
        <f>IFERROR(__xludf.DUMMYFUNCTION("""COMPUTED_VALUE"""),"Trevor Coehoorn")</f>
        <v>Trevor Coehoorn</v>
      </c>
      <c r="H492" s="26" t="b">
        <v>0</v>
      </c>
    </row>
    <row r="493" hidden="1">
      <c r="A493" s="26" t="str">
        <f>VLOOKUP(B493,'2020 SRED (JIRA) - Issues and l'!$B:$C,2,FALSE)</f>
        <v>insite-workflow-SRED</v>
      </c>
      <c r="B493" s="27" t="str">
        <f>IFERROR(__xludf.DUMMYFUNCTION("""COMPUTED_VALUE"""),"APPS-82")</f>
        <v>APPS-82</v>
      </c>
      <c r="C493" s="26" t="str">
        <f>IFERROR(__xludf.DUMMYFUNCTION("""COMPUTED_VALUE"""),"As a client, I can request a new synchronous touchpoint")</f>
        <v>As a client, I can request a new synchronous touchpoint</v>
      </c>
      <c r="D493" s="28">
        <f>IFERROR(__xludf.DUMMYFUNCTION("""COMPUTED_VALUE"""),7.0)</f>
        <v>7</v>
      </c>
      <c r="E493" s="29">
        <f>IFERROR(__xludf.DUMMYFUNCTION("""COMPUTED_VALUE"""),44011.0)</f>
        <v>44011</v>
      </c>
      <c r="F493" s="26" t="str">
        <f>IFERROR(__xludf.DUMMYFUNCTION("""COMPUTED_VALUE"""),"5ee7b6ce868ce30ac49e2521")</f>
        <v>5ee7b6ce868ce30ac49e2521</v>
      </c>
      <c r="G493" s="26" t="str">
        <f>IFERROR(__xludf.DUMMYFUNCTION("""COMPUTED_VALUE"""),"Bryan Le")</f>
        <v>Bryan Le</v>
      </c>
      <c r="H493" s="26" t="b">
        <v>0</v>
      </c>
    </row>
    <row r="494" hidden="1">
      <c r="A494" s="26" t="str">
        <f>VLOOKUP(B494,'2020 SRED (JIRA) - Issues and l'!$B:$C,2,FALSE)</f>
        <v>insite-workflow-SRED</v>
      </c>
      <c r="B494" s="27" t="str">
        <f>IFERROR(__xludf.DUMMYFUNCTION("""COMPUTED_VALUE"""),"APPS-35")</f>
        <v>APPS-35</v>
      </c>
      <c r="C494" s="26" t="str">
        <f>IFERROR(__xludf.DUMMYFUNCTION("""COMPUTED_VALUE"""),"As a salesperson, I can create/modify contacts, organizations, sales opportunities, and proposals")</f>
        <v>As a salesperson, I can create/modify contacts, organizations, sales opportunities, and proposals</v>
      </c>
      <c r="D494" s="28">
        <f>IFERROR(__xludf.DUMMYFUNCTION("""COMPUTED_VALUE"""),8.0)</f>
        <v>8</v>
      </c>
      <c r="E494" s="29">
        <f>IFERROR(__xludf.DUMMYFUNCTION("""COMPUTED_VALUE"""),44011.0)</f>
        <v>44011</v>
      </c>
      <c r="F494" s="26" t="str">
        <f>IFERROR(__xludf.DUMMYFUNCTION("""COMPUTED_VALUE"""),"5ee7b6cf02b4400ac4b65399")</f>
        <v>5ee7b6cf02b4400ac4b65399</v>
      </c>
      <c r="G494" s="26" t="str">
        <f>IFERROR(__xludf.DUMMYFUNCTION("""COMPUTED_VALUE"""),"Jessica Obando")</f>
        <v>Jessica Obando</v>
      </c>
      <c r="H494" s="26" t="b">
        <v>0</v>
      </c>
    </row>
    <row r="495" hidden="1">
      <c r="A495" s="26" t="str">
        <f>VLOOKUP(B495,'2020 SRED (JIRA) - Issues and l'!$B:$C,2,FALSE)</f>
        <v>insite-workflow-SRED</v>
      </c>
      <c r="B495" s="27" t="str">
        <f>IFERROR(__xludf.DUMMYFUNCTION("""COMPUTED_VALUE"""),"APPS-102")</f>
        <v>APPS-102</v>
      </c>
      <c r="C495" s="26" t="str">
        <f>IFERROR(__xludf.DUMMYFUNCTION("""COMPUTED_VALUE"""),"APPS Review Meeting")</f>
        <v>APPS Review Meeting</v>
      </c>
      <c r="D495" s="28">
        <f>IFERROR(__xludf.DUMMYFUNCTION("""COMPUTED_VALUE"""),1.58333333333333)</f>
        <v>1.583333333</v>
      </c>
      <c r="E495" s="29">
        <f>IFERROR(__xludf.DUMMYFUNCTION("""COMPUTED_VALUE"""),44011.71527777778)</f>
        <v>44011.71528</v>
      </c>
      <c r="F495" s="26" t="str">
        <f>IFERROR(__xludf.DUMMYFUNCTION("""COMPUTED_VALUE"""),"5ec3f07a5269230c34d51fd3")</f>
        <v>5ec3f07a5269230c34d51fd3</v>
      </c>
      <c r="G495" s="26" t="str">
        <f>IFERROR(__xludf.DUMMYFUNCTION("""COMPUTED_VALUE"""),"Nikita Kuzmin")</f>
        <v>Nikita Kuzmin</v>
      </c>
      <c r="H495" s="26" t="b">
        <v>0</v>
      </c>
    </row>
    <row r="496" hidden="1">
      <c r="A496" s="26" t="str">
        <f>VLOOKUP(B496,'2020 SRED (JIRA) - Issues and l'!$B:$C,2,FALSE)</f>
        <v>insite-event-SRED</v>
      </c>
      <c r="B496" s="27" t="str">
        <f>IFERROR(__xludf.DUMMYFUNCTION("""COMPUTED_VALUE"""),"ZAPI-13")</f>
        <v>ZAPI-13</v>
      </c>
      <c r="C496" s="26" t="str">
        <f>IFERROR(__xludf.DUMMYFUNCTION("""COMPUTED_VALUE"""),"As an attendee, I can access meeting/webinar recordings via the portal")</f>
        <v>As an attendee, I can access meeting/webinar recordings via the portal</v>
      </c>
      <c r="D496" s="28">
        <f>IFERROR(__xludf.DUMMYFUNCTION("""COMPUTED_VALUE"""),0.133333333333333)</f>
        <v>0.1333333333</v>
      </c>
      <c r="E496" s="29">
        <f>IFERROR(__xludf.DUMMYFUNCTION("""COMPUTED_VALUE"""),44012.0)</f>
        <v>44012</v>
      </c>
      <c r="F496" s="26" t="str">
        <f>IFERROR(__xludf.DUMMYFUNCTION("""COMPUTED_VALUE"""),"557058:3124a1f0-e92a-405c-93f2-c1d4e621bc77")</f>
        <v>557058:3124a1f0-e92a-405c-93f2-c1d4e621bc77</v>
      </c>
      <c r="G496" s="26" t="str">
        <f>IFERROR(__xludf.DUMMYFUNCTION("""COMPUTED_VALUE"""),"Trevor Coehoorn")</f>
        <v>Trevor Coehoorn</v>
      </c>
      <c r="H496" s="26" t="b">
        <v>0</v>
      </c>
    </row>
    <row r="497" hidden="1">
      <c r="A497" s="26" t="str">
        <f>VLOOKUP(B497,'2020 SRED (JIRA) - Issues and l'!$B:$C,2,FALSE)</f>
        <v>portal-builder-SRED</v>
      </c>
      <c r="B497" s="27" t="str">
        <f>IFERROR(__xludf.DUMMYFUNCTION("""COMPUTED_VALUE"""),"ITP-1860")</f>
        <v>ITP-1860</v>
      </c>
      <c r="C497" s="26" t="str">
        <f>IFERROR(__xludf.DUMMYFUNCTION("""COMPUTED_VALUE"""),"Count characters instead of words in Asian language touchpoints")</f>
        <v>Count characters instead of words in Asian language touchpoints</v>
      </c>
      <c r="D497" s="28">
        <f>IFERROR(__xludf.DUMMYFUNCTION("""COMPUTED_VALUE"""),4.66666666666666)</f>
        <v>4.666666667</v>
      </c>
      <c r="E497" s="29">
        <f>IFERROR(__xludf.DUMMYFUNCTION("""COMPUTED_VALUE"""),44012.0)</f>
        <v>44012</v>
      </c>
      <c r="F497" s="26" t="str">
        <f>IFERROR(__xludf.DUMMYFUNCTION("""COMPUTED_VALUE"""),"557058:3124a1f0-e92a-405c-93f2-c1d4e621bc77")</f>
        <v>557058:3124a1f0-e92a-405c-93f2-c1d4e621bc77</v>
      </c>
      <c r="G497" s="26" t="str">
        <f>IFERROR(__xludf.DUMMYFUNCTION("""COMPUTED_VALUE"""),"Trevor Coehoorn")</f>
        <v>Trevor Coehoorn</v>
      </c>
      <c r="H497" s="26" t="b">
        <v>0</v>
      </c>
    </row>
    <row r="498" hidden="1">
      <c r="A498" s="26" t="str">
        <f>VLOOKUP(B498,'2020 SRED (JIRA) - Issues and l'!$B:$C,2,FALSE)</f>
        <v>portal-builder-SRED</v>
      </c>
      <c r="B498" s="27" t="str">
        <f>IFERROR(__xludf.DUMMYFUNCTION("""COMPUTED_VALUE"""),"ITP-1819")</f>
        <v>ITP-1819</v>
      </c>
      <c r="C498" s="26" t="str">
        <f>IFERROR(__xludf.DUMMYFUNCTION("""COMPUTED_VALUE"""),"Set up one-time login password creation process")</f>
        <v>Set up one-time login password creation process</v>
      </c>
      <c r="D498" s="28">
        <f>IFERROR(__xludf.DUMMYFUNCTION("""COMPUTED_VALUE"""),0.183333333333333)</f>
        <v>0.1833333333</v>
      </c>
      <c r="E498" s="29">
        <f>IFERROR(__xludf.DUMMYFUNCTION("""COMPUTED_VALUE"""),44012.0)</f>
        <v>44012</v>
      </c>
      <c r="F498" s="26" t="str">
        <f>IFERROR(__xludf.DUMMYFUNCTION("""COMPUTED_VALUE"""),"557058:3124a1f0-e92a-405c-93f2-c1d4e621bc77")</f>
        <v>557058:3124a1f0-e92a-405c-93f2-c1d4e621bc77</v>
      </c>
      <c r="G498" s="26" t="str">
        <f>IFERROR(__xludf.DUMMYFUNCTION("""COMPUTED_VALUE"""),"Trevor Coehoorn")</f>
        <v>Trevor Coehoorn</v>
      </c>
      <c r="H498" s="26" t="b">
        <v>0</v>
      </c>
    </row>
    <row r="499" hidden="1">
      <c r="A499" s="26" t="str">
        <f>VLOOKUP(B499,'2020 SRED (JIRA) - Issues and l'!$B:$C,2,FALSE)</f>
        <v>insite-event-SRED</v>
      </c>
      <c r="B499" s="27" t="str">
        <f>IFERROR(__xludf.DUMMYFUNCTION("""COMPUTED_VALUE"""),"ZAPI-6")</f>
        <v>ZAPI-6</v>
      </c>
      <c r="C499" s="26" t="str">
        <f>IFERROR(__xludf.DUMMYFUNCTION("""COMPUTED_VALUE"""),"Zoom API v2 (Registration Flow and Reporting)")</f>
        <v>Zoom API v2 (Registration Flow and Reporting)</v>
      </c>
      <c r="D499" s="28">
        <f>IFERROR(__xludf.DUMMYFUNCTION("""COMPUTED_VALUE"""),0.55)</f>
        <v>0.55</v>
      </c>
      <c r="E499" s="29">
        <f>IFERROR(__xludf.DUMMYFUNCTION("""COMPUTED_VALUE"""),44012.0)</f>
        <v>44012</v>
      </c>
      <c r="F499" s="26" t="str">
        <f>IFERROR(__xludf.DUMMYFUNCTION("""COMPUTED_VALUE"""),"557058:3124a1f0-e92a-405c-93f2-c1d4e621bc77")</f>
        <v>557058:3124a1f0-e92a-405c-93f2-c1d4e621bc77</v>
      </c>
      <c r="G499" s="26" t="str">
        <f>IFERROR(__xludf.DUMMYFUNCTION("""COMPUTED_VALUE"""),"Trevor Coehoorn")</f>
        <v>Trevor Coehoorn</v>
      </c>
      <c r="H499" s="26" t="b">
        <v>0</v>
      </c>
    </row>
    <row r="500" hidden="1">
      <c r="A500" s="26" t="str">
        <f>VLOOKUP(B500,'2020 SRED (JIRA) - Issues and l'!$B:$C,2,FALSE)</f>
        <v>portal-builder-SRED</v>
      </c>
      <c r="B500" s="27" t="str">
        <f>IFERROR(__xludf.DUMMYFUNCTION("""COMPUTED_VALUE"""),"ITP-1859")</f>
        <v>ITP-1859</v>
      </c>
      <c r="C500" s="26" t="str">
        <f>IFERROR(__xludf.DUMMYFUNCTION("""COMPUTED_VALUE"""),"Webform analysis components broken (title length limit)")</f>
        <v>Webform analysis components broken (title length limit)</v>
      </c>
      <c r="D500" s="28">
        <f>IFERROR(__xludf.DUMMYFUNCTION("""COMPUTED_VALUE"""),1.0)</f>
        <v>1</v>
      </c>
      <c r="E500" s="29">
        <f>IFERROR(__xludf.DUMMYFUNCTION("""COMPUTED_VALUE"""),44012.0)</f>
        <v>44012</v>
      </c>
      <c r="F500" s="26" t="str">
        <f>IFERROR(__xludf.DUMMYFUNCTION("""COMPUTED_VALUE"""),"557058:73c9cac1-5a92-492c-86e8-838810ee0dde")</f>
        <v>557058:73c9cac1-5a92-492c-86e8-838810ee0dde</v>
      </c>
      <c r="G500" s="26" t="str">
        <f>IFERROR(__xludf.DUMMYFUNCTION("""COMPUTED_VALUE"""),"Dan Wells")</f>
        <v>Dan Wells</v>
      </c>
      <c r="H500" s="26" t="b">
        <v>0</v>
      </c>
    </row>
    <row r="501" hidden="1">
      <c r="A501" s="26" t="str">
        <f>VLOOKUP(B501,'2020 SRED (JIRA) - Issues and l'!$B:$C,2,FALSE)</f>
        <v>insite-workflow-SRED</v>
      </c>
      <c r="B501" s="27" t="str">
        <f>IFERROR(__xludf.DUMMYFUNCTION("""COMPUTED_VALUE"""),"APPS-82")</f>
        <v>APPS-82</v>
      </c>
      <c r="C501" s="26" t="str">
        <f>IFERROR(__xludf.DUMMYFUNCTION("""COMPUTED_VALUE"""),"As a client, I can request a new synchronous touchpoint")</f>
        <v>As a client, I can request a new synchronous touchpoint</v>
      </c>
      <c r="D501" s="28">
        <f>IFERROR(__xludf.DUMMYFUNCTION("""COMPUTED_VALUE"""),7.0)</f>
        <v>7</v>
      </c>
      <c r="E501" s="29">
        <f>IFERROR(__xludf.DUMMYFUNCTION("""COMPUTED_VALUE"""),44012.0)</f>
        <v>44012</v>
      </c>
      <c r="F501" s="26" t="str">
        <f>IFERROR(__xludf.DUMMYFUNCTION("""COMPUTED_VALUE"""),"5ee7b6ce868ce30ac49e2521")</f>
        <v>5ee7b6ce868ce30ac49e2521</v>
      </c>
      <c r="G501" s="26" t="str">
        <f>IFERROR(__xludf.DUMMYFUNCTION("""COMPUTED_VALUE"""),"Bryan Le")</f>
        <v>Bryan Le</v>
      </c>
      <c r="H501" s="26" t="b">
        <v>0</v>
      </c>
    </row>
    <row r="502" hidden="1">
      <c r="A502" s="26" t="str">
        <f>VLOOKUP(B502,'2020 SRED (JIRA) - Issues and l'!$B:$C,2,FALSE)</f>
        <v>insite-workflow-SRED</v>
      </c>
      <c r="B502" s="27" t="str">
        <f>IFERROR(__xludf.DUMMYFUNCTION("""COMPUTED_VALUE"""),"APPS-35")</f>
        <v>APPS-35</v>
      </c>
      <c r="C502" s="26" t="str">
        <f>IFERROR(__xludf.DUMMYFUNCTION("""COMPUTED_VALUE"""),"As a salesperson, I can create/modify contacts, organizations, sales opportunities, and proposals")</f>
        <v>As a salesperson, I can create/modify contacts, organizations, sales opportunities, and proposals</v>
      </c>
      <c r="D502" s="28">
        <f>IFERROR(__xludf.DUMMYFUNCTION("""COMPUTED_VALUE"""),7.0)</f>
        <v>7</v>
      </c>
      <c r="E502" s="29">
        <f>IFERROR(__xludf.DUMMYFUNCTION("""COMPUTED_VALUE"""),44012.0)</f>
        <v>44012</v>
      </c>
      <c r="F502" s="26" t="str">
        <f>IFERROR(__xludf.DUMMYFUNCTION("""COMPUTED_VALUE"""),"5ee7b6cf02b4400ac4b65399")</f>
        <v>5ee7b6cf02b4400ac4b65399</v>
      </c>
      <c r="G502" s="26" t="str">
        <f>IFERROR(__xludf.DUMMYFUNCTION("""COMPUTED_VALUE"""),"Jessica Obando")</f>
        <v>Jessica Obando</v>
      </c>
      <c r="H502" s="26" t="b">
        <v>0</v>
      </c>
    </row>
    <row r="503" hidden="1">
      <c r="A503" s="26" t="str">
        <f>VLOOKUP(B503,'2020 SRED (JIRA) - Issues and l'!$B:$C,2,FALSE)</f>
        <v>insite-workflow-SRED</v>
      </c>
      <c r="B503" s="27" t="str">
        <f>IFERROR(__xludf.DUMMYFUNCTION("""COMPUTED_VALUE"""),"APPS-102")</f>
        <v>APPS-102</v>
      </c>
      <c r="C503" s="26" t="str">
        <f>IFERROR(__xludf.DUMMYFUNCTION("""COMPUTED_VALUE"""),"APPS Review Meeting")</f>
        <v>APPS Review Meeting</v>
      </c>
      <c r="D503" s="28">
        <f>IFERROR(__xludf.DUMMYFUNCTION("""COMPUTED_VALUE"""),1.25)</f>
        <v>1.25</v>
      </c>
      <c r="E503" s="29">
        <f>IFERROR(__xludf.DUMMYFUNCTION("""COMPUTED_VALUE"""),44012.5)</f>
        <v>44012.5</v>
      </c>
      <c r="F503" s="26" t="str">
        <f>IFERROR(__xludf.DUMMYFUNCTION("""COMPUTED_VALUE"""),"5ec3f07a5269230c34d51fd3")</f>
        <v>5ec3f07a5269230c34d51fd3</v>
      </c>
      <c r="G503" s="26" t="str">
        <f>IFERROR(__xludf.DUMMYFUNCTION("""COMPUTED_VALUE"""),"Nikita Kuzmin")</f>
        <v>Nikita Kuzmin</v>
      </c>
      <c r="H503" s="26" t="b">
        <v>0</v>
      </c>
    </row>
    <row r="504" hidden="1">
      <c r="A504" s="26" t="str">
        <f>VLOOKUP(B504,'2020 SRED (JIRA) - Issues and l'!$B:$C,2,FALSE)</f>
        <v>portal-builder-SRED</v>
      </c>
      <c r="B504" s="27" t="str">
        <f>IFERROR(__xludf.DUMMYFUNCTION("""COMPUTED_VALUE"""),"ITP-1847")</f>
        <v>ITP-1847</v>
      </c>
      <c r="C504" s="26" t="str">
        <f>IFERROR(__xludf.DUMMYFUNCTION("""COMPUTED_VALUE"""),"Add reply count and login number to the touchpoint statistics")</f>
        <v>Add reply count and login number to the touchpoint statistics</v>
      </c>
      <c r="D504" s="28">
        <f>IFERROR(__xludf.DUMMYFUNCTION("""COMPUTED_VALUE"""),0.716666666666666)</f>
        <v>0.7166666667</v>
      </c>
      <c r="E504" s="29">
        <f>IFERROR(__xludf.DUMMYFUNCTION("""COMPUTED_VALUE"""),44013.0)</f>
        <v>44013</v>
      </c>
      <c r="F504" s="26" t="str">
        <f>IFERROR(__xludf.DUMMYFUNCTION("""COMPUTED_VALUE"""),"557058:3124a1f0-e92a-405c-93f2-c1d4e621bc77")</f>
        <v>557058:3124a1f0-e92a-405c-93f2-c1d4e621bc77</v>
      </c>
      <c r="G504" s="26" t="str">
        <f>IFERROR(__xludf.DUMMYFUNCTION("""COMPUTED_VALUE"""),"Trevor Coehoorn")</f>
        <v>Trevor Coehoorn</v>
      </c>
      <c r="H504" s="26" t="b">
        <v>0</v>
      </c>
    </row>
    <row r="505" hidden="1">
      <c r="A505" s="26" t="str">
        <f>VLOOKUP(B505,'2020 SRED (JIRA) - Issues and l'!$B:$C,2,FALSE)</f>
        <v>portal-builder-SRED</v>
      </c>
      <c r="B505" s="27" t="str">
        <f>IFERROR(__xludf.DUMMYFUNCTION("""COMPUTED_VALUE"""),"ITP-1860")</f>
        <v>ITP-1860</v>
      </c>
      <c r="C505" s="26" t="str">
        <f>IFERROR(__xludf.DUMMYFUNCTION("""COMPUTED_VALUE"""),"Count characters instead of words in Asian language touchpoints")</f>
        <v>Count characters instead of words in Asian language touchpoints</v>
      </c>
      <c r="D505" s="28">
        <f>IFERROR(__xludf.DUMMYFUNCTION("""COMPUTED_VALUE"""),1.0)</f>
        <v>1</v>
      </c>
      <c r="E505" s="29">
        <f>IFERROR(__xludf.DUMMYFUNCTION("""COMPUTED_VALUE"""),44013.0)</f>
        <v>44013</v>
      </c>
      <c r="F505" s="26" t="str">
        <f>IFERROR(__xludf.DUMMYFUNCTION("""COMPUTED_VALUE"""),"557058:3124a1f0-e92a-405c-93f2-c1d4e621bc77")</f>
        <v>557058:3124a1f0-e92a-405c-93f2-c1d4e621bc77</v>
      </c>
      <c r="G505" s="26" t="str">
        <f>IFERROR(__xludf.DUMMYFUNCTION("""COMPUTED_VALUE"""),"Trevor Coehoorn")</f>
        <v>Trevor Coehoorn</v>
      </c>
      <c r="H505" s="26" t="b">
        <v>0</v>
      </c>
    </row>
    <row r="506" hidden="1">
      <c r="A506" s="26" t="str">
        <f>VLOOKUP(B506,'2020 SRED (JIRA) - Issues and l'!$B:$C,2,FALSE)</f>
        <v>insite-event-SRED</v>
      </c>
      <c r="B506" s="27" t="str">
        <f>IFERROR(__xludf.DUMMYFUNCTION("""COMPUTED_VALUE"""),"ZAPI-6")</f>
        <v>ZAPI-6</v>
      </c>
      <c r="C506" s="26" t="str">
        <f>IFERROR(__xludf.DUMMYFUNCTION("""COMPUTED_VALUE"""),"Zoom API v2 (Registration Flow and Reporting)")</f>
        <v>Zoom API v2 (Registration Flow and Reporting)</v>
      </c>
      <c r="D506" s="28">
        <f>IFERROR(__xludf.DUMMYFUNCTION("""COMPUTED_VALUE"""),0.283333333333333)</f>
        <v>0.2833333333</v>
      </c>
      <c r="E506" s="29">
        <f>IFERROR(__xludf.DUMMYFUNCTION("""COMPUTED_VALUE"""),44013.0)</f>
        <v>44013</v>
      </c>
      <c r="F506" s="26" t="str">
        <f>IFERROR(__xludf.DUMMYFUNCTION("""COMPUTED_VALUE"""),"557058:3124a1f0-e92a-405c-93f2-c1d4e621bc77")</f>
        <v>557058:3124a1f0-e92a-405c-93f2-c1d4e621bc77</v>
      </c>
      <c r="G506" s="26" t="str">
        <f>IFERROR(__xludf.DUMMYFUNCTION("""COMPUTED_VALUE"""),"Trevor Coehoorn")</f>
        <v>Trevor Coehoorn</v>
      </c>
      <c r="H506" s="26" t="b">
        <v>0</v>
      </c>
    </row>
    <row r="507" hidden="1">
      <c r="A507" s="26" t="str">
        <f>VLOOKUP(B507,'2020 SRED (JIRA) - Issues and l'!$B:$C,2,FALSE)</f>
        <v>portal-builder-SRED</v>
      </c>
      <c r="B507" s="27" t="str">
        <f>IFERROR(__xludf.DUMMYFUNCTION("""COMPUTED_VALUE"""),"ITP-1859")</f>
        <v>ITP-1859</v>
      </c>
      <c r="C507" s="26" t="str">
        <f>IFERROR(__xludf.DUMMYFUNCTION("""COMPUTED_VALUE"""),"Webform analysis components broken (title length limit)")</f>
        <v>Webform analysis components broken (title length limit)</v>
      </c>
      <c r="D507" s="28">
        <f>IFERROR(__xludf.DUMMYFUNCTION("""COMPUTED_VALUE"""),0.933333333333333)</f>
        <v>0.9333333333</v>
      </c>
      <c r="E507" s="29">
        <f>IFERROR(__xludf.DUMMYFUNCTION("""COMPUTED_VALUE"""),44013.0)</f>
        <v>44013</v>
      </c>
      <c r="F507" s="26" t="str">
        <f>IFERROR(__xludf.DUMMYFUNCTION("""COMPUTED_VALUE"""),"557058:3124a1f0-e92a-405c-93f2-c1d4e621bc77")</f>
        <v>557058:3124a1f0-e92a-405c-93f2-c1d4e621bc77</v>
      </c>
      <c r="G507" s="26" t="str">
        <f>IFERROR(__xludf.DUMMYFUNCTION("""COMPUTED_VALUE"""),"Trevor Coehoorn")</f>
        <v>Trevor Coehoorn</v>
      </c>
      <c r="H507" s="26" t="b">
        <v>0</v>
      </c>
    </row>
    <row r="508" hidden="1">
      <c r="A508" s="26" t="str">
        <f>VLOOKUP(B508,'2020 SRED (JIRA) - Issues and l'!$B:$C,2,FALSE)</f>
        <v>insite-workflow-SRED</v>
      </c>
      <c r="B508" s="27" t="str">
        <f>IFERROR(__xludf.DUMMYFUNCTION("""COMPUTED_VALUE"""),"APPS-81")</f>
        <v>APPS-81</v>
      </c>
      <c r="C508" s="26" t="str">
        <f>IFERROR(__xludf.DUMMYFUNCTION("""COMPUTED_VALUE"""),"As a client, I can request a new asynchronous touchpoint")</f>
        <v>As a client, I can request a new asynchronous touchpoint</v>
      </c>
      <c r="D508" s="28">
        <f>IFERROR(__xludf.DUMMYFUNCTION("""COMPUTED_VALUE"""),7.0)</f>
        <v>7</v>
      </c>
      <c r="E508" s="29">
        <f>IFERROR(__xludf.DUMMYFUNCTION("""COMPUTED_VALUE"""),44014.0)</f>
        <v>44014</v>
      </c>
      <c r="F508" s="26" t="str">
        <f>IFERROR(__xludf.DUMMYFUNCTION("""COMPUTED_VALUE"""),"5ee7b6ce868ce30ac49e2521")</f>
        <v>5ee7b6ce868ce30ac49e2521</v>
      </c>
      <c r="G508" s="26" t="str">
        <f>IFERROR(__xludf.DUMMYFUNCTION("""COMPUTED_VALUE"""),"Bryan Le")</f>
        <v>Bryan Le</v>
      </c>
      <c r="H508" s="26" t="b">
        <v>0</v>
      </c>
    </row>
    <row r="509" hidden="1">
      <c r="A509" s="26" t="str">
        <f>VLOOKUP(B509,'2020 SRED (JIRA) - Issues and l'!$B:$C,2,FALSE)</f>
        <v>insite-workflow-SRED</v>
      </c>
      <c r="B509" s="27" t="str">
        <f>IFERROR(__xludf.DUMMYFUNCTION("""COMPUTED_VALUE"""),"APPS-35")</f>
        <v>APPS-35</v>
      </c>
      <c r="C509" s="26" t="str">
        <f>IFERROR(__xludf.DUMMYFUNCTION("""COMPUTED_VALUE"""),"As a salesperson, I can create/modify contacts, organizations, sales opportunities, and proposals")</f>
        <v>As a salesperson, I can create/modify contacts, organizations, sales opportunities, and proposals</v>
      </c>
      <c r="D509" s="28">
        <f>IFERROR(__xludf.DUMMYFUNCTION("""COMPUTED_VALUE"""),8.0)</f>
        <v>8</v>
      </c>
      <c r="E509" s="29">
        <f>IFERROR(__xludf.DUMMYFUNCTION("""COMPUTED_VALUE"""),44014.0)</f>
        <v>44014</v>
      </c>
      <c r="F509" s="26" t="str">
        <f>IFERROR(__xludf.DUMMYFUNCTION("""COMPUTED_VALUE"""),"5ee7b6cf02b4400ac4b65399")</f>
        <v>5ee7b6cf02b4400ac4b65399</v>
      </c>
      <c r="G509" s="26" t="str">
        <f>IFERROR(__xludf.DUMMYFUNCTION("""COMPUTED_VALUE"""),"Jessica Obando")</f>
        <v>Jessica Obando</v>
      </c>
      <c r="H509" s="26" t="b">
        <v>0</v>
      </c>
    </row>
    <row r="510" hidden="1">
      <c r="A510" s="26" t="str">
        <f>VLOOKUP(B510,'2020 SRED (JIRA) - Issues and l'!$B:$C,2,FALSE)</f>
        <v>insite-workflow-SRED</v>
      </c>
      <c r="B510" s="27" t="str">
        <f>IFERROR(__xludf.DUMMYFUNCTION("""COMPUTED_VALUE"""),"APPS-102")</f>
        <v>APPS-102</v>
      </c>
      <c r="C510" s="26" t="str">
        <f>IFERROR(__xludf.DUMMYFUNCTION("""COMPUTED_VALUE"""),"APPS Review Meeting")</f>
        <v>APPS Review Meeting</v>
      </c>
      <c r="D510" s="28">
        <f>IFERROR(__xludf.DUMMYFUNCTION("""COMPUTED_VALUE"""),0.75)</f>
        <v>0.75</v>
      </c>
      <c r="E510" s="29">
        <f>IFERROR(__xludf.DUMMYFUNCTION("""COMPUTED_VALUE"""),44014.49652777778)</f>
        <v>44014.49653</v>
      </c>
      <c r="F510" s="26" t="str">
        <f>IFERROR(__xludf.DUMMYFUNCTION("""COMPUTED_VALUE"""),"5ec3f07a5269230c34d51fd3")</f>
        <v>5ec3f07a5269230c34d51fd3</v>
      </c>
      <c r="G510" s="26" t="str">
        <f>IFERROR(__xludf.DUMMYFUNCTION("""COMPUTED_VALUE"""),"Nikita Kuzmin")</f>
        <v>Nikita Kuzmin</v>
      </c>
      <c r="H510" s="26" t="b">
        <v>0</v>
      </c>
    </row>
    <row r="511" hidden="1">
      <c r="A511" s="26" t="str">
        <f>VLOOKUP(B511,'2020 SRED (JIRA) - Issues and l'!$B:$C,2,FALSE)</f>
        <v>portal-builder-SRED</v>
      </c>
      <c r="B511" s="27" t="str">
        <f>IFERROR(__xludf.DUMMYFUNCTION("""COMPUTED_VALUE"""),"ITP-1860")</f>
        <v>ITP-1860</v>
      </c>
      <c r="C511" s="26" t="str">
        <f>IFERROR(__xludf.DUMMYFUNCTION("""COMPUTED_VALUE"""),"Count characters instead of words in Asian language touchpoints")</f>
        <v>Count characters instead of words in Asian language touchpoints</v>
      </c>
      <c r="D511" s="28">
        <f>IFERROR(__xludf.DUMMYFUNCTION("""COMPUTED_VALUE"""),0.133333333333333)</f>
        <v>0.1333333333</v>
      </c>
      <c r="E511" s="29">
        <f>IFERROR(__xludf.DUMMYFUNCTION("""COMPUTED_VALUE"""),44014.79027777778)</f>
        <v>44014.79028</v>
      </c>
      <c r="F511" s="26" t="str">
        <f>IFERROR(__xludf.DUMMYFUNCTION("""COMPUTED_VALUE"""),"557058:f55c62b5-dc7e-41e5-b0f8-231ca9f23470")</f>
        <v>557058:f55c62b5-dc7e-41e5-b0f8-231ca9f23470</v>
      </c>
      <c r="G511" s="26" t="str">
        <f>IFERROR(__xludf.DUMMYFUNCTION("""COMPUTED_VALUE"""),"Holly Lam")</f>
        <v>Holly Lam</v>
      </c>
      <c r="H511" s="26" t="b">
        <v>0</v>
      </c>
    </row>
    <row r="512" hidden="1">
      <c r="A512" s="26" t="str">
        <f>VLOOKUP(B512,'2020 SRED (JIRA) - Issues and l'!$B:$C,2,FALSE)</f>
        <v>insite-workflow-SRED</v>
      </c>
      <c r="B512" s="27" t="str">
        <f>IFERROR(__xludf.DUMMYFUNCTION("""COMPUTED_VALUE"""),"APPS-81")</f>
        <v>APPS-81</v>
      </c>
      <c r="C512" s="26" t="str">
        <f>IFERROR(__xludf.DUMMYFUNCTION("""COMPUTED_VALUE"""),"As a client, I can request a new asynchronous touchpoint")</f>
        <v>As a client, I can request a new asynchronous touchpoint</v>
      </c>
      <c r="D512" s="28">
        <f>IFERROR(__xludf.DUMMYFUNCTION("""COMPUTED_VALUE"""),7.0)</f>
        <v>7</v>
      </c>
      <c r="E512" s="29">
        <f>IFERROR(__xludf.DUMMYFUNCTION("""COMPUTED_VALUE"""),44015.0)</f>
        <v>44015</v>
      </c>
      <c r="F512" s="26" t="str">
        <f>IFERROR(__xludf.DUMMYFUNCTION("""COMPUTED_VALUE"""),"5ee7b6ce868ce30ac49e2521")</f>
        <v>5ee7b6ce868ce30ac49e2521</v>
      </c>
      <c r="G512" s="26" t="str">
        <f>IFERROR(__xludf.DUMMYFUNCTION("""COMPUTED_VALUE"""),"Bryan Le")</f>
        <v>Bryan Le</v>
      </c>
      <c r="H512" s="26" t="b">
        <v>0</v>
      </c>
    </row>
    <row r="513" hidden="1">
      <c r="A513" s="26" t="str">
        <f>VLOOKUP(B513,'2020 SRED (JIRA) - Issues and l'!$B:$C,2,FALSE)</f>
        <v>insite-workflow-SRED</v>
      </c>
      <c r="B513" s="27" t="str">
        <f>IFERROR(__xludf.DUMMYFUNCTION("""COMPUTED_VALUE"""),"APPS-35")</f>
        <v>APPS-35</v>
      </c>
      <c r="C513" s="26" t="str">
        <f>IFERROR(__xludf.DUMMYFUNCTION("""COMPUTED_VALUE"""),"As a salesperson, I can create/modify contacts, organizations, sales opportunities, and proposals")</f>
        <v>As a salesperson, I can create/modify contacts, organizations, sales opportunities, and proposals</v>
      </c>
      <c r="D513" s="28">
        <f>IFERROR(__xludf.DUMMYFUNCTION("""COMPUTED_VALUE"""),7.0)</f>
        <v>7</v>
      </c>
      <c r="E513" s="29">
        <f>IFERROR(__xludf.DUMMYFUNCTION("""COMPUTED_VALUE"""),44015.0)</f>
        <v>44015</v>
      </c>
      <c r="F513" s="26" t="str">
        <f>IFERROR(__xludf.DUMMYFUNCTION("""COMPUTED_VALUE"""),"5ee7b6cf02b4400ac4b65399")</f>
        <v>5ee7b6cf02b4400ac4b65399</v>
      </c>
      <c r="G513" s="26" t="str">
        <f>IFERROR(__xludf.DUMMYFUNCTION("""COMPUTED_VALUE"""),"Jessica Obando")</f>
        <v>Jessica Obando</v>
      </c>
      <c r="H513" s="26" t="b">
        <v>0</v>
      </c>
    </row>
    <row r="514" hidden="1">
      <c r="A514" s="26" t="str">
        <f>VLOOKUP(B514,'2020 SRED (JIRA) - Issues and l'!$B:$C,2,FALSE)</f>
        <v>insite-workflow-SRED</v>
      </c>
      <c r="B514" s="27" t="str">
        <f>IFERROR(__xludf.DUMMYFUNCTION("""COMPUTED_VALUE"""),"APPS-81")</f>
        <v>APPS-81</v>
      </c>
      <c r="C514" s="26" t="str">
        <f>IFERROR(__xludf.DUMMYFUNCTION("""COMPUTED_VALUE"""),"As a client, I can request a new asynchronous touchpoint")</f>
        <v>As a client, I can request a new asynchronous touchpoint</v>
      </c>
      <c r="D514" s="28">
        <f>IFERROR(__xludf.DUMMYFUNCTION("""COMPUTED_VALUE"""),4.0)</f>
        <v>4</v>
      </c>
      <c r="E514" s="29">
        <f>IFERROR(__xludf.DUMMYFUNCTION("""COMPUTED_VALUE"""),44018.0)</f>
        <v>44018</v>
      </c>
      <c r="F514" s="26" t="str">
        <f>IFERROR(__xludf.DUMMYFUNCTION("""COMPUTED_VALUE"""),"5ee7b6ce868ce30ac49e2521")</f>
        <v>5ee7b6ce868ce30ac49e2521</v>
      </c>
      <c r="G514" s="26" t="str">
        <f>IFERROR(__xludf.DUMMYFUNCTION("""COMPUTED_VALUE"""),"Bryan Le")</f>
        <v>Bryan Le</v>
      </c>
      <c r="H514" s="26" t="b">
        <v>0</v>
      </c>
    </row>
    <row r="515" hidden="1">
      <c r="A515" s="26" t="str">
        <f>VLOOKUP(B515,'2020 SRED (JIRA) - Issues and l'!$B:$C,2,FALSE)</f>
        <v>insite-workflow-SRED</v>
      </c>
      <c r="B515" s="27" t="str">
        <f>IFERROR(__xludf.DUMMYFUNCTION("""COMPUTED_VALUE"""),"APPS-81")</f>
        <v>APPS-81</v>
      </c>
      <c r="C515" s="26" t="str">
        <f>IFERROR(__xludf.DUMMYFUNCTION("""COMPUTED_VALUE"""),"As a client, I can request a new asynchronous touchpoint")</f>
        <v>As a client, I can request a new asynchronous touchpoint</v>
      </c>
      <c r="D515" s="28">
        <f>IFERROR(__xludf.DUMMYFUNCTION("""COMPUTED_VALUE"""),3.0)</f>
        <v>3</v>
      </c>
      <c r="E515" s="29">
        <f>IFERROR(__xludf.DUMMYFUNCTION("""COMPUTED_VALUE"""),44018.0)</f>
        <v>44018</v>
      </c>
      <c r="F515" s="26" t="str">
        <f>IFERROR(__xludf.DUMMYFUNCTION("""COMPUTED_VALUE"""),"5ee7b6ce868ce30ac49e2521")</f>
        <v>5ee7b6ce868ce30ac49e2521</v>
      </c>
      <c r="G515" s="26" t="str">
        <f>IFERROR(__xludf.DUMMYFUNCTION("""COMPUTED_VALUE"""),"Bryan Le")</f>
        <v>Bryan Le</v>
      </c>
      <c r="H515" s="26" t="b">
        <v>0</v>
      </c>
    </row>
    <row r="516" hidden="1">
      <c r="A516" s="26" t="str">
        <f>VLOOKUP(B516,'2020 SRED (JIRA) - Issues and l'!$B:$C,2,FALSE)</f>
        <v>insite-workflow-SRED</v>
      </c>
      <c r="B516" s="27" t="str">
        <f>IFERROR(__xludf.DUMMYFUNCTION("""COMPUTED_VALUE"""),"APPS-35")</f>
        <v>APPS-35</v>
      </c>
      <c r="C516" s="26" t="str">
        <f>IFERROR(__xludf.DUMMYFUNCTION("""COMPUTED_VALUE"""),"As a salesperson, I can create/modify contacts, organizations, sales opportunities, and proposals")</f>
        <v>As a salesperson, I can create/modify contacts, organizations, sales opportunities, and proposals</v>
      </c>
      <c r="D516" s="28">
        <f>IFERROR(__xludf.DUMMYFUNCTION("""COMPUTED_VALUE"""),8.0)</f>
        <v>8</v>
      </c>
      <c r="E516" s="29">
        <f>IFERROR(__xludf.DUMMYFUNCTION("""COMPUTED_VALUE"""),44018.0)</f>
        <v>44018</v>
      </c>
      <c r="F516" s="26" t="str">
        <f>IFERROR(__xludf.DUMMYFUNCTION("""COMPUTED_VALUE"""),"5ee7b6cf02b4400ac4b65399")</f>
        <v>5ee7b6cf02b4400ac4b65399</v>
      </c>
      <c r="G516" s="26" t="str">
        <f>IFERROR(__xludf.DUMMYFUNCTION("""COMPUTED_VALUE"""),"Jessica Obando")</f>
        <v>Jessica Obando</v>
      </c>
      <c r="H516" s="26" t="b">
        <v>0</v>
      </c>
    </row>
    <row r="517" hidden="1">
      <c r="A517" s="26" t="str">
        <f>VLOOKUP(B517,'2020 SRED (JIRA) - Issues and l'!$B:$C,2,FALSE)</f>
        <v>insite-workflow-SRED</v>
      </c>
      <c r="B517" s="27" t="str">
        <f>IFERROR(__xludf.DUMMYFUNCTION("""COMPUTED_VALUE"""),"APPS-81")</f>
        <v>APPS-81</v>
      </c>
      <c r="C517" s="26" t="str">
        <f>IFERROR(__xludf.DUMMYFUNCTION("""COMPUTED_VALUE"""),"As a client, I can request a new asynchronous touchpoint")</f>
        <v>As a client, I can request a new asynchronous touchpoint</v>
      </c>
      <c r="D517" s="28">
        <f>IFERROR(__xludf.DUMMYFUNCTION("""COMPUTED_VALUE"""),7.0)</f>
        <v>7</v>
      </c>
      <c r="E517" s="29">
        <f>IFERROR(__xludf.DUMMYFUNCTION("""COMPUTED_VALUE"""),44019.0)</f>
        <v>44019</v>
      </c>
      <c r="F517" s="26" t="str">
        <f>IFERROR(__xludf.DUMMYFUNCTION("""COMPUTED_VALUE"""),"5ee7b6ce868ce30ac49e2521")</f>
        <v>5ee7b6ce868ce30ac49e2521</v>
      </c>
      <c r="G517" s="26" t="str">
        <f>IFERROR(__xludf.DUMMYFUNCTION("""COMPUTED_VALUE"""),"Bryan Le")</f>
        <v>Bryan Le</v>
      </c>
      <c r="H517" s="26" t="b">
        <v>0</v>
      </c>
    </row>
    <row r="518" hidden="1">
      <c r="A518" s="26" t="str">
        <f>VLOOKUP(B518,'2020 SRED (JIRA) - Issues and l'!$B:$C,2,FALSE)</f>
        <v>insite-workflow-SRED</v>
      </c>
      <c r="B518" s="27" t="str">
        <f>IFERROR(__xludf.DUMMYFUNCTION("""COMPUTED_VALUE"""),"APPS-35")</f>
        <v>APPS-35</v>
      </c>
      <c r="C518" s="26" t="str">
        <f>IFERROR(__xludf.DUMMYFUNCTION("""COMPUTED_VALUE"""),"As a salesperson, I can create/modify contacts, organizations, sales opportunities, and proposals")</f>
        <v>As a salesperson, I can create/modify contacts, organizations, sales opportunities, and proposals</v>
      </c>
      <c r="D518" s="28">
        <f>IFERROR(__xludf.DUMMYFUNCTION("""COMPUTED_VALUE"""),7.0)</f>
        <v>7</v>
      </c>
      <c r="E518" s="29">
        <f>IFERROR(__xludf.DUMMYFUNCTION("""COMPUTED_VALUE"""),44019.0)</f>
        <v>44019</v>
      </c>
      <c r="F518" s="26" t="str">
        <f>IFERROR(__xludf.DUMMYFUNCTION("""COMPUTED_VALUE"""),"5ee7b6cf02b4400ac4b65399")</f>
        <v>5ee7b6cf02b4400ac4b65399</v>
      </c>
      <c r="G518" s="26" t="str">
        <f>IFERROR(__xludf.DUMMYFUNCTION("""COMPUTED_VALUE"""),"Jessica Obando")</f>
        <v>Jessica Obando</v>
      </c>
      <c r="H518" s="26" t="b">
        <v>0</v>
      </c>
    </row>
    <row r="519" hidden="1">
      <c r="A519" s="26" t="str">
        <f>VLOOKUP(B519,'2020 SRED (JIRA) - Issues and l'!$B:$C,2,FALSE)</f>
        <v>insite-workflow-SRED</v>
      </c>
      <c r="B519" s="27" t="str">
        <f>IFERROR(__xludf.DUMMYFUNCTION("""COMPUTED_VALUE"""),"APPS-81")</f>
        <v>APPS-81</v>
      </c>
      <c r="C519" s="26" t="str">
        <f>IFERROR(__xludf.DUMMYFUNCTION("""COMPUTED_VALUE"""),"As a client, I can request a new asynchronous touchpoint")</f>
        <v>As a client, I can request a new asynchronous touchpoint</v>
      </c>
      <c r="D519" s="28">
        <f>IFERROR(__xludf.DUMMYFUNCTION("""COMPUTED_VALUE"""),7.0)</f>
        <v>7</v>
      </c>
      <c r="E519" s="29">
        <f>IFERROR(__xludf.DUMMYFUNCTION("""COMPUTED_VALUE"""),44020.0)</f>
        <v>44020</v>
      </c>
      <c r="F519" s="26" t="str">
        <f>IFERROR(__xludf.DUMMYFUNCTION("""COMPUTED_VALUE"""),"5ee7b6ce868ce30ac49e2521")</f>
        <v>5ee7b6ce868ce30ac49e2521</v>
      </c>
      <c r="G519" s="26" t="str">
        <f>IFERROR(__xludf.DUMMYFUNCTION("""COMPUTED_VALUE"""),"Bryan Le")</f>
        <v>Bryan Le</v>
      </c>
      <c r="H519" s="26" t="b">
        <v>0</v>
      </c>
    </row>
    <row r="520" hidden="1">
      <c r="A520" s="26" t="str">
        <f>VLOOKUP(B520,'2020 SRED (JIRA) - Issues and l'!$B:$C,2,FALSE)</f>
        <v>insite-workflow-SRED</v>
      </c>
      <c r="B520" s="27" t="str">
        <f>IFERROR(__xludf.DUMMYFUNCTION("""COMPUTED_VALUE"""),"APPS-35")</f>
        <v>APPS-35</v>
      </c>
      <c r="C520" s="26" t="str">
        <f>IFERROR(__xludf.DUMMYFUNCTION("""COMPUTED_VALUE"""),"As a salesperson, I can create/modify contacts, organizations, sales opportunities, and proposals")</f>
        <v>As a salesperson, I can create/modify contacts, organizations, sales opportunities, and proposals</v>
      </c>
      <c r="D520" s="28">
        <f>IFERROR(__xludf.DUMMYFUNCTION("""COMPUTED_VALUE"""),7.0)</f>
        <v>7</v>
      </c>
      <c r="E520" s="29">
        <f>IFERROR(__xludf.DUMMYFUNCTION("""COMPUTED_VALUE"""),44020.0)</f>
        <v>44020</v>
      </c>
      <c r="F520" s="26" t="str">
        <f>IFERROR(__xludf.DUMMYFUNCTION("""COMPUTED_VALUE"""),"5ee7b6cf02b4400ac4b65399")</f>
        <v>5ee7b6cf02b4400ac4b65399</v>
      </c>
      <c r="G520" s="26" t="str">
        <f>IFERROR(__xludf.DUMMYFUNCTION("""COMPUTED_VALUE"""),"Jessica Obando")</f>
        <v>Jessica Obando</v>
      </c>
      <c r="H520" s="26" t="b">
        <v>0</v>
      </c>
    </row>
    <row r="521" hidden="1">
      <c r="A521" s="26" t="str">
        <f>VLOOKUP(B521,'2020 SRED (JIRA) - Issues and l'!$B:$C,2,FALSE)</f>
        <v>portal-builder-SRED</v>
      </c>
      <c r="B521" s="27" t="str">
        <f>IFERROR(__xludf.DUMMYFUNCTION("""COMPUTED_VALUE"""),"ITP-1857")</f>
        <v>ITP-1857</v>
      </c>
      <c r="C521" s="26" t="str">
        <f>IFERROR(__xludf.DUMMYFUNCTION("""COMPUTED_VALUE"""),"Collapse comments in annotation activities")</f>
        <v>Collapse comments in annotation activities</v>
      </c>
      <c r="D521" s="28">
        <f>IFERROR(__xludf.DUMMYFUNCTION("""COMPUTED_VALUE"""),5.16666666666666)</f>
        <v>5.166666667</v>
      </c>
      <c r="E521" s="29">
        <f>IFERROR(__xludf.DUMMYFUNCTION("""COMPUTED_VALUE"""),44021.0)</f>
        <v>44021</v>
      </c>
      <c r="F521" s="26" t="str">
        <f>IFERROR(__xludf.DUMMYFUNCTION("""COMPUTED_VALUE"""),"557058:3124a1f0-e92a-405c-93f2-c1d4e621bc77")</f>
        <v>557058:3124a1f0-e92a-405c-93f2-c1d4e621bc77</v>
      </c>
      <c r="G521" s="26" t="str">
        <f>IFERROR(__xludf.DUMMYFUNCTION("""COMPUTED_VALUE"""),"Trevor Coehoorn")</f>
        <v>Trevor Coehoorn</v>
      </c>
      <c r="H521" s="26" t="b">
        <v>0</v>
      </c>
    </row>
    <row r="522" hidden="1">
      <c r="A522" s="26" t="str">
        <f>VLOOKUP(B522,'2020 SRED (JIRA) - Issues and l'!$B:$C,2,FALSE)</f>
        <v>portal-builder-SRED</v>
      </c>
      <c r="B522" s="27" t="str">
        <f>IFERROR(__xludf.DUMMYFUNCTION("""COMPUTED_VALUE"""),"ITP-1861")</f>
        <v>ITP-1861</v>
      </c>
      <c r="C522" s="26" t="str">
        <f>IFERROR(__xludf.DUMMYFUNCTION("""COMPUTED_VALUE"""),"Missing a couple annotation comments when exporting the annotated PDF from the portal")</f>
        <v>Missing a couple annotation comments when exporting the annotated PDF from the portal</v>
      </c>
      <c r="D522" s="28">
        <f>IFERROR(__xludf.DUMMYFUNCTION("""COMPUTED_VALUE"""),0.433333333333333)</f>
        <v>0.4333333333</v>
      </c>
      <c r="E522" s="29">
        <f>IFERROR(__xludf.DUMMYFUNCTION("""COMPUTED_VALUE"""),44021.0)</f>
        <v>44021</v>
      </c>
      <c r="F522" s="26" t="str">
        <f>IFERROR(__xludf.DUMMYFUNCTION("""COMPUTED_VALUE"""),"557058:3124a1f0-e92a-405c-93f2-c1d4e621bc77")</f>
        <v>557058:3124a1f0-e92a-405c-93f2-c1d4e621bc77</v>
      </c>
      <c r="G522" s="26" t="str">
        <f>IFERROR(__xludf.DUMMYFUNCTION("""COMPUTED_VALUE"""),"Trevor Coehoorn")</f>
        <v>Trevor Coehoorn</v>
      </c>
      <c r="H522" s="26" t="b">
        <v>0</v>
      </c>
    </row>
    <row r="523" hidden="1">
      <c r="A523" s="26" t="str">
        <f>VLOOKUP(B523,'2020 SRED (JIRA) - Issues and l'!$B:$C,2,FALSE)</f>
        <v>portal-builder-SRED</v>
      </c>
      <c r="B523" s="27" t="str">
        <f>IFERROR(__xludf.DUMMYFUNCTION("""COMPUTED_VALUE"""),"IOP-1357")</f>
        <v>IOP-1357</v>
      </c>
      <c r="C523" s="26" t="str">
        <f>IFERROR(__xludf.DUMMYFUNCTION("""COMPUTED_VALUE"""),"Product development meetings")</f>
        <v>Product development meetings</v>
      </c>
      <c r="D523" s="28">
        <f>IFERROR(__xludf.DUMMYFUNCTION("""COMPUTED_VALUE"""),1.16666666666666)</f>
        <v>1.166666667</v>
      </c>
      <c r="E523" s="29">
        <f>IFERROR(__xludf.DUMMYFUNCTION("""COMPUTED_VALUE"""),44021.0)</f>
        <v>44021</v>
      </c>
      <c r="F523" s="26" t="str">
        <f>IFERROR(__xludf.DUMMYFUNCTION("""COMPUTED_VALUE"""),"557058:3124a1f0-e92a-405c-93f2-c1d4e621bc77")</f>
        <v>557058:3124a1f0-e92a-405c-93f2-c1d4e621bc77</v>
      </c>
      <c r="G523" s="26" t="str">
        <f>IFERROR(__xludf.DUMMYFUNCTION("""COMPUTED_VALUE"""),"Trevor Coehoorn")</f>
        <v>Trevor Coehoorn</v>
      </c>
      <c r="H523" s="26" t="b">
        <v>0</v>
      </c>
    </row>
    <row r="524" hidden="1">
      <c r="A524" s="26" t="str">
        <f>VLOOKUP(B524,'2020 SRED (JIRA) - Issues and l'!$B:$C,2,FALSE)</f>
        <v>insite-event-SRED</v>
      </c>
      <c r="B524" s="27" t="str">
        <f>IFERROR(__xludf.DUMMYFUNCTION("""COMPUTED_VALUE"""),"ZAPI-6")</f>
        <v>ZAPI-6</v>
      </c>
      <c r="C524" s="26" t="str">
        <f>IFERROR(__xludf.DUMMYFUNCTION("""COMPUTED_VALUE"""),"Zoom API v2 (Registration Flow and Reporting)")</f>
        <v>Zoom API v2 (Registration Flow and Reporting)</v>
      </c>
      <c r="D524" s="28">
        <f>IFERROR(__xludf.DUMMYFUNCTION("""COMPUTED_VALUE"""),0.416666666666666)</f>
        <v>0.4166666667</v>
      </c>
      <c r="E524" s="29">
        <f>IFERROR(__xludf.DUMMYFUNCTION("""COMPUTED_VALUE"""),44021.0)</f>
        <v>44021</v>
      </c>
      <c r="F524" s="26" t="str">
        <f>IFERROR(__xludf.DUMMYFUNCTION("""COMPUTED_VALUE"""),"557058:3124a1f0-e92a-405c-93f2-c1d4e621bc77")</f>
        <v>557058:3124a1f0-e92a-405c-93f2-c1d4e621bc77</v>
      </c>
      <c r="G524" s="26" t="str">
        <f>IFERROR(__xludf.DUMMYFUNCTION("""COMPUTED_VALUE"""),"Trevor Coehoorn")</f>
        <v>Trevor Coehoorn</v>
      </c>
      <c r="H524" s="26" t="b">
        <v>0</v>
      </c>
    </row>
    <row r="525" hidden="1">
      <c r="A525" s="26" t="str">
        <f>VLOOKUP(B525,'2020 SRED (JIRA) - Issues and l'!$B:$C,2,FALSE)</f>
        <v>insite-workflow-SRED</v>
      </c>
      <c r="B525" s="27" t="str">
        <f>IFERROR(__xludf.DUMMYFUNCTION("""COMPUTED_VALUE"""),"APPS-81")</f>
        <v>APPS-81</v>
      </c>
      <c r="C525" s="26" t="str">
        <f>IFERROR(__xludf.DUMMYFUNCTION("""COMPUTED_VALUE"""),"As a client, I can request a new asynchronous touchpoint")</f>
        <v>As a client, I can request a new asynchronous touchpoint</v>
      </c>
      <c r="D525" s="28">
        <f>IFERROR(__xludf.DUMMYFUNCTION("""COMPUTED_VALUE"""),7.0)</f>
        <v>7</v>
      </c>
      <c r="E525" s="29">
        <f>IFERROR(__xludf.DUMMYFUNCTION("""COMPUTED_VALUE"""),44021.0)</f>
        <v>44021</v>
      </c>
      <c r="F525" s="26" t="str">
        <f>IFERROR(__xludf.DUMMYFUNCTION("""COMPUTED_VALUE"""),"5ee7b6ce868ce30ac49e2521")</f>
        <v>5ee7b6ce868ce30ac49e2521</v>
      </c>
      <c r="G525" s="26" t="str">
        <f>IFERROR(__xludf.DUMMYFUNCTION("""COMPUTED_VALUE"""),"Bryan Le")</f>
        <v>Bryan Le</v>
      </c>
      <c r="H525" s="26" t="b">
        <v>0</v>
      </c>
    </row>
    <row r="526" hidden="1">
      <c r="A526" s="26" t="str">
        <f>VLOOKUP(B526,'2020 SRED (JIRA) - Issues and l'!$B:$C,2,FALSE)</f>
        <v>insite-workflow-SRED</v>
      </c>
      <c r="B526" s="27" t="str">
        <f>IFERROR(__xludf.DUMMYFUNCTION("""COMPUTED_VALUE"""),"APPS-35")</f>
        <v>APPS-35</v>
      </c>
      <c r="C526" s="26" t="str">
        <f>IFERROR(__xludf.DUMMYFUNCTION("""COMPUTED_VALUE"""),"As a salesperson, I can create/modify contacts, organizations, sales opportunities, and proposals")</f>
        <v>As a salesperson, I can create/modify contacts, organizations, sales opportunities, and proposals</v>
      </c>
      <c r="D526" s="28">
        <f>IFERROR(__xludf.DUMMYFUNCTION("""COMPUTED_VALUE"""),7.0)</f>
        <v>7</v>
      </c>
      <c r="E526" s="29">
        <f>IFERROR(__xludf.DUMMYFUNCTION("""COMPUTED_VALUE"""),44021.0)</f>
        <v>44021</v>
      </c>
      <c r="F526" s="26" t="str">
        <f>IFERROR(__xludf.DUMMYFUNCTION("""COMPUTED_VALUE"""),"5ee7b6cf02b4400ac4b65399")</f>
        <v>5ee7b6cf02b4400ac4b65399</v>
      </c>
      <c r="G526" s="26" t="str">
        <f>IFERROR(__xludf.DUMMYFUNCTION("""COMPUTED_VALUE"""),"Jessica Obando")</f>
        <v>Jessica Obando</v>
      </c>
      <c r="H526" s="26" t="b">
        <v>0</v>
      </c>
    </row>
    <row r="527" hidden="1">
      <c r="A527" s="26" t="str">
        <f>VLOOKUP(B527,'2020 SRED (JIRA) - Issues and l'!$B:$C,2,FALSE)</f>
        <v>portal-builder-SRED</v>
      </c>
      <c r="B527" s="27" t="str">
        <f>IFERROR(__xludf.DUMMYFUNCTION("""COMPUTED_VALUE"""),"ITP-1860")</f>
        <v>ITP-1860</v>
      </c>
      <c r="C527" s="26" t="str">
        <f>IFERROR(__xludf.DUMMYFUNCTION("""COMPUTED_VALUE"""),"Count characters instead of words in Asian language touchpoints")</f>
        <v>Count characters instead of words in Asian language touchpoints</v>
      </c>
      <c r="D527" s="28">
        <f>IFERROR(__xludf.DUMMYFUNCTION("""COMPUTED_VALUE"""),0.15)</f>
        <v>0.15</v>
      </c>
      <c r="E527" s="29">
        <f>IFERROR(__xludf.DUMMYFUNCTION("""COMPUTED_VALUE"""),44022.0)</f>
        <v>44022</v>
      </c>
      <c r="F527" s="26" t="str">
        <f>IFERROR(__xludf.DUMMYFUNCTION("""COMPUTED_VALUE"""),"557058:3124a1f0-e92a-405c-93f2-c1d4e621bc77")</f>
        <v>557058:3124a1f0-e92a-405c-93f2-c1d4e621bc77</v>
      </c>
      <c r="G527" s="26" t="str">
        <f>IFERROR(__xludf.DUMMYFUNCTION("""COMPUTED_VALUE"""),"Trevor Coehoorn")</f>
        <v>Trevor Coehoorn</v>
      </c>
      <c r="H527" s="26" t="b">
        <v>0</v>
      </c>
    </row>
    <row r="528" hidden="1">
      <c r="A528" s="26" t="str">
        <f>VLOOKUP(B528,'2020 SRED (JIRA) - Issues and l'!$B:$C,2,FALSE)</f>
        <v>portal-builder-SRED</v>
      </c>
      <c r="B528" s="27" t="str">
        <f>IFERROR(__xludf.DUMMYFUNCTION("""COMPUTED_VALUE"""),"ITP-1857")</f>
        <v>ITP-1857</v>
      </c>
      <c r="C528" s="26" t="str">
        <f>IFERROR(__xludf.DUMMYFUNCTION("""COMPUTED_VALUE"""),"Collapse comments in annotation activities")</f>
        <v>Collapse comments in annotation activities</v>
      </c>
      <c r="D528" s="28">
        <f>IFERROR(__xludf.DUMMYFUNCTION("""COMPUTED_VALUE"""),6.9)</f>
        <v>6.9</v>
      </c>
      <c r="E528" s="29">
        <f>IFERROR(__xludf.DUMMYFUNCTION("""COMPUTED_VALUE"""),44022.0)</f>
        <v>44022</v>
      </c>
      <c r="F528" s="26" t="str">
        <f>IFERROR(__xludf.DUMMYFUNCTION("""COMPUTED_VALUE"""),"557058:3124a1f0-e92a-405c-93f2-c1d4e621bc77")</f>
        <v>557058:3124a1f0-e92a-405c-93f2-c1d4e621bc77</v>
      </c>
      <c r="G528" s="26" t="str">
        <f>IFERROR(__xludf.DUMMYFUNCTION("""COMPUTED_VALUE"""),"Trevor Coehoorn")</f>
        <v>Trevor Coehoorn</v>
      </c>
      <c r="H528" s="26" t="b">
        <v>0</v>
      </c>
    </row>
    <row r="529" hidden="1">
      <c r="A529" s="26" t="str">
        <f>VLOOKUP(B529,'2020 SRED (JIRA) - Issues and l'!$B:$C,2,FALSE)</f>
        <v>insite-event-SRED</v>
      </c>
      <c r="B529" s="27" t="str">
        <f>IFERROR(__xludf.DUMMYFUNCTION("""COMPUTED_VALUE"""),"ZAPI-6")</f>
        <v>ZAPI-6</v>
      </c>
      <c r="C529" s="26" t="str">
        <f>IFERROR(__xludf.DUMMYFUNCTION("""COMPUTED_VALUE"""),"Zoom API v2 (Registration Flow and Reporting)")</f>
        <v>Zoom API v2 (Registration Flow and Reporting)</v>
      </c>
      <c r="D529" s="28">
        <f>IFERROR(__xludf.DUMMYFUNCTION("""COMPUTED_VALUE"""),0.366666666666666)</f>
        <v>0.3666666667</v>
      </c>
      <c r="E529" s="29">
        <f>IFERROR(__xludf.DUMMYFUNCTION("""COMPUTED_VALUE"""),44022.0)</f>
        <v>44022</v>
      </c>
      <c r="F529" s="26" t="str">
        <f>IFERROR(__xludf.DUMMYFUNCTION("""COMPUTED_VALUE"""),"557058:3124a1f0-e92a-405c-93f2-c1d4e621bc77")</f>
        <v>557058:3124a1f0-e92a-405c-93f2-c1d4e621bc77</v>
      </c>
      <c r="G529" s="26" t="str">
        <f>IFERROR(__xludf.DUMMYFUNCTION("""COMPUTED_VALUE"""),"Trevor Coehoorn")</f>
        <v>Trevor Coehoorn</v>
      </c>
      <c r="H529" s="26" t="b">
        <v>0</v>
      </c>
    </row>
    <row r="530" hidden="1">
      <c r="A530" s="26" t="str">
        <f>VLOOKUP(B530,'2020 SRED (JIRA) - Issues and l'!$B:$C,2,FALSE)</f>
        <v>portal-builder-SRED</v>
      </c>
      <c r="B530" s="27" t="str">
        <f>IFERROR(__xludf.DUMMYFUNCTION("""COMPUTED_VALUE"""),"ITP-1857")</f>
        <v>ITP-1857</v>
      </c>
      <c r="C530" s="26" t="str">
        <f>IFERROR(__xludf.DUMMYFUNCTION("""COMPUTED_VALUE"""),"Collapse comments in annotation activities")</f>
        <v>Collapse comments in annotation activities</v>
      </c>
      <c r="D530" s="28">
        <f>IFERROR(__xludf.DUMMYFUNCTION("""COMPUTED_VALUE"""),0.25)</f>
        <v>0.25</v>
      </c>
      <c r="E530" s="29">
        <f>IFERROR(__xludf.DUMMYFUNCTION("""COMPUTED_VALUE"""),44022.0)</f>
        <v>44022</v>
      </c>
      <c r="F530" s="26" t="str">
        <f>IFERROR(__xludf.DUMMYFUNCTION("""COMPUTED_VALUE"""),"5e98d69b272c6a0c0e88b806")</f>
        <v>5e98d69b272c6a0c0e88b806</v>
      </c>
      <c r="G530" s="26" t="str">
        <f>IFERROR(__xludf.DUMMYFUNCTION("""COMPUTED_VALUE"""),"Pauline Reyes")</f>
        <v>Pauline Reyes</v>
      </c>
      <c r="H530" s="26" t="b">
        <v>0</v>
      </c>
    </row>
    <row r="531" hidden="1">
      <c r="A531" s="26" t="str">
        <f>VLOOKUP(B531,'2020 SRED (JIRA) - Issues and l'!$B:$C,2,FALSE)</f>
        <v>insite-workflow-SRED</v>
      </c>
      <c r="B531" s="27" t="str">
        <f>IFERROR(__xludf.DUMMYFUNCTION("""COMPUTED_VALUE"""),"APPS-81")</f>
        <v>APPS-81</v>
      </c>
      <c r="C531" s="26" t="str">
        <f>IFERROR(__xludf.DUMMYFUNCTION("""COMPUTED_VALUE"""),"As a client, I can request a new asynchronous touchpoint")</f>
        <v>As a client, I can request a new asynchronous touchpoint</v>
      </c>
      <c r="D531" s="28">
        <f>IFERROR(__xludf.DUMMYFUNCTION("""COMPUTED_VALUE"""),7.0)</f>
        <v>7</v>
      </c>
      <c r="E531" s="29">
        <f>IFERROR(__xludf.DUMMYFUNCTION("""COMPUTED_VALUE"""),44022.0)</f>
        <v>44022</v>
      </c>
      <c r="F531" s="26" t="str">
        <f>IFERROR(__xludf.DUMMYFUNCTION("""COMPUTED_VALUE"""),"5ee7b6ce868ce30ac49e2521")</f>
        <v>5ee7b6ce868ce30ac49e2521</v>
      </c>
      <c r="G531" s="26" t="str">
        <f>IFERROR(__xludf.DUMMYFUNCTION("""COMPUTED_VALUE"""),"Bryan Le")</f>
        <v>Bryan Le</v>
      </c>
      <c r="H531" s="26" t="b">
        <v>0</v>
      </c>
    </row>
    <row r="532" hidden="1">
      <c r="A532" s="26" t="str">
        <f>VLOOKUP(B532,'2020 SRED (JIRA) - Issues and l'!$B:$C,2,FALSE)</f>
        <v>insite-workflow-SRED</v>
      </c>
      <c r="B532" s="27" t="str">
        <f>IFERROR(__xludf.DUMMYFUNCTION("""COMPUTED_VALUE"""),"APPS-35")</f>
        <v>APPS-35</v>
      </c>
      <c r="C532" s="26" t="str">
        <f>IFERROR(__xludf.DUMMYFUNCTION("""COMPUTED_VALUE"""),"As a salesperson, I can create/modify contacts, organizations, sales opportunities, and proposals")</f>
        <v>As a salesperson, I can create/modify contacts, organizations, sales opportunities, and proposals</v>
      </c>
      <c r="D532" s="28">
        <f>IFERROR(__xludf.DUMMYFUNCTION("""COMPUTED_VALUE"""),7.0)</f>
        <v>7</v>
      </c>
      <c r="E532" s="29">
        <f>IFERROR(__xludf.DUMMYFUNCTION("""COMPUTED_VALUE"""),44022.0)</f>
        <v>44022</v>
      </c>
      <c r="F532" s="26" t="str">
        <f>IFERROR(__xludf.DUMMYFUNCTION("""COMPUTED_VALUE"""),"5ee7b6cf02b4400ac4b65399")</f>
        <v>5ee7b6cf02b4400ac4b65399</v>
      </c>
      <c r="G532" s="26" t="str">
        <f>IFERROR(__xludf.DUMMYFUNCTION("""COMPUTED_VALUE"""),"Jessica Obando")</f>
        <v>Jessica Obando</v>
      </c>
      <c r="H532" s="26" t="b">
        <v>0</v>
      </c>
    </row>
    <row r="533" hidden="1">
      <c r="A533" s="26" t="str">
        <f>VLOOKUP(B533,'2020 SRED (JIRA) - Issues and l'!$B:$C,2,FALSE)</f>
        <v>portal-builder-SRED</v>
      </c>
      <c r="B533" s="27" t="str">
        <f>IFERROR(__xludf.DUMMYFUNCTION("""COMPUTED_VALUE"""),"ITP-1860")</f>
        <v>ITP-1860</v>
      </c>
      <c r="C533" s="26" t="str">
        <f>IFERROR(__xludf.DUMMYFUNCTION("""COMPUTED_VALUE"""),"Count characters instead of words in Asian language touchpoints")</f>
        <v>Count characters instead of words in Asian language touchpoints</v>
      </c>
      <c r="D533" s="28">
        <f>IFERROR(__xludf.DUMMYFUNCTION("""COMPUTED_VALUE"""),0.1)</f>
        <v>0.1</v>
      </c>
      <c r="E533" s="29">
        <f>IFERROR(__xludf.DUMMYFUNCTION("""COMPUTED_VALUE"""),44022.84027777778)</f>
        <v>44022.84028</v>
      </c>
      <c r="F533" s="26" t="str">
        <f>IFERROR(__xludf.DUMMYFUNCTION("""COMPUTED_VALUE"""),"557058:f55c62b5-dc7e-41e5-b0f8-231ca9f23470")</f>
        <v>557058:f55c62b5-dc7e-41e5-b0f8-231ca9f23470</v>
      </c>
      <c r="G533" s="26" t="str">
        <f>IFERROR(__xludf.DUMMYFUNCTION("""COMPUTED_VALUE"""),"Holly Lam")</f>
        <v>Holly Lam</v>
      </c>
      <c r="H533" s="26" t="b">
        <v>0</v>
      </c>
    </row>
    <row r="534" hidden="1">
      <c r="A534" s="26" t="str">
        <f>VLOOKUP(B534,'2020 SRED (JIRA) - Issues and l'!$B:$C,2,FALSE)</f>
        <v>insite-event-SRED</v>
      </c>
      <c r="B534" s="27" t="str">
        <f>IFERROR(__xludf.DUMMYFUNCTION("""COMPUTED_VALUE"""),"EB9-1")</f>
        <v>EB9-1</v>
      </c>
      <c r="C534" s="26" t="str">
        <f>IFERROR(__xludf.DUMMYFUNCTION("""COMPUTED_VALUE"""),"Create a list of Impetus custom modules and core patches and determine the level of effort and/or risks involved in migrating them to Drupal 9")</f>
        <v>Create a list of Impetus custom modules and core patches and determine the level of effort and/or risks involved in migrating them to Drupal 9</v>
      </c>
      <c r="D534" s="28">
        <f>IFERROR(__xludf.DUMMYFUNCTION("""COMPUTED_VALUE"""),1.0)</f>
        <v>1</v>
      </c>
      <c r="E534" s="29">
        <f>IFERROR(__xludf.DUMMYFUNCTION("""COMPUTED_VALUE"""),44025.0)</f>
        <v>44025</v>
      </c>
      <c r="F534" s="26" t="str">
        <f>IFERROR(__xludf.DUMMYFUNCTION("""COMPUTED_VALUE"""),"557058:3124a1f0-e92a-405c-93f2-c1d4e621bc77")</f>
        <v>557058:3124a1f0-e92a-405c-93f2-c1d4e621bc77</v>
      </c>
      <c r="G534" s="26" t="str">
        <f>IFERROR(__xludf.DUMMYFUNCTION("""COMPUTED_VALUE"""),"Trevor Coehoorn")</f>
        <v>Trevor Coehoorn</v>
      </c>
      <c r="H534" s="26" t="b">
        <v>0</v>
      </c>
    </row>
    <row r="535" hidden="1">
      <c r="A535" s="26" t="str">
        <f>VLOOKUP(B535,'2020 SRED (JIRA) - Issues and l'!$B:$C,2,FALSE)</f>
        <v>portal-builder-SRED</v>
      </c>
      <c r="B535" s="27" t="str">
        <f>IFERROR(__xludf.DUMMYFUNCTION("""COMPUTED_VALUE"""),"ITP-1861")</f>
        <v>ITP-1861</v>
      </c>
      <c r="C535" s="26" t="str">
        <f>IFERROR(__xludf.DUMMYFUNCTION("""COMPUTED_VALUE"""),"Missing a couple annotation comments when exporting the annotated PDF from the portal")</f>
        <v>Missing a couple annotation comments when exporting the annotated PDF from the portal</v>
      </c>
      <c r="D535" s="28">
        <f>IFERROR(__xludf.DUMMYFUNCTION("""COMPUTED_VALUE"""),2.58333333333333)</f>
        <v>2.583333333</v>
      </c>
      <c r="E535" s="29">
        <f>IFERROR(__xludf.DUMMYFUNCTION("""COMPUTED_VALUE"""),44025.0)</f>
        <v>44025</v>
      </c>
      <c r="F535" s="26" t="str">
        <f>IFERROR(__xludf.DUMMYFUNCTION("""COMPUTED_VALUE"""),"557058:3124a1f0-e92a-405c-93f2-c1d4e621bc77")</f>
        <v>557058:3124a1f0-e92a-405c-93f2-c1d4e621bc77</v>
      </c>
      <c r="G535" s="26" t="str">
        <f>IFERROR(__xludf.DUMMYFUNCTION("""COMPUTED_VALUE"""),"Trevor Coehoorn")</f>
        <v>Trevor Coehoorn</v>
      </c>
      <c r="H535" s="26" t="b">
        <v>0</v>
      </c>
    </row>
    <row r="536" hidden="1">
      <c r="A536" s="26" t="str">
        <f>VLOOKUP(B536,'2020 SRED (JIRA) - Issues and l'!$B:$C,2,FALSE)</f>
        <v>portal-builder-SRED</v>
      </c>
      <c r="B536" s="27" t="str">
        <f>IFERROR(__xludf.DUMMYFUNCTION("""COMPUTED_VALUE"""),"ITP-1860")</f>
        <v>ITP-1860</v>
      </c>
      <c r="C536" s="26" t="str">
        <f>IFERROR(__xludf.DUMMYFUNCTION("""COMPUTED_VALUE"""),"Count characters instead of words in Asian language touchpoints")</f>
        <v>Count characters instead of words in Asian language touchpoints</v>
      </c>
      <c r="D536" s="28">
        <f>IFERROR(__xludf.DUMMYFUNCTION("""COMPUTED_VALUE"""),0.15)</f>
        <v>0.15</v>
      </c>
      <c r="E536" s="29">
        <f>IFERROR(__xludf.DUMMYFUNCTION("""COMPUTED_VALUE"""),44025.0)</f>
        <v>44025</v>
      </c>
      <c r="F536" s="26" t="str">
        <f>IFERROR(__xludf.DUMMYFUNCTION("""COMPUTED_VALUE"""),"557058:3124a1f0-e92a-405c-93f2-c1d4e621bc77")</f>
        <v>557058:3124a1f0-e92a-405c-93f2-c1d4e621bc77</v>
      </c>
      <c r="G536" s="26" t="str">
        <f>IFERROR(__xludf.DUMMYFUNCTION("""COMPUTED_VALUE"""),"Trevor Coehoorn")</f>
        <v>Trevor Coehoorn</v>
      </c>
      <c r="H536" s="26" t="b">
        <v>0</v>
      </c>
    </row>
    <row r="537" hidden="1">
      <c r="A537" s="26" t="str">
        <f>VLOOKUP(B537,'2020 SRED (JIRA) - Issues and l'!$B:$C,2,FALSE)</f>
        <v>portal-builder</v>
      </c>
      <c r="B537" s="27" t="str">
        <f>IFERROR(__xludf.DUMMYFUNCTION("""COMPUTED_VALUE"""),"IV2-31")</f>
        <v>IV2-31</v>
      </c>
      <c r="C537" s="26" t="str">
        <f>IFERROR(__xludf.DUMMYFUNCTION("""COMPUTED_VALUE"""),"V2 Status Meetings")</f>
        <v>V2 Status Meetings</v>
      </c>
      <c r="D537" s="28">
        <f>IFERROR(__xludf.DUMMYFUNCTION("""COMPUTED_VALUE"""),0.216666666666666)</f>
        <v>0.2166666667</v>
      </c>
      <c r="E537" s="29">
        <f>IFERROR(__xludf.DUMMYFUNCTION("""COMPUTED_VALUE"""),44025.0)</f>
        <v>44025</v>
      </c>
      <c r="F537" s="26" t="str">
        <f>IFERROR(__xludf.DUMMYFUNCTION("""COMPUTED_VALUE"""),"557058:3124a1f0-e92a-405c-93f2-c1d4e621bc77")</f>
        <v>557058:3124a1f0-e92a-405c-93f2-c1d4e621bc77</v>
      </c>
      <c r="G537" s="26" t="str">
        <f>IFERROR(__xludf.DUMMYFUNCTION("""COMPUTED_VALUE"""),"Trevor Coehoorn")</f>
        <v>Trevor Coehoorn</v>
      </c>
      <c r="H537" s="26" t="b">
        <v>0</v>
      </c>
    </row>
    <row r="538" hidden="1">
      <c r="A538" s="26" t="str">
        <f>VLOOKUP(B538,'2020 SRED (JIRA) - Issues and l'!$B:$C,2,FALSE)</f>
        <v>insite-event-SRED</v>
      </c>
      <c r="B538" s="27" t="str">
        <f>IFERROR(__xludf.DUMMYFUNCTION("""COMPUTED_VALUE"""),"ZAPI-95")</f>
        <v>ZAPI-95</v>
      </c>
      <c r="C538" s="26" t="str">
        <f>IFERROR(__xludf.DUMMYFUNCTION("""COMPUTED_VALUE"""),"When transfer from Zoom to S3 is in progress, show progress updates using AJAX and then prompt user to refresh the page when complete")</f>
        <v>When transfer from Zoom to S3 is in progress, show progress updates using AJAX and then prompt user to refresh the page when complete</v>
      </c>
      <c r="D538" s="28">
        <f>IFERROR(__xludf.DUMMYFUNCTION("""COMPUTED_VALUE"""),0.0666666666666666)</f>
        <v>0.06666666667</v>
      </c>
      <c r="E538" s="29">
        <f>IFERROR(__xludf.DUMMYFUNCTION("""COMPUTED_VALUE"""),44025.0)</f>
        <v>44025</v>
      </c>
      <c r="F538" s="26" t="str">
        <f>IFERROR(__xludf.DUMMYFUNCTION("""COMPUTED_VALUE"""),"557058:3124a1f0-e92a-405c-93f2-c1d4e621bc77")</f>
        <v>557058:3124a1f0-e92a-405c-93f2-c1d4e621bc77</v>
      </c>
      <c r="G538" s="26" t="str">
        <f>IFERROR(__xludf.DUMMYFUNCTION("""COMPUTED_VALUE"""),"Trevor Coehoorn")</f>
        <v>Trevor Coehoorn</v>
      </c>
      <c r="H538" s="26" t="b">
        <v>0</v>
      </c>
    </row>
    <row r="539" hidden="1">
      <c r="A539" s="26" t="str">
        <f>VLOOKUP(B539,'2020 SRED (JIRA) - Issues and l'!$B:$C,2,FALSE)</f>
        <v>insite-event-SRED</v>
      </c>
      <c r="B539" s="27" t="str">
        <f>IFERROR(__xludf.DUMMYFUNCTION("""COMPUTED_VALUE"""),"ZAPI-6")</f>
        <v>ZAPI-6</v>
      </c>
      <c r="C539" s="26" t="str">
        <f>IFERROR(__xludf.DUMMYFUNCTION("""COMPUTED_VALUE"""),"Zoom API v2 (Registration Flow and Reporting)")</f>
        <v>Zoom API v2 (Registration Flow and Reporting)</v>
      </c>
      <c r="D539" s="28">
        <f>IFERROR(__xludf.DUMMYFUNCTION("""COMPUTED_VALUE"""),0.4)</f>
        <v>0.4</v>
      </c>
      <c r="E539" s="29">
        <f>IFERROR(__xludf.DUMMYFUNCTION("""COMPUTED_VALUE"""),44025.0)</f>
        <v>44025</v>
      </c>
      <c r="F539" s="26" t="str">
        <f>IFERROR(__xludf.DUMMYFUNCTION("""COMPUTED_VALUE"""),"557058:3124a1f0-e92a-405c-93f2-c1d4e621bc77")</f>
        <v>557058:3124a1f0-e92a-405c-93f2-c1d4e621bc77</v>
      </c>
      <c r="G539" s="26" t="str">
        <f>IFERROR(__xludf.DUMMYFUNCTION("""COMPUTED_VALUE"""),"Trevor Coehoorn")</f>
        <v>Trevor Coehoorn</v>
      </c>
      <c r="H539" s="26" t="b">
        <v>0</v>
      </c>
    </row>
    <row r="540" hidden="1">
      <c r="A540" s="26" t="str">
        <f>VLOOKUP(B540,'2020 SRED (JIRA) - Issues and l'!$B:$C,2,FALSE)</f>
        <v>portal-builder-SRED</v>
      </c>
      <c r="B540" s="27" t="str">
        <f>IFERROR(__xludf.DUMMYFUNCTION("""COMPUTED_VALUE"""),"ITP-1857")</f>
        <v>ITP-1857</v>
      </c>
      <c r="C540" s="26" t="str">
        <f>IFERROR(__xludf.DUMMYFUNCTION("""COMPUTED_VALUE"""),"Collapse comments in annotation activities")</f>
        <v>Collapse comments in annotation activities</v>
      </c>
      <c r="D540" s="28">
        <f>IFERROR(__xludf.DUMMYFUNCTION("""COMPUTED_VALUE"""),2.5)</f>
        <v>2.5</v>
      </c>
      <c r="E540" s="29">
        <f>IFERROR(__xludf.DUMMYFUNCTION("""COMPUTED_VALUE"""),44025.0)</f>
        <v>44025</v>
      </c>
      <c r="F540" s="26" t="str">
        <f>IFERROR(__xludf.DUMMYFUNCTION("""COMPUTED_VALUE"""),"557058:3124a1f0-e92a-405c-93f2-c1d4e621bc77")</f>
        <v>557058:3124a1f0-e92a-405c-93f2-c1d4e621bc77</v>
      </c>
      <c r="G540" s="26" t="str">
        <f>IFERROR(__xludf.DUMMYFUNCTION("""COMPUTED_VALUE"""),"Trevor Coehoorn")</f>
        <v>Trevor Coehoorn</v>
      </c>
      <c r="H540" s="26" t="b">
        <v>0</v>
      </c>
    </row>
    <row r="541" hidden="1">
      <c r="A541" s="26" t="str">
        <f>VLOOKUP(B541,'2020 SRED (JIRA) - Issues and l'!$B:$C,2,FALSE)</f>
        <v>insite-workflow-SRED</v>
      </c>
      <c r="B541" s="27" t="str">
        <f>IFERROR(__xludf.DUMMYFUNCTION("""COMPUTED_VALUE"""),"APPS-82")</f>
        <v>APPS-82</v>
      </c>
      <c r="C541" s="26" t="str">
        <f>IFERROR(__xludf.DUMMYFUNCTION("""COMPUTED_VALUE"""),"As a client, I can request a new synchronous touchpoint")</f>
        <v>As a client, I can request a new synchronous touchpoint</v>
      </c>
      <c r="D541" s="28">
        <f>IFERROR(__xludf.DUMMYFUNCTION("""COMPUTED_VALUE"""),7.0)</f>
        <v>7</v>
      </c>
      <c r="E541" s="29">
        <f>IFERROR(__xludf.DUMMYFUNCTION("""COMPUTED_VALUE"""),44025.0)</f>
        <v>44025</v>
      </c>
      <c r="F541" s="26" t="str">
        <f>IFERROR(__xludf.DUMMYFUNCTION("""COMPUTED_VALUE"""),"5ee7b6ce868ce30ac49e2521")</f>
        <v>5ee7b6ce868ce30ac49e2521</v>
      </c>
      <c r="G541" s="26" t="str">
        <f>IFERROR(__xludf.DUMMYFUNCTION("""COMPUTED_VALUE"""),"Bryan Le")</f>
        <v>Bryan Le</v>
      </c>
      <c r="H541" s="26" t="b">
        <v>0</v>
      </c>
    </row>
    <row r="542" hidden="1">
      <c r="A542" s="26" t="str">
        <f>VLOOKUP(B542,'2020 SRED (JIRA) - Issues and l'!$B:$C,2,FALSE)</f>
        <v>insite-workflow-SRED</v>
      </c>
      <c r="B542" s="27" t="str">
        <f>IFERROR(__xludf.DUMMYFUNCTION("""COMPUTED_VALUE"""),"APPS-35")</f>
        <v>APPS-35</v>
      </c>
      <c r="C542" s="26" t="str">
        <f>IFERROR(__xludf.DUMMYFUNCTION("""COMPUTED_VALUE"""),"As a salesperson, I can create/modify contacts, organizations, sales opportunities, and proposals")</f>
        <v>As a salesperson, I can create/modify contacts, organizations, sales opportunities, and proposals</v>
      </c>
      <c r="D542" s="28">
        <f>IFERROR(__xludf.DUMMYFUNCTION("""COMPUTED_VALUE"""),8.0)</f>
        <v>8</v>
      </c>
      <c r="E542" s="29">
        <f>IFERROR(__xludf.DUMMYFUNCTION("""COMPUTED_VALUE"""),44025.0)</f>
        <v>44025</v>
      </c>
      <c r="F542" s="26" t="str">
        <f>IFERROR(__xludf.DUMMYFUNCTION("""COMPUTED_VALUE"""),"5ee7b6cf02b4400ac4b65399")</f>
        <v>5ee7b6cf02b4400ac4b65399</v>
      </c>
      <c r="G542" s="26" t="str">
        <f>IFERROR(__xludf.DUMMYFUNCTION("""COMPUTED_VALUE"""),"Jessica Obando")</f>
        <v>Jessica Obando</v>
      </c>
      <c r="H542" s="26" t="b">
        <v>0</v>
      </c>
    </row>
    <row r="543" hidden="1">
      <c r="A543" s="26" t="str">
        <f>VLOOKUP(B543,'2020 SRED (JIRA) - Issues and l'!$B:$C,2,FALSE)</f>
        <v>portal-builder-SRED</v>
      </c>
      <c r="B543" s="27" t="str">
        <f>IFERROR(__xludf.DUMMYFUNCTION("""COMPUTED_VALUE"""),"ITP-1861")</f>
        <v>ITP-1861</v>
      </c>
      <c r="C543" s="26" t="str">
        <f>IFERROR(__xludf.DUMMYFUNCTION("""COMPUTED_VALUE"""),"Missing a couple annotation comments when exporting the annotated PDF from the portal")</f>
        <v>Missing a couple annotation comments when exporting the annotated PDF from the portal</v>
      </c>
      <c r="D543" s="28">
        <f>IFERROR(__xludf.DUMMYFUNCTION("""COMPUTED_VALUE"""),2.11666666666666)</f>
        <v>2.116666667</v>
      </c>
      <c r="E543" s="29">
        <f>IFERROR(__xludf.DUMMYFUNCTION("""COMPUTED_VALUE"""),44026.0)</f>
        <v>44026</v>
      </c>
      <c r="F543" s="26" t="str">
        <f>IFERROR(__xludf.DUMMYFUNCTION("""COMPUTED_VALUE"""),"557058:3124a1f0-e92a-405c-93f2-c1d4e621bc77")</f>
        <v>557058:3124a1f0-e92a-405c-93f2-c1d4e621bc77</v>
      </c>
      <c r="G543" s="26" t="str">
        <f>IFERROR(__xludf.DUMMYFUNCTION("""COMPUTED_VALUE"""),"Trevor Coehoorn")</f>
        <v>Trevor Coehoorn</v>
      </c>
      <c r="H543" s="26" t="b">
        <v>0</v>
      </c>
    </row>
    <row r="544" hidden="1">
      <c r="A544" s="26" t="str">
        <f>VLOOKUP(B544,'2020 SRED (JIRA) - Issues and l'!$B:$C,2,FALSE)</f>
        <v>portal-builder-SRED</v>
      </c>
      <c r="B544" s="27" t="str">
        <f>IFERROR(__xludf.DUMMYFUNCTION("""COMPUTED_VALUE"""),"ITP-1847")</f>
        <v>ITP-1847</v>
      </c>
      <c r="C544" s="26" t="str">
        <f>IFERROR(__xludf.DUMMYFUNCTION("""COMPUTED_VALUE"""),"Add reply count and login number to the touchpoint statistics")</f>
        <v>Add reply count and login number to the touchpoint statistics</v>
      </c>
      <c r="D544" s="28">
        <f>IFERROR(__xludf.DUMMYFUNCTION("""COMPUTED_VALUE"""),0.75)</f>
        <v>0.75</v>
      </c>
      <c r="E544" s="29">
        <f>IFERROR(__xludf.DUMMYFUNCTION("""COMPUTED_VALUE"""),44026.0)</f>
        <v>44026</v>
      </c>
      <c r="F544" s="26" t="str">
        <f>IFERROR(__xludf.DUMMYFUNCTION("""COMPUTED_VALUE"""),"557058:3124a1f0-e92a-405c-93f2-c1d4e621bc77")</f>
        <v>557058:3124a1f0-e92a-405c-93f2-c1d4e621bc77</v>
      </c>
      <c r="G544" s="26" t="str">
        <f>IFERROR(__xludf.DUMMYFUNCTION("""COMPUTED_VALUE"""),"Trevor Coehoorn")</f>
        <v>Trevor Coehoorn</v>
      </c>
      <c r="H544" s="26" t="b">
        <v>0</v>
      </c>
    </row>
    <row r="545" hidden="1">
      <c r="A545" s="26" t="str">
        <f>VLOOKUP(B545,'2020 SRED (JIRA) - Issues and l'!$B:$C,2,FALSE)</f>
        <v>insite-event-SRED</v>
      </c>
      <c r="B545" s="27" t="str">
        <f>IFERROR(__xludf.DUMMYFUNCTION("""COMPUTED_VALUE"""),"EB9-1")</f>
        <v>EB9-1</v>
      </c>
      <c r="C545" s="26" t="str">
        <f>IFERROR(__xludf.DUMMYFUNCTION("""COMPUTED_VALUE"""),"Create a list of Impetus custom modules and core patches and determine the level of effort and/or risks involved in migrating them to Drupal 9")</f>
        <v>Create a list of Impetus custom modules and core patches and determine the level of effort and/or risks involved in migrating them to Drupal 9</v>
      </c>
      <c r="D545" s="28">
        <f>IFERROR(__xludf.DUMMYFUNCTION("""COMPUTED_VALUE"""),1.13333333333333)</f>
        <v>1.133333333</v>
      </c>
      <c r="E545" s="29">
        <f>IFERROR(__xludf.DUMMYFUNCTION("""COMPUTED_VALUE"""),44026.0)</f>
        <v>44026</v>
      </c>
      <c r="F545" s="26" t="str">
        <f>IFERROR(__xludf.DUMMYFUNCTION("""COMPUTED_VALUE"""),"557058:3124a1f0-e92a-405c-93f2-c1d4e621bc77")</f>
        <v>557058:3124a1f0-e92a-405c-93f2-c1d4e621bc77</v>
      </c>
      <c r="G545" s="26" t="str">
        <f>IFERROR(__xludf.DUMMYFUNCTION("""COMPUTED_VALUE"""),"Trevor Coehoorn")</f>
        <v>Trevor Coehoorn</v>
      </c>
      <c r="H545" s="26" t="b">
        <v>0</v>
      </c>
    </row>
    <row r="546" hidden="1">
      <c r="A546" s="26" t="str">
        <f>VLOOKUP(B546,'2020 SRED (JIRA) - Issues and l'!$B:$C,2,FALSE)</f>
        <v>insite-event-SRED</v>
      </c>
      <c r="B546" s="27" t="str">
        <f>IFERROR(__xludf.DUMMYFUNCTION("""COMPUTED_VALUE"""),"ZAPI-6")</f>
        <v>ZAPI-6</v>
      </c>
      <c r="C546" s="26" t="str">
        <f>IFERROR(__xludf.DUMMYFUNCTION("""COMPUTED_VALUE"""),"Zoom API v2 (Registration Flow and Reporting)")</f>
        <v>Zoom API v2 (Registration Flow and Reporting)</v>
      </c>
      <c r="D546" s="28">
        <f>IFERROR(__xludf.DUMMYFUNCTION("""COMPUTED_VALUE"""),0.666666666666666)</f>
        <v>0.6666666667</v>
      </c>
      <c r="E546" s="29">
        <f>IFERROR(__xludf.DUMMYFUNCTION("""COMPUTED_VALUE"""),44026.0)</f>
        <v>44026</v>
      </c>
      <c r="F546" s="26" t="str">
        <f>IFERROR(__xludf.DUMMYFUNCTION("""COMPUTED_VALUE"""),"557058:3124a1f0-e92a-405c-93f2-c1d4e621bc77")</f>
        <v>557058:3124a1f0-e92a-405c-93f2-c1d4e621bc77</v>
      </c>
      <c r="G546" s="26" t="str">
        <f>IFERROR(__xludf.DUMMYFUNCTION("""COMPUTED_VALUE"""),"Trevor Coehoorn")</f>
        <v>Trevor Coehoorn</v>
      </c>
      <c r="H546" s="26" t="b">
        <v>0</v>
      </c>
    </row>
    <row r="547" hidden="1">
      <c r="A547" s="26" t="str">
        <f>VLOOKUP(B547,'2020 SRED (JIRA) - Issues and l'!$B:$C,2,FALSE)</f>
        <v>insite-workflow-SRED</v>
      </c>
      <c r="B547" s="27" t="str">
        <f>IFERROR(__xludf.DUMMYFUNCTION("""COMPUTED_VALUE"""),"APPS-82")</f>
        <v>APPS-82</v>
      </c>
      <c r="C547" s="26" t="str">
        <f>IFERROR(__xludf.DUMMYFUNCTION("""COMPUTED_VALUE"""),"As a client, I can request a new synchronous touchpoint")</f>
        <v>As a client, I can request a new synchronous touchpoint</v>
      </c>
      <c r="D547" s="28">
        <f>IFERROR(__xludf.DUMMYFUNCTION("""COMPUTED_VALUE"""),7.0)</f>
        <v>7</v>
      </c>
      <c r="E547" s="29">
        <f>IFERROR(__xludf.DUMMYFUNCTION("""COMPUTED_VALUE"""),44026.0)</f>
        <v>44026</v>
      </c>
      <c r="F547" s="26" t="str">
        <f>IFERROR(__xludf.DUMMYFUNCTION("""COMPUTED_VALUE"""),"5ee7b6ce868ce30ac49e2521")</f>
        <v>5ee7b6ce868ce30ac49e2521</v>
      </c>
      <c r="G547" s="26" t="str">
        <f>IFERROR(__xludf.DUMMYFUNCTION("""COMPUTED_VALUE"""),"Bryan Le")</f>
        <v>Bryan Le</v>
      </c>
      <c r="H547" s="26" t="b">
        <v>0</v>
      </c>
    </row>
    <row r="548" hidden="1">
      <c r="A548" s="26" t="str">
        <f>VLOOKUP(B548,'2020 SRED (JIRA) - Issues and l'!$B:$C,2,FALSE)</f>
        <v>insite-workflow-SRED</v>
      </c>
      <c r="B548" s="27" t="str">
        <f>IFERROR(__xludf.DUMMYFUNCTION("""COMPUTED_VALUE"""),"APPS-35")</f>
        <v>APPS-35</v>
      </c>
      <c r="C548" s="26" t="str">
        <f>IFERROR(__xludf.DUMMYFUNCTION("""COMPUTED_VALUE"""),"As a salesperson, I can create/modify contacts, organizations, sales opportunities, and proposals")</f>
        <v>As a salesperson, I can create/modify contacts, organizations, sales opportunities, and proposals</v>
      </c>
      <c r="D548" s="28">
        <f>IFERROR(__xludf.DUMMYFUNCTION("""COMPUTED_VALUE"""),8.0)</f>
        <v>8</v>
      </c>
      <c r="E548" s="29">
        <f>IFERROR(__xludf.DUMMYFUNCTION("""COMPUTED_VALUE"""),44026.0)</f>
        <v>44026</v>
      </c>
      <c r="F548" s="26" t="str">
        <f>IFERROR(__xludf.DUMMYFUNCTION("""COMPUTED_VALUE"""),"5ee7b6cf02b4400ac4b65399")</f>
        <v>5ee7b6cf02b4400ac4b65399</v>
      </c>
      <c r="G548" s="26" t="str">
        <f>IFERROR(__xludf.DUMMYFUNCTION("""COMPUTED_VALUE"""),"Jessica Obando")</f>
        <v>Jessica Obando</v>
      </c>
      <c r="H548" s="26" t="b">
        <v>0</v>
      </c>
    </row>
    <row r="549" hidden="1">
      <c r="A549" s="26" t="str">
        <f>VLOOKUP(B549,'2020 SRED (JIRA) - Issues and l'!$B:$C,2,FALSE)</f>
        <v>portal-builder-SRED</v>
      </c>
      <c r="B549" s="27" t="str">
        <f>IFERROR(__xludf.DUMMYFUNCTION("""COMPUTED_VALUE"""),"ITP-1861")</f>
        <v>ITP-1861</v>
      </c>
      <c r="C549" s="26" t="str">
        <f>IFERROR(__xludf.DUMMYFUNCTION("""COMPUTED_VALUE"""),"Missing a couple annotation comments when exporting the annotated PDF from the portal")</f>
        <v>Missing a couple annotation comments when exporting the annotated PDF from the portal</v>
      </c>
      <c r="D549" s="28">
        <f>IFERROR(__xludf.DUMMYFUNCTION("""COMPUTED_VALUE"""),6.98333333333333)</f>
        <v>6.983333333</v>
      </c>
      <c r="E549" s="29">
        <f>IFERROR(__xludf.DUMMYFUNCTION("""COMPUTED_VALUE"""),44027.0)</f>
        <v>44027</v>
      </c>
      <c r="F549" s="26" t="str">
        <f>IFERROR(__xludf.DUMMYFUNCTION("""COMPUTED_VALUE"""),"557058:3124a1f0-e92a-405c-93f2-c1d4e621bc77")</f>
        <v>557058:3124a1f0-e92a-405c-93f2-c1d4e621bc77</v>
      </c>
      <c r="G549" s="26" t="str">
        <f>IFERROR(__xludf.DUMMYFUNCTION("""COMPUTED_VALUE"""),"Trevor Coehoorn")</f>
        <v>Trevor Coehoorn</v>
      </c>
      <c r="H549" s="26" t="b">
        <v>0</v>
      </c>
    </row>
    <row r="550" hidden="1">
      <c r="A550" s="26" t="str">
        <f>VLOOKUP(B550,'2020 SRED (JIRA) - Issues and l'!$B:$C,2,FALSE)</f>
        <v>insite-event-SRED</v>
      </c>
      <c r="B550" s="27" t="str">
        <f>IFERROR(__xludf.DUMMYFUNCTION("""COMPUTED_VALUE"""),"EB9-5")</f>
        <v>EB9-5</v>
      </c>
      <c r="C550" s="26" t="str">
        <f>IFERROR(__xludf.DUMMYFUNCTION("""COMPUTED_VALUE"""),"Spin up a Drupal 9 test site on Pantheon")</f>
        <v>Spin up a Drupal 9 test site on Pantheon</v>
      </c>
      <c r="D550" s="28">
        <f>IFERROR(__xludf.DUMMYFUNCTION("""COMPUTED_VALUE"""),0.15)</f>
        <v>0.15</v>
      </c>
      <c r="E550" s="29">
        <f>IFERROR(__xludf.DUMMYFUNCTION("""COMPUTED_VALUE"""),44027.0)</f>
        <v>44027</v>
      </c>
      <c r="F550" s="26" t="str">
        <f>IFERROR(__xludf.DUMMYFUNCTION("""COMPUTED_VALUE"""),"557058:3124a1f0-e92a-405c-93f2-c1d4e621bc77")</f>
        <v>557058:3124a1f0-e92a-405c-93f2-c1d4e621bc77</v>
      </c>
      <c r="G550" s="26" t="str">
        <f>IFERROR(__xludf.DUMMYFUNCTION("""COMPUTED_VALUE"""),"Trevor Coehoorn")</f>
        <v>Trevor Coehoorn</v>
      </c>
      <c r="H550" s="26" t="b">
        <v>0</v>
      </c>
    </row>
    <row r="551" hidden="1">
      <c r="A551" s="26" t="str">
        <f>VLOOKUP(B551,'2020 SRED (JIRA) - Issues and l'!$B:$C,2,FALSE)</f>
        <v>portal-builder-SRED</v>
      </c>
      <c r="B551" s="27" t="str">
        <f>IFERROR(__xludf.DUMMYFUNCTION("""COMPUTED_VALUE"""),"ITP-1847")</f>
        <v>ITP-1847</v>
      </c>
      <c r="C551" s="26" t="str">
        <f>IFERROR(__xludf.DUMMYFUNCTION("""COMPUTED_VALUE"""),"Add reply count and login number to the touchpoint statistics")</f>
        <v>Add reply count and login number to the touchpoint statistics</v>
      </c>
      <c r="D551" s="28">
        <f>IFERROR(__xludf.DUMMYFUNCTION("""COMPUTED_VALUE"""),0.616666666666666)</f>
        <v>0.6166666667</v>
      </c>
      <c r="E551" s="29">
        <f>IFERROR(__xludf.DUMMYFUNCTION("""COMPUTED_VALUE"""),44027.0)</f>
        <v>44027</v>
      </c>
      <c r="F551" s="26" t="str">
        <f>IFERROR(__xludf.DUMMYFUNCTION("""COMPUTED_VALUE"""),"557058:3124a1f0-e92a-405c-93f2-c1d4e621bc77")</f>
        <v>557058:3124a1f0-e92a-405c-93f2-c1d4e621bc77</v>
      </c>
      <c r="G551" s="26" t="str">
        <f>IFERROR(__xludf.DUMMYFUNCTION("""COMPUTED_VALUE"""),"Trevor Coehoorn")</f>
        <v>Trevor Coehoorn</v>
      </c>
      <c r="H551" s="26" t="b">
        <v>0</v>
      </c>
    </row>
    <row r="552" hidden="1">
      <c r="A552" s="26" t="str">
        <f>VLOOKUP(B552,'2020 SRED (JIRA) - Issues and l'!$B:$C,2,FALSE)</f>
        <v>insite-workflow-SRED</v>
      </c>
      <c r="B552" s="27" t="str">
        <f>IFERROR(__xludf.DUMMYFUNCTION("""COMPUTED_VALUE"""),"APPS-82")</f>
        <v>APPS-82</v>
      </c>
      <c r="C552" s="26" t="str">
        <f>IFERROR(__xludf.DUMMYFUNCTION("""COMPUTED_VALUE"""),"As a client, I can request a new synchronous touchpoint")</f>
        <v>As a client, I can request a new synchronous touchpoint</v>
      </c>
      <c r="D552" s="28">
        <f>IFERROR(__xludf.DUMMYFUNCTION("""COMPUTED_VALUE"""),7.0)</f>
        <v>7</v>
      </c>
      <c r="E552" s="29">
        <f>IFERROR(__xludf.DUMMYFUNCTION("""COMPUTED_VALUE"""),44027.0)</f>
        <v>44027</v>
      </c>
      <c r="F552" s="26" t="str">
        <f>IFERROR(__xludf.DUMMYFUNCTION("""COMPUTED_VALUE"""),"5ee7b6ce868ce30ac49e2521")</f>
        <v>5ee7b6ce868ce30ac49e2521</v>
      </c>
      <c r="G552" s="26" t="str">
        <f>IFERROR(__xludf.DUMMYFUNCTION("""COMPUTED_VALUE"""),"Bryan Le")</f>
        <v>Bryan Le</v>
      </c>
      <c r="H552" s="26" t="b">
        <v>0</v>
      </c>
    </row>
    <row r="553" hidden="1">
      <c r="A553" s="26" t="str">
        <f>VLOOKUP(B553,'2020 SRED (JIRA) - Issues and l'!$B:$C,2,FALSE)</f>
        <v>insite-workflow-SRED</v>
      </c>
      <c r="B553" s="27" t="str">
        <f>IFERROR(__xludf.DUMMYFUNCTION("""COMPUTED_VALUE"""),"APPS-35")</f>
        <v>APPS-35</v>
      </c>
      <c r="C553" s="26" t="str">
        <f>IFERROR(__xludf.DUMMYFUNCTION("""COMPUTED_VALUE"""),"As a salesperson, I can create/modify contacts, organizations, sales opportunities, and proposals")</f>
        <v>As a salesperson, I can create/modify contacts, organizations, sales opportunities, and proposals</v>
      </c>
      <c r="D553" s="28">
        <f>IFERROR(__xludf.DUMMYFUNCTION("""COMPUTED_VALUE"""),7.0)</f>
        <v>7</v>
      </c>
      <c r="E553" s="29">
        <f>IFERROR(__xludf.DUMMYFUNCTION("""COMPUTED_VALUE"""),44027.0)</f>
        <v>44027</v>
      </c>
      <c r="F553" s="26" t="str">
        <f>IFERROR(__xludf.DUMMYFUNCTION("""COMPUTED_VALUE"""),"5ee7b6cf02b4400ac4b65399")</f>
        <v>5ee7b6cf02b4400ac4b65399</v>
      </c>
      <c r="G553" s="26" t="str">
        <f>IFERROR(__xludf.DUMMYFUNCTION("""COMPUTED_VALUE"""),"Jessica Obando")</f>
        <v>Jessica Obando</v>
      </c>
      <c r="H553" s="26" t="b">
        <v>0</v>
      </c>
    </row>
    <row r="554" hidden="1">
      <c r="A554" s="26" t="str">
        <f>VLOOKUP(B554,'2020 SRED (JIRA) - Issues and l'!$B:$C,2,FALSE)</f>
        <v>portal-builder-SRED</v>
      </c>
      <c r="B554" s="27" t="str">
        <f>IFERROR(__xludf.DUMMYFUNCTION("""COMPUTED_VALUE"""),"ITP-1847")</f>
        <v>ITP-1847</v>
      </c>
      <c r="C554" s="26" t="str">
        <f>IFERROR(__xludf.DUMMYFUNCTION("""COMPUTED_VALUE"""),"Add reply count and login number to the touchpoint statistics")</f>
        <v>Add reply count and login number to the touchpoint statistics</v>
      </c>
      <c r="D554" s="28">
        <f>IFERROR(__xludf.DUMMYFUNCTION("""COMPUTED_VALUE"""),0.333333333333333)</f>
        <v>0.3333333333</v>
      </c>
      <c r="E554" s="29">
        <f>IFERROR(__xludf.DUMMYFUNCTION("""COMPUTED_VALUE"""),44027.433333333334)</f>
        <v>44027.43333</v>
      </c>
      <c r="F554" s="26" t="str">
        <f>IFERROR(__xludf.DUMMYFUNCTION("""COMPUTED_VALUE"""),"557058:f55c62b5-dc7e-41e5-b0f8-231ca9f23470")</f>
        <v>557058:f55c62b5-dc7e-41e5-b0f8-231ca9f23470</v>
      </c>
      <c r="G554" s="26" t="str">
        <f>IFERROR(__xludf.DUMMYFUNCTION("""COMPUTED_VALUE"""),"Holly Lam")</f>
        <v>Holly Lam</v>
      </c>
      <c r="H554" s="26" t="b">
        <v>0</v>
      </c>
    </row>
    <row r="555" hidden="1">
      <c r="A555" s="26" t="str">
        <f>VLOOKUP(B555,'2020 SRED (JIRA) - Issues and l'!$B:$C,2,FALSE)</f>
        <v>insite-event-SRED</v>
      </c>
      <c r="B555" s="27" t="str">
        <f>IFERROR(__xludf.DUMMYFUNCTION("""COMPUTED_VALUE"""),"EB9-1")</f>
        <v>EB9-1</v>
      </c>
      <c r="C555" s="26" t="str">
        <f>IFERROR(__xludf.DUMMYFUNCTION("""COMPUTED_VALUE"""),"Create a list of Impetus custom modules and core patches and determine the level of effort and/or risks involved in migrating them to Drupal 9")</f>
        <v>Create a list of Impetus custom modules and core patches and determine the level of effort and/or risks involved in migrating them to Drupal 9</v>
      </c>
      <c r="D555" s="28">
        <f>IFERROR(__xludf.DUMMYFUNCTION("""COMPUTED_VALUE"""),1.16666666666666)</f>
        <v>1.166666667</v>
      </c>
      <c r="E555" s="29">
        <f>IFERROR(__xludf.DUMMYFUNCTION("""COMPUTED_VALUE"""),44028.0)</f>
        <v>44028</v>
      </c>
      <c r="F555" s="26" t="str">
        <f>IFERROR(__xludf.DUMMYFUNCTION("""COMPUTED_VALUE"""),"557058:3124a1f0-e92a-405c-93f2-c1d4e621bc77")</f>
        <v>557058:3124a1f0-e92a-405c-93f2-c1d4e621bc77</v>
      </c>
      <c r="G555" s="26" t="str">
        <f>IFERROR(__xludf.DUMMYFUNCTION("""COMPUTED_VALUE"""),"Trevor Coehoorn")</f>
        <v>Trevor Coehoorn</v>
      </c>
      <c r="H555" s="26" t="b">
        <v>0</v>
      </c>
    </row>
    <row r="556" hidden="1">
      <c r="A556" s="26" t="str">
        <f>VLOOKUP(B556,'2020 SRED (JIRA) - Issues and l'!$B:$C,2,FALSE)</f>
        <v>insite-event-SRED</v>
      </c>
      <c r="B556" s="27" t="str">
        <f>IFERROR(__xludf.DUMMYFUNCTION("""COMPUTED_VALUE"""),"EB9-5")</f>
        <v>EB9-5</v>
      </c>
      <c r="C556" s="26" t="str">
        <f>IFERROR(__xludf.DUMMYFUNCTION("""COMPUTED_VALUE"""),"Spin up a Drupal 9 test site on Pantheon")</f>
        <v>Spin up a Drupal 9 test site on Pantheon</v>
      </c>
      <c r="D556" s="28">
        <f>IFERROR(__xludf.DUMMYFUNCTION("""COMPUTED_VALUE"""),0.783333333333333)</f>
        <v>0.7833333333</v>
      </c>
      <c r="E556" s="29">
        <f>IFERROR(__xludf.DUMMYFUNCTION("""COMPUTED_VALUE"""),44028.0)</f>
        <v>44028</v>
      </c>
      <c r="F556" s="26" t="str">
        <f>IFERROR(__xludf.DUMMYFUNCTION("""COMPUTED_VALUE"""),"557058:3124a1f0-e92a-405c-93f2-c1d4e621bc77")</f>
        <v>557058:3124a1f0-e92a-405c-93f2-c1d4e621bc77</v>
      </c>
      <c r="G556" s="26" t="str">
        <f>IFERROR(__xludf.DUMMYFUNCTION("""COMPUTED_VALUE"""),"Trevor Coehoorn")</f>
        <v>Trevor Coehoorn</v>
      </c>
      <c r="H556" s="26" t="b">
        <v>0</v>
      </c>
    </row>
    <row r="557" hidden="1">
      <c r="A557" s="26" t="str">
        <f>VLOOKUP(B557,'2020 SRED (JIRA) - Issues and l'!$B:$C,2,FALSE)</f>
        <v>portal-builder-SRED</v>
      </c>
      <c r="B557" s="27" t="str">
        <f>IFERROR(__xludf.DUMMYFUNCTION("""COMPUTED_VALUE"""),"ITP-1861")</f>
        <v>ITP-1861</v>
      </c>
      <c r="C557" s="26" t="str">
        <f>IFERROR(__xludf.DUMMYFUNCTION("""COMPUTED_VALUE"""),"Missing a couple annotation comments when exporting the annotated PDF from the portal")</f>
        <v>Missing a couple annotation comments when exporting the annotated PDF from the portal</v>
      </c>
      <c r="D557" s="28">
        <f>IFERROR(__xludf.DUMMYFUNCTION("""COMPUTED_VALUE"""),5.35)</f>
        <v>5.35</v>
      </c>
      <c r="E557" s="29">
        <f>IFERROR(__xludf.DUMMYFUNCTION("""COMPUTED_VALUE"""),44028.0)</f>
        <v>44028</v>
      </c>
      <c r="F557" s="26" t="str">
        <f>IFERROR(__xludf.DUMMYFUNCTION("""COMPUTED_VALUE"""),"557058:3124a1f0-e92a-405c-93f2-c1d4e621bc77")</f>
        <v>557058:3124a1f0-e92a-405c-93f2-c1d4e621bc77</v>
      </c>
      <c r="G557" s="26" t="str">
        <f>IFERROR(__xludf.DUMMYFUNCTION("""COMPUTED_VALUE"""),"Trevor Coehoorn")</f>
        <v>Trevor Coehoorn</v>
      </c>
      <c r="H557" s="26" t="b">
        <v>0</v>
      </c>
    </row>
    <row r="558" hidden="1">
      <c r="A558" s="26" t="str">
        <f>VLOOKUP(B558,'2020 SRED (JIRA) - Issues and l'!$B:$C,2,FALSE)</f>
        <v>portal-builder-SRED</v>
      </c>
      <c r="B558" s="27" t="str">
        <f>IFERROR(__xludf.DUMMYFUNCTION("""COMPUTED_VALUE"""),"ITP-1861")</f>
        <v>ITP-1861</v>
      </c>
      <c r="C558" s="26" t="str">
        <f>IFERROR(__xludf.DUMMYFUNCTION("""COMPUTED_VALUE"""),"Missing a couple annotation comments when exporting the annotated PDF from the portal")</f>
        <v>Missing a couple annotation comments when exporting the annotated PDF from the portal</v>
      </c>
      <c r="D558" s="28">
        <f>IFERROR(__xludf.DUMMYFUNCTION("""COMPUTED_VALUE"""),0.166666666666666)</f>
        <v>0.1666666667</v>
      </c>
      <c r="E558" s="29">
        <f>IFERROR(__xludf.DUMMYFUNCTION("""COMPUTED_VALUE"""),44028.0)</f>
        <v>44028</v>
      </c>
      <c r="F558" s="26" t="str">
        <f>IFERROR(__xludf.DUMMYFUNCTION("""COMPUTED_VALUE"""),"5e98d69b272c6a0c0e88b806")</f>
        <v>5e98d69b272c6a0c0e88b806</v>
      </c>
      <c r="G558" s="26" t="str">
        <f>IFERROR(__xludf.DUMMYFUNCTION("""COMPUTED_VALUE"""),"Pauline Reyes")</f>
        <v>Pauline Reyes</v>
      </c>
      <c r="H558" s="26" t="b">
        <v>0</v>
      </c>
    </row>
    <row r="559" hidden="1">
      <c r="A559" s="26" t="str">
        <f>VLOOKUP(B559,'2020 SRED (JIRA) - Issues and l'!$B:$C,2,FALSE)</f>
        <v>insite-workflow-SRED</v>
      </c>
      <c r="B559" s="27" t="str">
        <f>IFERROR(__xludf.DUMMYFUNCTION("""COMPUTED_VALUE"""),"APPS-81")</f>
        <v>APPS-81</v>
      </c>
      <c r="C559" s="26" t="str">
        <f>IFERROR(__xludf.DUMMYFUNCTION("""COMPUTED_VALUE"""),"As a client, I can request a new asynchronous touchpoint")</f>
        <v>As a client, I can request a new asynchronous touchpoint</v>
      </c>
      <c r="D559" s="28">
        <f>IFERROR(__xludf.DUMMYFUNCTION("""COMPUTED_VALUE"""),7.0)</f>
        <v>7</v>
      </c>
      <c r="E559" s="29">
        <f>IFERROR(__xludf.DUMMYFUNCTION("""COMPUTED_VALUE"""),44028.0)</f>
        <v>44028</v>
      </c>
      <c r="F559" s="26" t="str">
        <f>IFERROR(__xludf.DUMMYFUNCTION("""COMPUTED_VALUE"""),"5ee7b6ce868ce30ac49e2521")</f>
        <v>5ee7b6ce868ce30ac49e2521</v>
      </c>
      <c r="G559" s="26" t="str">
        <f>IFERROR(__xludf.DUMMYFUNCTION("""COMPUTED_VALUE"""),"Bryan Le")</f>
        <v>Bryan Le</v>
      </c>
      <c r="H559" s="26" t="b">
        <v>0</v>
      </c>
    </row>
    <row r="560" hidden="1">
      <c r="A560" s="26" t="str">
        <f>VLOOKUP(B560,'2020 SRED (JIRA) - Issues and l'!$B:$C,2,FALSE)</f>
        <v>insite-workflow-SRED</v>
      </c>
      <c r="B560" s="27" t="str">
        <f>IFERROR(__xludf.DUMMYFUNCTION("""COMPUTED_VALUE"""),"APPS-186")</f>
        <v>APPS-186</v>
      </c>
      <c r="C560" s="26" t="str">
        <f>IFERROR(__xludf.DUMMYFUNCTION("""COMPUTED_VALUE"""),"As a lead, I can enter my information to request a download and receive an email with the download")</f>
        <v>As a lead, I can enter my information to request a download and receive an email with the download</v>
      </c>
      <c r="D560" s="28">
        <f>IFERROR(__xludf.DUMMYFUNCTION("""COMPUTED_VALUE"""),8.0)</f>
        <v>8</v>
      </c>
      <c r="E560" s="29">
        <f>IFERROR(__xludf.DUMMYFUNCTION("""COMPUTED_VALUE"""),44028.0)</f>
        <v>44028</v>
      </c>
      <c r="F560" s="26" t="str">
        <f>IFERROR(__xludf.DUMMYFUNCTION("""COMPUTED_VALUE"""),"5ee7b6cf02b4400ac4b65399")</f>
        <v>5ee7b6cf02b4400ac4b65399</v>
      </c>
      <c r="G560" s="26" t="str">
        <f>IFERROR(__xludf.DUMMYFUNCTION("""COMPUTED_VALUE"""),"Jessica Obando")</f>
        <v>Jessica Obando</v>
      </c>
      <c r="H560" s="26" t="b">
        <v>0</v>
      </c>
    </row>
    <row r="561" hidden="1">
      <c r="A561" s="26" t="str">
        <f>VLOOKUP(B561,'2020 SRED (JIRA) - Issues and l'!$B:$C,2,FALSE)</f>
        <v>insite-workflow-SRED</v>
      </c>
      <c r="B561" s="27" t="str">
        <f>IFERROR(__xludf.DUMMYFUNCTION("""COMPUTED_VALUE"""),"APPS-195")</f>
        <v>APPS-195</v>
      </c>
      <c r="C561" s="26" t="str">
        <f>IFERROR(__xludf.DUMMYFUNCTION("""COMPUTED_VALUE"""),"Use larger, non-italic fonts for all instructions/descriptions on AVT and SVT forms (see attached)")</f>
        <v>Use larger, non-italic fonts for all instructions/descriptions on AVT and SVT forms (see attached)</v>
      </c>
      <c r="D561" s="28">
        <f>IFERROR(__xludf.DUMMYFUNCTION("""COMPUTED_VALUE"""),7.0)</f>
        <v>7</v>
      </c>
      <c r="E561" s="29">
        <f>IFERROR(__xludf.DUMMYFUNCTION("""COMPUTED_VALUE"""),44029.0)</f>
        <v>44029</v>
      </c>
      <c r="F561" s="26" t="str">
        <f>IFERROR(__xludf.DUMMYFUNCTION("""COMPUTED_VALUE"""),"5ee7b6ce868ce30ac49e2521")</f>
        <v>5ee7b6ce868ce30ac49e2521</v>
      </c>
      <c r="G561" s="26" t="str">
        <f>IFERROR(__xludf.DUMMYFUNCTION("""COMPUTED_VALUE"""),"Bryan Le")</f>
        <v>Bryan Le</v>
      </c>
      <c r="H561" s="26" t="b">
        <v>0</v>
      </c>
    </row>
    <row r="562" hidden="1">
      <c r="A562" s="26" t="str">
        <f>VLOOKUP(B562,'2020 SRED (JIRA) - Issues and l'!$B:$C,2,FALSE)</f>
        <v>insite-workflow-SRED</v>
      </c>
      <c r="B562" s="27" t="str">
        <f>IFERROR(__xludf.DUMMYFUNCTION("""COMPUTED_VALUE"""),"APPS-186")</f>
        <v>APPS-186</v>
      </c>
      <c r="C562" s="26" t="str">
        <f>IFERROR(__xludf.DUMMYFUNCTION("""COMPUTED_VALUE"""),"As a lead, I can enter my information to request a download and receive an email with the download")</f>
        <v>As a lead, I can enter my information to request a download and receive an email with the download</v>
      </c>
      <c r="D562" s="28">
        <f>IFERROR(__xludf.DUMMYFUNCTION("""COMPUTED_VALUE"""),8.0)</f>
        <v>8</v>
      </c>
      <c r="E562" s="29">
        <f>IFERROR(__xludf.DUMMYFUNCTION("""COMPUTED_VALUE"""),44029.0)</f>
        <v>44029</v>
      </c>
      <c r="F562" s="26" t="str">
        <f>IFERROR(__xludf.DUMMYFUNCTION("""COMPUTED_VALUE"""),"5ee7b6cf02b4400ac4b65399")</f>
        <v>5ee7b6cf02b4400ac4b65399</v>
      </c>
      <c r="G562" s="26" t="str">
        <f>IFERROR(__xludf.DUMMYFUNCTION("""COMPUTED_VALUE"""),"Jessica Obando")</f>
        <v>Jessica Obando</v>
      </c>
      <c r="H562" s="26" t="b">
        <v>0</v>
      </c>
    </row>
    <row r="563" hidden="1">
      <c r="A563" s="26" t="str">
        <f>VLOOKUP(B563,'2020 SRED (JIRA) - Issues and l'!$B:$C,2,FALSE)</f>
        <v>insite-event-SRED</v>
      </c>
      <c r="B563" s="27" t="str">
        <f>IFERROR(__xludf.DUMMYFUNCTION("""COMPUTED_VALUE"""),"EB9-1")</f>
        <v>EB9-1</v>
      </c>
      <c r="C563" s="26" t="str">
        <f>IFERROR(__xludf.DUMMYFUNCTION("""COMPUTED_VALUE"""),"Create a list of Impetus custom modules and core patches and determine the level of effort and/or risks involved in migrating them to Drupal 9")</f>
        <v>Create a list of Impetus custom modules and core patches and determine the level of effort and/or risks involved in migrating them to Drupal 9</v>
      </c>
      <c r="D563" s="28">
        <f>IFERROR(__xludf.DUMMYFUNCTION("""COMPUTED_VALUE"""),2.78333333333333)</f>
        <v>2.783333333</v>
      </c>
      <c r="E563" s="29">
        <f>IFERROR(__xludf.DUMMYFUNCTION("""COMPUTED_VALUE"""),44032.0)</f>
        <v>44032</v>
      </c>
      <c r="F563" s="26" t="str">
        <f>IFERROR(__xludf.DUMMYFUNCTION("""COMPUTED_VALUE"""),"557058:3124a1f0-e92a-405c-93f2-c1d4e621bc77")</f>
        <v>557058:3124a1f0-e92a-405c-93f2-c1d4e621bc77</v>
      </c>
      <c r="G563" s="26" t="str">
        <f>IFERROR(__xludf.DUMMYFUNCTION("""COMPUTED_VALUE"""),"Trevor Coehoorn")</f>
        <v>Trevor Coehoorn</v>
      </c>
      <c r="H563" s="26" t="b">
        <v>0</v>
      </c>
    </row>
    <row r="564" hidden="1">
      <c r="A564" s="26" t="str">
        <f>VLOOKUP(B564,'2020 SRED (JIRA) - Issues and l'!$B:$C,2,FALSE)</f>
        <v>insite-event-SRED</v>
      </c>
      <c r="B564" s="27" t="str">
        <f>IFERROR(__xludf.DUMMYFUNCTION("""COMPUTED_VALUE"""),"ZAPI-83")</f>
        <v>ZAPI-83</v>
      </c>
      <c r="C564" s="26" t="str">
        <f>IFERROR(__xludf.DUMMYFUNCTION("""COMPUTED_VALUE"""),"Change mentioning of meeting ""password"" to ""passcode"" to be consistent with Zoom's change in language")</f>
        <v>Change mentioning of meeting "password" to "passcode" to be consistent with Zoom's change in language</v>
      </c>
      <c r="D564" s="28">
        <f>IFERROR(__xludf.DUMMYFUNCTION("""COMPUTED_VALUE"""),0.2)</f>
        <v>0.2</v>
      </c>
      <c r="E564" s="29">
        <f>IFERROR(__xludf.DUMMYFUNCTION("""COMPUTED_VALUE"""),44032.0)</f>
        <v>44032</v>
      </c>
      <c r="F564" s="26" t="str">
        <f>IFERROR(__xludf.DUMMYFUNCTION("""COMPUTED_VALUE"""),"557058:3124a1f0-e92a-405c-93f2-c1d4e621bc77")</f>
        <v>557058:3124a1f0-e92a-405c-93f2-c1d4e621bc77</v>
      </c>
      <c r="G564" s="26" t="str">
        <f>IFERROR(__xludf.DUMMYFUNCTION("""COMPUTED_VALUE"""),"Trevor Coehoorn")</f>
        <v>Trevor Coehoorn</v>
      </c>
      <c r="H564" s="26" t="b">
        <v>0</v>
      </c>
    </row>
    <row r="565" hidden="1">
      <c r="A565" s="26" t="str">
        <f>VLOOKUP(B565,'2020 SRED (JIRA) - Issues and l'!$B:$C,2,FALSE)</f>
        <v>insite-event-SRED</v>
      </c>
      <c r="B565" s="27" t="str">
        <f>IFERROR(__xludf.DUMMYFUNCTION("""COMPUTED_VALUE"""),"ZAPI-76")</f>
        <v>ZAPI-76</v>
      </c>
      <c r="C565" s="26" t="str">
        <f>IFERROR(__xludf.DUMMYFUNCTION("""COMPUTED_VALUE"""),"Unable to change the audio type after it's been set to voip only")</f>
        <v>Unable to change the audio type after it's been set to voip only</v>
      </c>
      <c r="D565" s="28">
        <f>IFERROR(__xludf.DUMMYFUNCTION("""COMPUTED_VALUE"""),0.133333333333333)</f>
        <v>0.1333333333</v>
      </c>
      <c r="E565" s="29">
        <f>IFERROR(__xludf.DUMMYFUNCTION("""COMPUTED_VALUE"""),44032.0)</f>
        <v>44032</v>
      </c>
      <c r="F565" s="26" t="str">
        <f>IFERROR(__xludf.DUMMYFUNCTION("""COMPUTED_VALUE"""),"557058:3124a1f0-e92a-405c-93f2-c1d4e621bc77")</f>
        <v>557058:3124a1f0-e92a-405c-93f2-c1d4e621bc77</v>
      </c>
      <c r="G565" s="26" t="str">
        <f>IFERROR(__xludf.DUMMYFUNCTION("""COMPUTED_VALUE"""),"Trevor Coehoorn")</f>
        <v>Trevor Coehoorn</v>
      </c>
      <c r="H565" s="26" t="b">
        <v>0</v>
      </c>
    </row>
    <row r="566" hidden="1">
      <c r="A566" s="26" t="str">
        <f>VLOOKUP(B566,'2020 SRED (JIRA) - Issues and l'!$B:$C,2,FALSE)</f>
        <v>insite-event-SRED</v>
      </c>
      <c r="B566" s="27" t="str">
        <f>IFERROR(__xludf.DUMMYFUNCTION("""COMPUTED_VALUE"""),"ZAPI-89")</f>
        <v>ZAPI-89</v>
      </c>
      <c r="C566" s="26" t="str">
        <f>IFERROR(__xludf.DUMMYFUNCTION("""COMPUTED_VALUE"""),"Remove redundant 'Enable reports' checkbox in meeting panel reports and recordings fieldset")</f>
        <v>Remove redundant 'Enable reports' checkbox in meeting panel reports and recordings fieldset</v>
      </c>
      <c r="D566" s="28">
        <f>IFERROR(__xludf.DUMMYFUNCTION("""COMPUTED_VALUE"""),0.0666666666666666)</f>
        <v>0.06666666667</v>
      </c>
      <c r="E566" s="29">
        <f>IFERROR(__xludf.DUMMYFUNCTION("""COMPUTED_VALUE"""),44032.0)</f>
        <v>44032</v>
      </c>
      <c r="F566" s="26" t="str">
        <f>IFERROR(__xludf.DUMMYFUNCTION("""COMPUTED_VALUE"""),"557058:3124a1f0-e92a-405c-93f2-c1d4e621bc77")</f>
        <v>557058:3124a1f0-e92a-405c-93f2-c1d4e621bc77</v>
      </c>
      <c r="G566" s="26" t="str">
        <f>IFERROR(__xludf.DUMMYFUNCTION("""COMPUTED_VALUE"""),"Trevor Coehoorn")</f>
        <v>Trevor Coehoorn</v>
      </c>
      <c r="H566" s="26" t="b">
        <v>0</v>
      </c>
    </row>
    <row r="567" hidden="1">
      <c r="A567" s="26" t="str">
        <f>VLOOKUP(B567,'2020 SRED (JIRA) - Issues and l'!$B:$C,2,FALSE)</f>
        <v>insite-event-SRED</v>
      </c>
      <c r="B567" s="27" t="str">
        <f>IFERROR(__xludf.DUMMYFUNCTION("""COMPUTED_VALUE"""),"ZAPI-95")</f>
        <v>ZAPI-95</v>
      </c>
      <c r="C567" s="26" t="str">
        <f>IFERROR(__xludf.DUMMYFUNCTION("""COMPUTED_VALUE"""),"When transfer from Zoom to S3 is in progress, show progress updates using AJAX and then prompt user to refresh the page when complete")</f>
        <v>When transfer from Zoom to S3 is in progress, show progress updates using AJAX and then prompt user to refresh the page when complete</v>
      </c>
      <c r="D567" s="28">
        <f>IFERROR(__xludf.DUMMYFUNCTION("""COMPUTED_VALUE"""),0.733333333333333)</f>
        <v>0.7333333333</v>
      </c>
      <c r="E567" s="29">
        <f>IFERROR(__xludf.DUMMYFUNCTION("""COMPUTED_VALUE"""),44032.0)</f>
        <v>44032</v>
      </c>
      <c r="F567" s="26" t="str">
        <f>IFERROR(__xludf.DUMMYFUNCTION("""COMPUTED_VALUE"""),"557058:3124a1f0-e92a-405c-93f2-c1d4e621bc77")</f>
        <v>557058:3124a1f0-e92a-405c-93f2-c1d4e621bc77</v>
      </c>
      <c r="G567" s="26" t="str">
        <f>IFERROR(__xludf.DUMMYFUNCTION("""COMPUTED_VALUE"""),"Trevor Coehoorn")</f>
        <v>Trevor Coehoorn</v>
      </c>
      <c r="H567" s="26" t="b">
        <v>0</v>
      </c>
    </row>
    <row r="568" hidden="1">
      <c r="A568" s="26" t="str">
        <f>VLOOKUP(B568,'2020 SRED (JIRA) - Issues and l'!$B:$C,2,FALSE)</f>
        <v>portal-builder</v>
      </c>
      <c r="B568" s="27" t="str">
        <f>IFERROR(__xludf.DUMMYFUNCTION("""COMPUTED_VALUE"""),"IV2-31")</f>
        <v>IV2-31</v>
      </c>
      <c r="C568" s="26" t="str">
        <f>IFERROR(__xludf.DUMMYFUNCTION("""COMPUTED_VALUE"""),"V2 Status Meetings")</f>
        <v>V2 Status Meetings</v>
      </c>
      <c r="D568" s="28">
        <f>IFERROR(__xludf.DUMMYFUNCTION("""COMPUTED_VALUE"""),0.233333333333333)</f>
        <v>0.2333333333</v>
      </c>
      <c r="E568" s="29">
        <f>IFERROR(__xludf.DUMMYFUNCTION("""COMPUTED_VALUE"""),44032.0)</f>
        <v>44032</v>
      </c>
      <c r="F568" s="26" t="str">
        <f>IFERROR(__xludf.DUMMYFUNCTION("""COMPUTED_VALUE"""),"557058:3124a1f0-e92a-405c-93f2-c1d4e621bc77")</f>
        <v>557058:3124a1f0-e92a-405c-93f2-c1d4e621bc77</v>
      </c>
      <c r="G568" s="26" t="str">
        <f>IFERROR(__xludf.DUMMYFUNCTION("""COMPUTED_VALUE"""),"Trevor Coehoorn")</f>
        <v>Trevor Coehoorn</v>
      </c>
      <c r="H568" s="26" t="b">
        <v>0</v>
      </c>
    </row>
    <row r="569" hidden="1">
      <c r="A569" s="26" t="str">
        <f>VLOOKUP(B569,'2020 SRED (JIRA) - Issues and l'!$B:$C,2,FALSE)</f>
        <v>portal-builder-SRED</v>
      </c>
      <c r="B569" s="27" t="str">
        <f>IFERROR(__xludf.DUMMYFUNCTION("""COMPUTED_VALUE"""),"ITP-1864")</f>
        <v>ITP-1864</v>
      </c>
      <c r="C569" s="26" t="str">
        <f>IFERROR(__xludf.DUMMYFUNCTION("""COMPUTED_VALUE"""),"Prevent file widget video files from automatically playing when they are downloaded")</f>
        <v>Prevent file widget video files from automatically playing when they are downloaded</v>
      </c>
      <c r="D569" s="28">
        <f>IFERROR(__xludf.DUMMYFUNCTION("""COMPUTED_VALUE"""),0.216666666666666)</f>
        <v>0.2166666667</v>
      </c>
      <c r="E569" s="29">
        <f>IFERROR(__xludf.DUMMYFUNCTION("""COMPUTED_VALUE"""),44032.0)</f>
        <v>44032</v>
      </c>
      <c r="F569" s="26" t="str">
        <f>IFERROR(__xludf.DUMMYFUNCTION("""COMPUTED_VALUE"""),"557058:3124a1f0-e92a-405c-93f2-c1d4e621bc77")</f>
        <v>557058:3124a1f0-e92a-405c-93f2-c1d4e621bc77</v>
      </c>
      <c r="G569" s="26" t="str">
        <f>IFERROR(__xludf.DUMMYFUNCTION("""COMPUTED_VALUE"""),"Trevor Coehoorn")</f>
        <v>Trevor Coehoorn</v>
      </c>
      <c r="H569" s="26" t="b">
        <v>0</v>
      </c>
    </row>
    <row r="570" hidden="1">
      <c r="A570" s="26" t="str">
        <f>VLOOKUP(B570,'2020 SRED (JIRA) - Issues and l'!$B:$C,2,FALSE)</f>
        <v>insite-event-SRED</v>
      </c>
      <c r="B570" s="27" t="str">
        <f>IFERROR(__xludf.DUMMYFUNCTION("""COMPUTED_VALUE"""),"ZAPI-25")</f>
        <v>ZAPI-25</v>
      </c>
      <c r="C570" s="26" t="str">
        <f>IFERROR(__xludf.DUMMYFUNCTION("""COMPUTED_VALUE"""),"As a meeting administrator, I can trim the meeting recording")</f>
        <v>As a meeting administrator, I can trim the meeting recording</v>
      </c>
      <c r="D570" s="28">
        <f>IFERROR(__xludf.DUMMYFUNCTION("""COMPUTED_VALUE"""),0.283333333333333)</f>
        <v>0.2833333333</v>
      </c>
      <c r="E570" s="29">
        <f>IFERROR(__xludf.DUMMYFUNCTION("""COMPUTED_VALUE"""),44032.0)</f>
        <v>44032</v>
      </c>
      <c r="F570" s="26" t="str">
        <f>IFERROR(__xludf.DUMMYFUNCTION("""COMPUTED_VALUE"""),"557058:3124a1f0-e92a-405c-93f2-c1d4e621bc77")</f>
        <v>557058:3124a1f0-e92a-405c-93f2-c1d4e621bc77</v>
      </c>
      <c r="G570" s="26" t="str">
        <f>IFERROR(__xludf.DUMMYFUNCTION("""COMPUTED_VALUE"""),"Trevor Coehoorn")</f>
        <v>Trevor Coehoorn</v>
      </c>
      <c r="H570" s="26" t="b">
        <v>0</v>
      </c>
    </row>
    <row r="571" hidden="1">
      <c r="A571" s="26" t="str">
        <f>VLOOKUP(B571,'2020 SRED (JIRA) - Issues and l'!$B:$C,2,FALSE)</f>
        <v>insite-event-SRED</v>
      </c>
      <c r="B571" s="27" t="str">
        <f>IFERROR(__xludf.DUMMYFUNCTION("""COMPUTED_VALUE"""),"ZAPI-6")</f>
        <v>ZAPI-6</v>
      </c>
      <c r="C571" s="26" t="str">
        <f>IFERROR(__xludf.DUMMYFUNCTION("""COMPUTED_VALUE"""),"Zoom API v2 (Registration Flow and Reporting)")</f>
        <v>Zoom API v2 (Registration Flow and Reporting)</v>
      </c>
      <c r="D571" s="28">
        <f>IFERROR(__xludf.DUMMYFUNCTION("""COMPUTED_VALUE"""),0.166666666666666)</f>
        <v>0.1666666667</v>
      </c>
      <c r="E571" s="29">
        <f>IFERROR(__xludf.DUMMYFUNCTION("""COMPUTED_VALUE"""),44032.0)</f>
        <v>44032</v>
      </c>
      <c r="F571" s="26" t="str">
        <f>IFERROR(__xludf.DUMMYFUNCTION("""COMPUTED_VALUE"""),"557058:3124a1f0-e92a-405c-93f2-c1d4e621bc77")</f>
        <v>557058:3124a1f0-e92a-405c-93f2-c1d4e621bc77</v>
      </c>
      <c r="G571" s="26" t="str">
        <f>IFERROR(__xludf.DUMMYFUNCTION("""COMPUTED_VALUE"""),"Trevor Coehoorn")</f>
        <v>Trevor Coehoorn</v>
      </c>
      <c r="H571" s="26" t="b">
        <v>0</v>
      </c>
    </row>
    <row r="572" hidden="1">
      <c r="A572" s="26" t="str">
        <f>VLOOKUP(B572,'2020 SRED (JIRA) - Issues and l'!$B:$C,2,FALSE)</f>
        <v>portal-builder-SRED</v>
      </c>
      <c r="B572" s="27" t="str">
        <f>IFERROR(__xludf.DUMMYFUNCTION("""COMPUTED_VALUE"""),"ITP-1861")</f>
        <v>ITP-1861</v>
      </c>
      <c r="C572" s="26" t="str">
        <f>IFERROR(__xludf.DUMMYFUNCTION("""COMPUTED_VALUE"""),"Missing a couple annotation comments when exporting the annotated PDF from the portal")</f>
        <v>Missing a couple annotation comments when exporting the annotated PDF from the portal</v>
      </c>
      <c r="D572" s="28">
        <f>IFERROR(__xludf.DUMMYFUNCTION("""COMPUTED_VALUE"""),1.11666666666666)</f>
        <v>1.116666667</v>
      </c>
      <c r="E572" s="29">
        <f>IFERROR(__xludf.DUMMYFUNCTION("""COMPUTED_VALUE"""),44032.0)</f>
        <v>44032</v>
      </c>
      <c r="F572" s="26" t="str">
        <f>IFERROR(__xludf.DUMMYFUNCTION("""COMPUTED_VALUE"""),"557058:3124a1f0-e92a-405c-93f2-c1d4e621bc77")</f>
        <v>557058:3124a1f0-e92a-405c-93f2-c1d4e621bc77</v>
      </c>
      <c r="G572" s="26" t="str">
        <f>IFERROR(__xludf.DUMMYFUNCTION("""COMPUTED_VALUE"""),"Trevor Coehoorn")</f>
        <v>Trevor Coehoorn</v>
      </c>
      <c r="H572" s="26" t="b">
        <v>0</v>
      </c>
    </row>
    <row r="573" hidden="1">
      <c r="A573" s="26" t="str">
        <f>VLOOKUP(B573,'2020 SRED (JIRA) - Issues and l'!$B:$C,2,FALSE)</f>
        <v>insite-workflow-SRED</v>
      </c>
      <c r="B573" s="27" t="str">
        <f>IFERROR(__xludf.DUMMYFUNCTION("""COMPUTED_VALUE"""),"APPS-196")</f>
        <v>APPS-196</v>
      </c>
      <c r="C573" s="26" t="str">
        <f>IFERROR(__xludf.DUMMYFUNCTION("""COMPUTED_VALUE"""),"As an Impetus project lead, I can create a new project and initiate SVT/AVT intake requests belonging to that project")</f>
        <v>As an Impetus project lead, I can create a new project and initiate SVT/AVT intake requests belonging to that project</v>
      </c>
      <c r="D573" s="28">
        <f>IFERROR(__xludf.DUMMYFUNCTION("""COMPUTED_VALUE"""),7.0)</f>
        <v>7</v>
      </c>
      <c r="E573" s="29">
        <f>IFERROR(__xludf.DUMMYFUNCTION("""COMPUTED_VALUE"""),44032.0)</f>
        <v>44032</v>
      </c>
      <c r="F573" s="26" t="str">
        <f>IFERROR(__xludf.DUMMYFUNCTION("""COMPUTED_VALUE"""),"5ee7b6ce868ce30ac49e2521")</f>
        <v>5ee7b6ce868ce30ac49e2521</v>
      </c>
      <c r="G573" s="26" t="str">
        <f>IFERROR(__xludf.DUMMYFUNCTION("""COMPUTED_VALUE"""),"Bryan Le")</f>
        <v>Bryan Le</v>
      </c>
      <c r="H573" s="26" t="b">
        <v>0</v>
      </c>
    </row>
    <row r="574" hidden="1">
      <c r="A574" s="26" t="str">
        <f>VLOOKUP(B574,'2020 SRED (JIRA) - Issues and l'!$B:$C,2,FALSE)</f>
        <v>insite-workflow-SRED</v>
      </c>
      <c r="B574" s="27" t="str">
        <f>IFERROR(__xludf.DUMMYFUNCTION("""COMPUTED_VALUE"""),"APPS-186")</f>
        <v>APPS-186</v>
      </c>
      <c r="C574" s="26" t="str">
        <f>IFERROR(__xludf.DUMMYFUNCTION("""COMPUTED_VALUE"""),"As a lead, I can enter my information to request a download and receive an email with the download")</f>
        <v>As a lead, I can enter my information to request a download and receive an email with the download</v>
      </c>
      <c r="D574" s="28">
        <f>IFERROR(__xludf.DUMMYFUNCTION("""COMPUTED_VALUE"""),7.0)</f>
        <v>7</v>
      </c>
      <c r="E574" s="29">
        <f>IFERROR(__xludf.DUMMYFUNCTION("""COMPUTED_VALUE"""),44032.0)</f>
        <v>44032</v>
      </c>
      <c r="F574" s="26" t="str">
        <f>IFERROR(__xludf.DUMMYFUNCTION("""COMPUTED_VALUE"""),"5ee7b6cf02b4400ac4b65399")</f>
        <v>5ee7b6cf02b4400ac4b65399</v>
      </c>
      <c r="G574" s="26" t="str">
        <f>IFERROR(__xludf.DUMMYFUNCTION("""COMPUTED_VALUE"""),"Jessica Obando")</f>
        <v>Jessica Obando</v>
      </c>
      <c r="H574" s="26" t="b">
        <v>0</v>
      </c>
    </row>
    <row r="575" hidden="1">
      <c r="A575" s="26" t="str">
        <f>VLOOKUP(B575,'2020 SRED (JIRA) - Issues and l'!$B:$C,2,FALSE)</f>
        <v>insite-event-SRED</v>
      </c>
      <c r="B575" s="27" t="str">
        <f>IFERROR(__xludf.DUMMYFUNCTION("""COMPUTED_VALUE"""),"EB9-3")</f>
        <v>EB9-3</v>
      </c>
      <c r="C575" s="26" t="str">
        <f>IFERROR(__xludf.DUMMYFUNCTION("""COMPUTED_VALUE"""),"Assess viability of OA spaces and OG access controls for use in a multi-tenant environment: are there native Drupal 9 modules better suited for this?")</f>
        <v>Assess viability of OA spaces and OG access controls for use in a multi-tenant environment: are there native Drupal 9 modules better suited for this?</v>
      </c>
      <c r="D575" s="28">
        <f>IFERROR(__xludf.DUMMYFUNCTION("""COMPUTED_VALUE"""),0.216666666666666)</f>
        <v>0.2166666667</v>
      </c>
      <c r="E575" s="29">
        <f>IFERROR(__xludf.DUMMYFUNCTION("""COMPUTED_VALUE"""),44033.0)</f>
        <v>44033</v>
      </c>
      <c r="F575" s="26" t="str">
        <f>IFERROR(__xludf.DUMMYFUNCTION("""COMPUTED_VALUE"""),"557058:3124a1f0-e92a-405c-93f2-c1d4e621bc77")</f>
        <v>557058:3124a1f0-e92a-405c-93f2-c1d4e621bc77</v>
      </c>
      <c r="G575" s="26" t="str">
        <f>IFERROR(__xludf.DUMMYFUNCTION("""COMPUTED_VALUE"""),"Trevor Coehoorn")</f>
        <v>Trevor Coehoorn</v>
      </c>
      <c r="H575" s="26" t="b">
        <v>0</v>
      </c>
    </row>
    <row r="576" hidden="1">
      <c r="A576" s="26" t="str">
        <f>VLOOKUP(B576,'2020 SRED (JIRA) - Issues and l'!$B:$C,2,FALSE)</f>
        <v>insite-event-SRED</v>
      </c>
      <c r="B576" s="27" t="str">
        <f>IFERROR(__xludf.DUMMYFUNCTION("""COMPUTED_VALUE"""),"ZAPI-90")</f>
        <v>ZAPI-90</v>
      </c>
      <c r="C576" s="26" t="str">
        <f>IFERROR(__xludf.DUMMYFUNCTION("""COMPUTED_VALUE"""),"When 'Show reports in the meeting pane' is checked on the meeting panel, show a list of checkboxes to enable/disable the display of available report sections (recordings, Q&amp;A, polling, participants, etc.) — the options will depend on the meeting type")</f>
        <v>When 'Show reports in the meeting pane' is checked on the meeting panel, show a list of checkboxes to enable/disable the display of available report sections (recordings, Q&amp;A, polling, participants, etc.) — the options will depend on the meeting type</v>
      </c>
      <c r="D576" s="28">
        <f>IFERROR(__xludf.DUMMYFUNCTION("""COMPUTED_VALUE"""),0.633333333333333)</f>
        <v>0.6333333333</v>
      </c>
      <c r="E576" s="29">
        <f>IFERROR(__xludf.DUMMYFUNCTION("""COMPUTED_VALUE"""),44033.0)</f>
        <v>44033</v>
      </c>
      <c r="F576" s="26" t="str">
        <f>IFERROR(__xludf.DUMMYFUNCTION("""COMPUTED_VALUE"""),"557058:3124a1f0-e92a-405c-93f2-c1d4e621bc77")</f>
        <v>557058:3124a1f0-e92a-405c-93f2-c1d4e621bc77</v>
      </c>
      <c r="G576" s="26" t="str">
        <f>IFERROR(__xludf.DUMMYFUNCTION("""COMPUTED_VALUE"""),"Trevor Coehoorn")</f>
        <v>Trevor Coehoorn</v>
      </c>
      <c r="H576" s="26" t="b">
        <v>0</v>
      </c>
    </row>
    <row r="577" hidden="1">
      <c r="A577" s="26" t="str">
        <f>VLOOKUP(B577,'2020 SRED (JIRA) - Issues and l'!$B:$C,2,FALSE)</f>
        <v>insite-event-SRED</v>
      </c>
      <c r="B577" s="27" t="str">
        <f>IFERROR(__xludf.DUMMYFUNCTION("""COMPUTED_VALUE"""),"ZAPI-91")</f>
        <v>ZAPI-91</v>
      </c>
      <c r="C577" s="26" t="str">
        <f>IFERROR(__xludf.DUMMYFUNCTION("""COMPUTED_VALUE"""),"Show checkbox list of available reports on the standalone meeting reports panel (same as in ZAPI-90)")</f>
        <v>Show checkbox list of available reports on the standalone meeting reports panel (same as in ZAPI-90)</v>
      </c>
      <c r="D577" s="28">
        <f>IFERROR(__xludf.DUMMYFUNCTION("""COMPUTED_VALUE"""),0.05)</f>
        <v>0.05</v>
      </c>
      <c r="E577" s="29">
        <f>IFERROR(__xludf.DUMMYFUNCTION("""COMPUTED_VALUE"""),44033.0)</f>
        <v>44033</v>
      </c>
      <c r="F577" s="26" t="str">
        <f>IFERROR(__xludf.DUMMYFUNCTION("""COMPUTED_VALUE"""),"557058:3124a1f0-e92a-405c-93f2-c1d4e621bc77")</f>
        <v>557058:3124a1f0-e92a-405c-93f2-c1d4e621bc77</v>
      </c>
      <c r="G577" s="26" t="str">
        <f>IFERROR(__xludf.DUMMYFUNCTION("""COMPUTED_VALUE"""),"Trevor Coehoorn")</f>
        <v>Trevor Coehoorn</v>
      </c>
      <c r="H577" s="26" t="b">
        <v>0</v>
      </c>
    </row>
    <row r="578" hidden="1">
      <c r="A578" s="26" t="str">
        <f>VLOOKUP(B578,'2020 SRED (JIRA) - Issues and l'!$B:$C,2,FALSE)</f>
        <v>insite-event-SRED</v>
      </c>
      <c r="B578" s="27" t="str">
        <f>IFERROR(__xludf.DUMMYFUNCTION("""COMPUTED_VALUE"""),"ZAPI-94")</f>
        <v>ZAPI-94</v>
      </c>
      <c r="C578" s="26" t="str">
        <f>IFERROR(__xludf.DUMMYFUNCTION("""COMPUTED_VALUE"""),"Change button label ""Download all to portal"" to ""Transfer all files from Zoom to portal""")</f>
        <v>Change button label "Download all to portal" to "Transfer all files from Zoom to portal"</v>
      </c>
      <c r="D578" s="28">
        <f>IFERROR(__xludf.DUMMYFUNCTION("""COMPUTED_VALUE"""),0.233333333333333)</f>
        <v>0.2333333333</v>
      </c>
      <c r="E578" s="29">
        <f>IFERROR(__xludf.DUMMYFUNCTION("""COMPUTED_VALUE"""),44033.0)</f>
        <v>44033</v>
      </c>
      <c r="F578" s="26" t="str">
        <f>IFERROR(__xludf.DUMMYFUNCTION("""COMPUTED_VALUE"""),"557058:3124a1f0-e92a-405c-93f2-c1d4e621bc77")</f>
        <v>557058:3124a1f0-e92a-405c-93f2-c1d4e621bc77</v>
      </c>
      <c r="G578" s="26" t="str">
        <f>IFERROR(__xludf.DUMMYFUNCTION("""COMPUTED_VALUE"""),"Trevor Coehoorn")</f>
        <v>Trevor Coehoorn</v>
      </c>
      <c r="H578" s="26" t="b">
        <v>0</v>
      </c>
    </row>
    <row r="579" hidden="1">
      <c r="A579" s="26" t="str">
        <f>VLOOKUP(B579,'2020 SRED (JIRA) - Issues and l'!$B:$C,2,FALSE)</f>
        <v>portal-builder-SRED</v>
      </c>
      <c r="B579" s="27" t="str">
        <f>IFERROR(__xludf.DUMMYFUNCTION("""COMPUTED_VALUE"""),"ITP-1819")</f>
        <v>ITP-1819</v>
      </c>
      <c r="C579" s="26" t="str">
        <f>IFERROR(__xludf.DUMMYFUNCTION("""COMPUTED_VALUE"""),"Set up one-time login password creation process")</f>
        <v>Set up one-time login password creation process</v>
      </c>
      <c r="D579" s="28">
        <f>IFERROR(__xludf.DUMMYFUNCTION("""COMPUTED_VALUE"""),1.56666666666666)</f>
        <v>1.566666667</v>
      </c>
      <c r="E579" s="29">
        <f>IFERROR(__xludf.DUMMYFUNCTION("""COMPUTED_VALUE"""),44033.0)</f>
        <v>44033</v>
      </c>
      <c r="F579" s="26" t="str">
        <f>IFERROR(__xludf.DUMMYFUNCTION("""COMPUTED_VALUE"""),"557058:3124a1f0-e92a-405c-93f2-c1d4e621bc77")</f>
        <v>557058:3124a1f0-e92a-405c-93f2-c1d4e621bc77</v>
      </c>
      <c r="G579" s="26" t="str">
        <f>IFERROR(__xludf.DUMMYFUNCTION("""COMPUTED_VALUE"""),"Trevor Coehoorn")</f>
        <v>Trevor Coehoorn</v>
      </c>
      <c r="H579" s="26" t="b">
        <v>0</v>
      </c>
    </row>
    <row r="580" hidden="1">
      <c r="A580" s="26" t="str">
        <f>VLOOKUP(B580,'2020 SRED (JIRA) - Issues and l'!$B:$C,2,FALSE)</f>
        <v>insite-event-SRED</v>
      </c>
      <c r="B580" s="27" t="str">
        <f>IFERROR(__xludf.DUMMYFUNCTION("""COMPUTED_VALUE"""),"EB9-1")</f>
        <v>EB9-1</v>
      </c>
      <c r="C580" s="26" t="str">
        <f>IFERROR(__xludf.DUMMYFUNCTION("""COMPUTED_VALUE"""),"Create a list of Impetus custom modules and core patches and determine the level of effort and/or risks involved in migrating them to Drupal 9")</f>
        <v>Create a list of Impetus custom modules and core patches and determine the level of effort and/or risks involved in migrating them to Drupal 9</v>
      </c>
      <c r="D580" s="28">
        <f>IFERROR(__xludf.DUMMYFUNCTION("""COMPUTED_VALUE"""),0.583333333333333)</f>
        <v>0.5833333333</v>
      </c>
      <c r="E580" s="29">
        <f>IFERROR(__xludf.DUMMYFUNCTION("""COMPUTED_VALUE"""),44033.0)</f>
        <v>44033</v>
      </c>
      <c r="F580" s="26" t="str">
        <f>IFERROR(__xludf.DUMMYFUNCTION("""COMPUTED_VALUE"""),"557058:3124a1f0-e92a-405c-93f2-c1d4e621bc77")</f>
        <v>557058:3124a1f0-e92a-405c-93f2-c1d4e621bc77</v>
      </c>
      <c r="G580" s="26" t="str">
        <f>IFERROR(__xludf.DUMMYFUNCTION("""COMPUTED_VALUE"""),"Trevor Coehoorn")</f>
        <v>Trevor Coehoorn</v>
      </c>
      <c r="H580" s="26" t="b">
        <v>0</v>
      </c>
    </row>
    <row r="581" hidden="1">
      <c r="A581" s="26" t="str">
        <f>VLOOKUP(B581,'2020 SRED (JIRA) - Issues and l'!$B:$C,2,FALSE)</f>
        <v>insite-workflow-SRED</v>
      </c>
      <c r="B581" s="27" t="str">
        <f>IFERROR(__xludf.DUMMYFUNCTION("""COMPUTED_VALUE"""),"APPS-196")</f>
        <v>APPS-196</v>
      </c>
      <c r="C581" s="26" t="str">
        <f>IFERROR(__xludf.DUMMYFUNCTION("""COMPUTED_VALUE"""),"As an Impetus project lead, I can create a new project and initiate SVT/AVT intake requests belonging to that project")</f>
        <v>As an Impetus project lead, I can create a new project and initiate SVT/AVT intake requests belonging to that project</v>
      </c>
      <c r="D581" s="28">
        <f>IFERROR(__xludf.DUMMYFUNCTION("""COMPUTED_VALUE"""),7.0)</f>
        <v>7</v>
      </c>
      <c r="E581" s="29">
        <f>IFERROR(__xludf.DUMMYFUNCTION("""COMPUTED_VALUE"""),44033.0)</f>
        <v>44033</v>
      </c>
      <c r="F581" s="26" t="str">
        <f>IFERROR(__xludf.DUMMYFUNCTION("""COMPUTED_VALUE"""),"5ee7b6ce868ce30ac49e2521")</f>
        <v>5ee7b6ce868ce30ac49e2521</v>
      </c>
      <c r="G581" s="26" t="str">
        <f>IFERROR(__xludf.DUMMYFUNCTION("""COMPUTED_VALUE"""),"Bryan Le")</f>
        <v>Bryan Le</v>
      </c>
      <c r="H581" s="26" t="b">
        <v>0</v>
      </c>
    </row>
    <row r="582" hidden="1">
      <c r="A582" s="26" t="str">
        <f>VLOOKUP(B582,'2020 SRED (JIRA) - Issues and l'!$B:$C,2,FALSE)</f>
        <v>insite-workflow-SRED</v>
      </c>
      <c r="B582" s="27" t="str">
        <f>IFERROR(__xludf.DUMMYFUNCTION("""COMPUTED_VALUE"""),"APPS-186")</f>
        <v>APPS-186</v>
      </c>
      <c r="C582" s="26" t="str">
        <f>IFERROR(__xludf.DUMMYFUNCTION("""COMPUTED_VALUE"""),"As a lead, I can enter my information to request a download and receive an email with the download")</f>
        <v>As a lead, I can enter my information to request a download and receive an email with the download</v>
      </c>
      <c r="D582" s="28">
        <f>IFERROR(__xludf.DUMMYFUNCTION("""COMPUTED_VALUE"""),7.0)</f>
        <v>7</v>
      </c>
      <c r="E582" s="29">
        <f>IFERROR(__xludf.DUMMYFUNCTION("""COMPUTED_VALUE"""),44033.0)</f>
        <v>44033</v>
      </c>
      <c r="F582" s="26" t="str">
        <f>IFERROR(__xludf.DUMMYFUNCTION("""COMPUTED_VALUE"""),"5ee7b6cf02b4400ac4b65399")</f>
        <v>5ee7b6cf02b4400ac4b65399</v>
      </c>
      <c r="G582" s="26" t="str">
        <f>IFERROR(__xludf.DUMMYFUNCTION("""COMPUTED_VALUE"""),"Jessica Obando")</f>
        <v>Jessica Obando</v>
      </c>
      <c r="H582" s="26" t="b">
        <v>0</v>
      </c>
    </row>
    <row r="583" hidden="1">
      <c r="A583" s="26" t="str">
        <f>VLOOKUP(B583,'2020 SRED (JIRA) - Issues and l'!$B:$C,2,FALSE)</f>
        <v>insite-event-SRED</v>
      </c>
      <c r="B583" s="27" t="str">
        <f>IFERROR(__xludf.DUMMYFUNCTION("""COMPUTED_VALUE"""),"ZAPI-93")</f>
        <v>ZAPI-93</v>
      </c>
      <c r="C583" s="26" t="str">
        <f>IFERROR(__xludf.DUMMYFUNCTION("""COMPUTED_VALUE"""),"On standalone meeting reports panel, sort list of meetings by newest to oldest based on scheduled date, show scheduled date in parentheses, and use an autocomplete selection field instead of regular dropdown")</f>
        <v>On standalone meeting reports panel, sort list of meetings by newest to oldest based on scheduled date, show scheduled date in parentheses, and use an autocomplete selection field instead of regular dropdown</v>
      </c>
      <c r="D583" s="28">
        <f>IFERROR(__xludf.DUMMYFUNCTION("""COMPUTED_VALUE"""),0.283333333333333)</f>
        <v>0.2833333333</v>
      </c>
      <c r="E583" s="29">
        <f>IFERROR(__xludf.DUMMYFUNCTION("""COMPUTED_VALUE"""),44034.0)</f>
        <v>44034</v>
      </c>
      <c r="F583" s="26" t="str">
        <f>IFERROR(__xludf.DUMMYFUNCTION("""COMPUTED_VALUE"""),"557058:3124a1f0-e92a-405c-93f2-c1d4e621bc77")</f>
        <v>557058:3124a1f0-e92a-405c-93f2-c1d4e621bc77</v>
      </c>
      <c r="G583" s="26" t="str">
        <f>IFERROR(__xludf.DUMMYFUNCTION("""COMPUTED_VALUE"""),"Trevor Coehoorn")</f>
        <v>Trevor Coehoorn</v>
      </c>
      <c r="H583" s="26" t="b">
        <v>0</v>
      </c>
    </row>
    <row r="584" hidden="1">
      <c r="A584" s="26" t="str">
        <f>VLOOKUP(B584,'2020 SRED (JIRA) - Issues and l'!$B:$C,2,FALSE)</f>
        <v>insite-event-SRED</v>
      </c>
      <c r="B584" s="27" t="str">
        <f>IFERROR(__xludf.DUMMYFUNCTION("""COMPUTED_VALUE"""),"ZAPI-96")</f>
        <v>ZAPI-96</v>
      </c>
      <c r="C584" s="26" t="str">
        <f>IFERROR(__xludf.DUMMYFUNCTION("""COMPUTED_VALUE"""),"Add column for file sizes to list of downloads so admins have an idea of how long the transfers will take")</f>
        <v>Add column for file sizes to list of downloads so admins have an idea of how long the transfers will take</v>
      </c>
      <c r="D584" s="28">
        <f>IFERROR(__xludf.DUMMYFUNCTION("""COMPUTED_VALUE"""),0.416666666666666)</f>
        <v>0.4166666667</v>
      </c>
      <c r="E584" s="29">
        <f>IFERROR(__xludf.DUMMYFUNCTION("""COMPUTED_VALUE"""),44034.0)</f>
        <v>44034</v>
      </c>
      <c r="F584" s="26" t="str">
        <f>IFERROR(__xludf.DUMMYFUNCTION("""COMPUTED_VALUE"""),"557058:3124a1f0-e92a-405c-93f2-c1d4e621bc77")</f>
        <v>557058:3124a1f0-e92a-405c-93f2-c1d4e621bc77</v>
      </c>
      <c r="G584" s="26" t="str">
        <f>IFERROR(__xludf.DUMMYFUNCTION("""COMPUTED_VALUE"""),"Trevor Coehoorn")</f>
        <v>Trevor Coehoorn</v>
      </c>
      <c r="H584" s="26" t="b">
        <v>0</v>
      </c>
    </row>
    <row r="585" hidden="1">
      <c r="A585" s="26" t="str">
        <f>VLOOKUP(B585,'2020 SRED (JIRA) - Issues and l'!$B:$C,2,FALSE)</f>
        <v>portal-builder-SRED</v>
      </c>
      <c r="B585" s="27" t="str">
        <f>IFERROR(__xludf.DUMMYFUNCTION("""COMPUTED_VALUE"""),"ITP-1819")</f>
        <v>ITP-1819</v>
      </c>
      <c r="C585" s="26" t="str">
        <f>IFERROR(__xludf.DUMMYFUNCTION("""COMPUTED_VALUE"""),"Set up one-time login password creation process")</f>
        <v>Set up one-time login password creation process</v>
      </c>
      <c r="D585" s="28">
        <f>IFERROR(__xludf.DUMMYFUNCTION("""COMPUTED_VALUE"""),1.86666666666666)</f>
        <v>1.866666667</v>
      </c>
      <c r="E585" s="29">
        <f>IFERROR(__xludf.DUMMYFUNCTION("""COMPUTED_VALUE"""),44034.0)</f>
        <v>44034</v>
      </c>
      <c r="F585" s="26" t="str">
        <f>IFERROR(__xludf.DUMMYFUNCTION("""COMPUTED_VALUE"""),"557058:3124a1f0-e92a-405c-93f2-c1d4e621bc77")</f>
        <v>557058:3124a1f0-e92a-405c-93f2-c1d4e621bc77</v>
      </c>
      <c r="G585" s="26" t="str">
        <f>IFERROR(__xludf.DUMMYFUNCTION("""COMPUTED_VALUE"""),"Trevor Coehoorn")</f>
        <v>Trevor Coehoorn</v>
      </c>
      <c r="H585" s="26" t="b">
        <v>0</v>
      </c>
    </row>
    <row r="586" hidden="1">
      <c r="A586" s="26" t="str">
        <f>VLOOKUP(B586,'2020 SRED (JIRA) - Issues and l'!$B:$C,2,FALSE)</f>
        <v>portal-builder-SRED</v>
      </c>
      <c r="B586" s="27" t="str">
        <f>IFERROR(__xludf.DUMMYFUNCTION("""COMPUTED_VALUE"""),"IOP-1357")</f>
        <v>IOP-1357</v>
      </c>
      <c r="C586" s="26" t="str">
        <f>IFERROR(__xludf.DUMMYFUNCTION("""COMPUTED_VALUE"""),"Product development meetings")</f>
        <v>Product development meetings</v>
      </c>
      <c r="D586" s="28">
        <f>IFERROR(__xludf.DUMMYFUNCTION("""COMPUTED_VALUE"""),0.5)</f>
        <v>0.5</v>
      </c>
      <c r="E586" s="29">
        <f>IFERROR(__xludf.DUMMYFUNCTION("""COMPUTED_VALUE"""),44034.0)</f>
        <v>44034</v>
      </c>
      <c r="F586" s="26" t="str">
        <f>IFERROR(__xludf.DUMMYFUNCTION("""COMPUTED_VALUE"""),"557058:3124a1f0-e92a-405c-93f2-c1d4e621bc77")</f>
        <v>557058:3124a1f0-e92a-405c-93f2-c1d4e621bc77</v>
      </c>
      <c r="G586" s="26" t="str">
        <f>IFERROR(__xludf.DUMMYFUNCTION("""COMPUTED_VALUE"""),"Trevor Coehoorn")</f>
        <v>Trevor Coehoorn</v>
      </c>
      <c r="H586" s="26" t="b">
        <v>0</v>
      </c>
    </row>
    <row r="587" hidden="1">
      <c r="A587" s="26" t="str">
        <f>VLOOKUP(B587,'2020 SRED (JIRA) - Issues and l'!$B:$C,2,FALSE)</f>
        <v>insite-event-SRED</v>
      </c>
      <c r="B587" s="27" t="str">
        <f>IFERROR(__xludf.DUMMYFUNCTION("""COMPUTED_VALUE"""),"ZAPI-6")</f>
        <v>ZAPI-6</v>
      </c>
      <c r="C587" s="26" t="str">
        <f>IFERROR(__xludf.DUMMYFUNCTION("""COMPUTED_VALUE"""),"Zoom API v2 (Registration Flow and Reporting)")</f>
        <v>Zoom API v2 (Registration Flow and Reporting)</v>
      </c>
      <c r="D587" s="28">
        <f>IFERROR(__xludf.DUMMYFUNCTION("""COMPUTED_VALUE"""),0.266666666666666)</f>
        <v>0.2666666667</v>
      </c>
      <c r="E587" s="29">
        <f>IFERROR(__xludf.DUMMYFUNCTION("""COMPUTED_VALUE"""),44034.0)</f>
        <v>44034</v>
      </c>
      <c r="F587" s="26" t="str">
        <f>IFERROR(__xludf.DUMMYFUNCTION("""COMPUTED_VALUE"""),"557058:3124a1f0-e92a-405c-93f2-c1d4e621bc77")</f>
        <v>557058:3124a1f0-e92a-405c-93f2-c1d4e621bc77</v>
      </c>
      <c r="G587" s="26" t="str">
        <f>IFERROR(__xludf.DUMMYFUNCTION("""COMPUTED_VALUE"""),"Trevor Coehoorn")</f>
        <v>Trevor Coehoorn</v>
      </c>
      <c r="H587" s="26" t="b">
        <v>0</v>
      </c>
    </row>
    <row r="588" hidden="1">
      <c r="A588" s="26" t="str">
        <f>VLOOKUP(B588,'2020 SRED (JIRA) - Issues and l'!$B:$C,2,FALSE)</f>
        <v>insite-event-SRED</v>
      </c>
      <c r="B588" s="27" t="str">
        <f>IFERROR(__xludf.DUMMYFUNCTION("""COMPUTED_VALUE"""),"EB9-1")</f>
        <v>EB9-1</v>
      </c>
      <c r="C588" s="26" t="str">
        <f>IFERROR(__xludf.DUMMYFUNCTION("""COMPUTED_VALUE"""),"Create a list of Impetus custom modules and core patches and determine the level of effort and/or risks involved in migrating them to Drupal 9")</f>
        <v>Create a list of Impetus custom modules and core patches and determine the level of effort and/or risks involved in migrating them to Drupal 9</v>
      </c>
      <c r="D588" s="28">
        <f>IFERROR(__xludf.DUMMYFUNCTION("""COMPUTED_VALUE"""),2.2)</f>
        <v>2.2</v>
      </c>
      <c r="E588" s="29">
        <f>IFERROR(__xludf.DUMMYFUNCTION("""COMPUTED_VALUE"""),44034.0)</f>
        <v>44034</v>
      </c>
      <c r="F588" s="26" t="str">
        <f>IFERROR(__xludf.DUMMYFUNCTION("""COMPUTED_VALUE"""),"557058:3124a1f0-e92a-405c-93f2-c1d4e621bc77")</f>
        <v>557058:3124a1f0-e92a-405c-93f2-c1d4e621bc77</v>
      </c>
      <c r="G588" s="26" t="str">
        <f>IFERROR(__xludf.DUMMYFUNCTION("""COMPUTED_VALUE"""),"Trevor Coehoorn")</f>
        <v>Trevor Coehoorn</v>
      </c>
      <c r="H588" s="26" t="b">
        <v>0</v>
      </c>
    </row>
    <row r="589" hidden="1">
      <c r="A589" s="26" t="str">
        <f>VLOOKUP(B589,'2020 SRED (JIRA) - Issues and l'!$B:$C,2,FALSE)</f>
        <v>portal-builder-SRED</v>
      </c>
      <c r="B589" s="27" t="str">
        <f>IFERROR(__xludf.DUMMYFUNCTION("""COMPUTED_VALUE"""),"ITP-1864")</f>
        <v>ITP-1864</v>
      </c>
      <c r="C589" s="26" t="str">
        <f>IFERROR(__xludf.DUMMYFUNCTION("""COMPUTED_VALUE"""),"Prevent file widget video files from automatically playing when they are downloaded")</f>
        <v>Prevent file widget video files from automatically playing when they are downloaded</v>
      </c>
      <c r="D589" s="28">
        <f>IFERROR(__xludf.DUMMYFUNCTION("""COMPUTED_VALUE"""),0.15)</f>
        <v>0.15</v>
      </c>
      <c r="E589" s="29">
        <f>IFERROR(__xludf.DUMMYFUNCTION("""COMPUTED_VALUE"""),44034.0)</f>
        <v>44034</v>
      </c>
      <c r="F589" s="26" t="str">
        <f>IFERROR(__xludf.DUMMYFUNCTION("""COMPUTED_VALUE"""),"557058:3124a1f0-e92a-405c-93f2-c1d4e621bc77")</f>
        <v>557058:3124a1f0-e92a-405c-93f2-c1d4e621bc77</v>
      </c>
      <c r="G589" s="26" t="str">
        <f>IFERROR(__xludf.DUMMYFUNCTION("""COMPUTED_VALUE"""),"Trevor Coehoorn")</f>
        <v>Trevor Coehoorn</v>
      </c>
      <c r="H589" s="26" t="b">
        <v>0</v>
      </c>
    </row>
    <row r="590" hidden="1">
      <c r="A590" s="26" t="str">
        <f>VLOOKUP(B590,'2020 SRED (JIRA) - Issues and l'!$B:$C,2,FALSE)</f>
        <v>insite-workflow-SRED</v>
      </c>
      <c r="B590" s="27" t="str">
        <f>IFERROR(__xludf.DUMMYFUNCTION("""COMPUTED_VALUE"""),"APPS-222")</f>
        <v>APPS-222</v>
      </c>
      <c r="C590" s="26" t="str">
        <f>IFERROR(__xludf.DUMMYFUNCTION("""COMPUTED_VALUE"""),"As a client, I can request a modification or cancellation to my touchpoint")</f>
        <v>As a client, I can request a modification or cancellation to my touchpoint</v>
      </c>
      <c r="D590" s="28">
        <f>IFERROR(__xludf.DUMMYFUNCTION("""COMPUTED_VALUE"""),7.0)</f>
        <v>7</v>
      </c>
      <c r="E590" s="29">
        <f>IFERROR(__xludf.DUMMYFUNCTION("""COMPUTED_VALUE"""),44034.0)</f>
        <v>44034</v>
      </c>
      <c r="F590" s="26" t="str">
        <f>IFERROR(__xludf.DUMMYFUNCTION("""COMPUTED_VALUE"""),"5ee7b6ce868ce30ac49e2521")</f>
        <v>5ee7b6ce868ce30ac49e2521</v>
      </c>
      <c r="G590" s="26" t="str">
        <f>IFERROR(__xludf.DUMMYFUNCTION("""COMPUTED_VALUE"""),"Bryan Le")</f>
        <v>Bryan Le</v>
      </c>
      <c r="H590" s="26" t="b">
        <v>0</v>
      </c>
    </row>
    <row r="591" hidden="1">
      <c r="A591" s="26" t="str">
        <f>VLOOKUP(B591,'2020 SRED (JIRA) - Issues and l'!$B:$C,2,FALSE)</f>
        <v>insite-workflow-SRED</v>
      </c>
      <c r="B591" s="27" t="str">
        <f>IFERROR(__xludf.DUMMYFUNCTION("""COMPUTED_VALUE"""),"APPS-186")</f>
        <v>APPS-186</v>
      </c>
      <c r="C591" s="26" t="str">
        <f>IFERROR(__xludf.DUMMYFUNCTION("""COMPUTED_VALUE"""),"As a lead, I can enter my information to request a download and receive an email with the download")</f>
        <v>As a lead, I can enter my information to request a download and receive an email with the download</v>
      </c>
      <c r="D591" s="28">
        <f>IFERROR(__xludf.DUMMYFUNCTION("""COMPUTED_VALUE"""),7.0)</f>
        <v>7</v>
      </c>
      <c r="E591" s="29">
        <f>IFERROR(__xludf.DUMMYFUNCTION("""COMPUTED_VALUE"""),44034.0)</f>
        <v>44034</v>
      </c>
      <c r="F591" s="26" t="str">
        <f>IFERROR(__xludf.DUMMYFUNCTION("""COMPUTED_VALUE"""),"5ee7b6cf02b4400ac4b65399")</f>
        <v>5ee7b6cf02b4400ac4b65399</v>
      </c>
      <c r="G591" s="26" t="str">
        <f>IFERROR(__xludf.DUMMYFUNCTION("""COMPUTED_VALUE"""),"Jessica Obando")</f>
        <v>Jessica Obando</v>
      </c>
      <c r="H591" s="26" t="b">
        <v>0</v>
      </c>
    </row>
    <row r="592" hidden="1">
      <c r="A592" s="26" t="str">
        <f>VLOOKUP(B592,'2020 SRED (JIRA) - Issues and l'!$B:$C,2,FALSE)</f>
        <v>insite-event-SRED</v>
      </c>
      <c r="B592" s="27" t="str">
        <f>IFERROR(__xludf.DUMMYFUNCTION("""COMPUTED_VALUE"""),"ZAPI-27")</f>
        <v>ZAPI-27</v>
      </c>
      <c r="C592" s="26" t="str">
        <f>IFERROR(__xludf.DUMMYFUNCTION("""COMPUTED_VALUE"""),"As a meeting administrator, I can add a web meeting panel/widget to my touchpoint content page and start/join a meeting from there")</f>
        <v>As a meeting administrator, I can add a web meeting panel/widget to my touchpoint content page and start/join a meeting from there</v>
      </c>
      <c r="D592" s="28">
        <f>IFERROR(__xludf.DUMMYFUNCTION("""COMPUTED_VALUE"""),0.0666666666666666)</f>
        <v>0.06666666667</v>
      </c>
      <c r="E592" s="29">
        <f>IFERROR(__xludf.DUMMYFUNCTION("""COMPUTED_VALUE"""),44035.0)</f>
        <v>44035</v>
      </c>
      <c r="F592" s="26" t="str">
        <f>IFERROR(__xludf.DUMMYFUNCTION("""COMPUTED_VALUE"""),"557058:3124a1f0-e92a-405c-93f2-c1d4e621bc77")</f>
        <v>557058:3124a1f0-e92a-405c-93f2-c1d4e621bc77</v>
      </c>
      <c r="G592" s="26" t="str">
        <f>IFERROR(__xludf.DUMMYFUNCTION("""COMPUTED_VALUE"""),"Trevor Coehoorn")</f>
        <v>Trevor Coehoorn</v>
      </c>
      <c r="H592" s="26" t="b">
        <v>0</v>
      </c>
    </row>
    <row r="593" hidden="1">
      <c r="A593" s="26" t="str">
        <f>VLOOKUP(B593,'2020 SRED (JIRA) - Issues and l'!$B:$C,2,FALSE)</f>
        <v>insite-event-SRED</v>
      </c>
      <c r="B593" s="27" t="str">
        <f>IFERROR(__xludf.DUMMYFUNCTION("""COMPUTED_VALUE"""),"ZAPI-94")</f>
        <v>ZAPI-94</v>
      </c>
      <c r="C593" s="26" t="str">
        <f>IFERROR(__xludf.DUMMYFUNCTION("""COMPUTED_VALUE"""),"Change button label ""Download all to portal"" to ""Transfer all files from Zoom to portal""")</f>
        <v>Change button label "Download all to portal" to "Transfer all files from Zoom to portal"</v>
      </c>
      <c r="D593" s="28">
        <f>IFERROR(__xludf.DUMMYFUNCTION("""COMPUTED_VALUE"""),0.55)</f>
        <v>0.55</v>
      </c>
      <c r="E593" s="29">
        <f>IFERROR(__xludf.DUMMYFUNCTION("""COMPUTED_VALUE"""),44035.0)</f>
        <v>44035</v>
      </c>
      <c r="F593" s="26" t="str">
        <f>IFERROR(__xludf.DUMMYFUNCTION("""COMPUTED_VALUE"""),"557058:3124a1f0-e92a-405c-93f2-c1d4e621bc77")</f>
        <v>557058:3124a1f0-e92a-405c-93f2-c1d4e621bc77</v>
      </c>
      <c r="G593" s="26" t="str">
        <f>IFERROR(__xludf.DUMMYFUNCTION("""COMPUTED_VALUE"""),"Trevor Coehoorn")</f>
        <v>Trevor Coehoorn</v>
      </c>
      <c r="H593" s="26" t="b">
        <v>0</v>
      </c>
    </row>
    <row r="594" hidden="1">
      <c r="A594" s="26" t="str">
        <f>VLOOKUP(B594,'2020 SRED (JIRA) - Issues and l'!$B:$C,2,FALSE)</f>
        <v>portal-builder-SRED</v>
      </c>
      <c r="B594" s="27" t="str">
        <f>IFERROR(__xludf.DUMMYFUNCTION("""COMPUTED_VALUE"""),"ITP-1819")</f>
        <v>ITP-1819</v>
      </c>
      <c r="C594" s="26" t="str">
        <f>IFERROR(__xludf.DUMMYFUNCTION("""COMPUTED_VALUE"""),"Set up one-time login password creation process")</f>
        <v>Set up one-time login password creation process</v>
      </c>
      <c r="D594" s="28">
        <f>IFERROR(__xludf.DUMMYFUNCTION("""COMPUTED_VALUE"""),0.416666666666666)</f>
        <v>0.4166666667</v>
      </c>
      <c r="E594" s="29">
        <f>IFERROR(__xludf.DUMMYFUNCTION("""COMPUTED_VALUE"""),44035.0)</f>
        <v>44035</v>
      </c>
      <c r="F594" s="26" t="str">
        <f>IFERROR(__xludf.DUMMYFUNCTION("""COMPUTED_VALUE"""),"557058:3124a1f0-e92a-405c-93f2-c1d4e621bc77")</f>
        <v>557058:3124a1f0-e92a-405c-93f2-c1d4e621bc77</v>
      </c>
      <c r="G594" s="26" t="str">
        <f>IFERROR(__xludf.DUMMYFUNCTION("""COMPUTED_VALUE"""),"Trevor Coehoorn")</f>
        <v>Trevor Coehoorn</v>
      </c>
      <c r="H594" s="26" t="b">
        <v>0</v>
      </c>
    </row>
    <row r="595" hidden="1">
      <c r="A595" s="26" t="str">
        <f>VLOOKUP(B595,'2020 SRED (JIRA) - Issues and l'!$B:$C,2,FALSE)</f>
        <v>insite-workflow-SRED</v>
      </c>
      <c r="B595" s="27" t="str">
        <f>IFERROR(__xludf.DUMMYFUNCTION("""COMPUTED_VALUE"""),"APPS-222")</f>
        <v>APPS-222</v>
      </c>
      <c r="C595" s="26" t="str">
        <f>IFERROR(__xludf.DUMMYFUNCTION("""COMPUTED_VALUE"""),"As a client, I can request a modification or cancellation to my touchpoint")</f>
        <v>As a client, I can request a modification or cancellation to my touchpoint</v>
      </c>
      <c r="D595" s="28">
        <f>IFERROR(__xludf.DUMMYFUNCTION("""COMPUTED_VALUE"""),7.0)</f>
        <v>7</v>
      </c>
      <c r="E595" s="29">
        <f>IFERROR(__xludf.DUMMYFUNCTION("""COMPUTED_VALUE"""),44035.0)</f>
        <v>44035</v>
      </c>
      <c r="F595" s="26" t="str">
        <f>IFERROR(__xludf.DUMMYFUNCTION("""COMPUTED_VALUE"""),"5ee7b6ce868ce30ac49e2521")</f>
        <v>5ee7b6ce868ce30ac49e2521</v>
      </c>
      <c r="G595" s="26" t="str">
        <f>IFERROR(__xludf.DUMMYFUNCTION("""COMPUTED_VALUE"""),"Bryan Le")</f>
        <v>Bryan Le</v>
      </c>
      <c r="H595" s="26" t="b">
        <v>0</v>
      </c>
    </row>
    <row r="596" hidden="1">
      <c r="A596" s="26" t="str">
        <f>VLOOKUP(B596,'2020 SRED (JIRA) - Issues and l'!$B:$C,2,FALSE)</f>
        <v>insite-workflow-SRED</v>
      </c>
      <c r="B596" s="27" t="str">
        <f>IFERROR(__xludf.DUMMYFUNCTION("""COMPUTED_VALUE"""),"APPS-35")</f>
        <v>APPS-35</v>
      </c>
      <c r="C596" s="26" t="str">
        <f>IFERROR(__xludf.DUMMYFUNCTION("""COMPUTED_VALUE"""),"As a salesperson, I can create/modify contacts, organizations, sales opportunities, and proposals")</f>
        <v>As a salesperson, I can create/modify contacts, organizations, sales opportunities, and proposals</v>
      </c>
      <c r="D596" s="28">
        <f>IFERROR(__xludf.DUMMYFUNCTION("""COMPUTED_VALUE"""),7.0)</f>
        <v>7</v>
      </c>
      <c r="E596" s="29">
        <f>IFERROR(__xludf.DUMMYFUNCTION("""COMPUTED_VALUE"""),44035.0)</f>
        <v>44035</v>
      </c>
      <c r="F596" s="26" t="str">
        <f>IFERROR(__xludf.DUMMYFUNCTION("""COMPUTED_VALUE"""),"5ee7b6cf02b4400ac4b65399")</f>
        <v>5ee7b6cf02b4400ac4b65399</v>
      </c>
      <c r="G596" s="26" t="str">
        <f>IFERROR(__xludf.DUMMYFUNCTION("""COMPUTED_VALUE"""),"Jessica Obando")</f>
        <v>Jessica Obando</v>
      </c>
      <c r="H596" s="26" t="b">
        <v>0</v>
      </c>
    </row>
    <row r="597" hidden="1">
      <c r="A597" s="26" t="str">
        <f>VLOOKUP(B597,'2020 SRED (JIRA) - Issues and l'!$B:$C,2,FALSE)</f>
        <v>insite-workflow-SRED</v>
      </c>
      <c r="B597" s="27" t="str">
        <f>IFERROR(__xludf.DUMMYFUNCTION("""COMPUTED_VALUE"""),"APPS-9")</f>
        <v>APPS-9</v>
      </c>
      <c r="C597" s="26" t="str">
        <f>IFERROR(__xludf.DUMMYFUNCTION("""COMPUTED_VALUE"""),"Lead Generator app (v1)")</f>
        <v>Lead Generator app (v1)</v>
      </c>
      <c r="D597" s="28">
        <f>IFERROR(__xludf.DUMMYFUNCTION("""COMPUTED_VALUE"""),0.5)</f>
        <v>0.5</v>
      </c>
      <c r="E597" s="29">
        <f>IFERROR(__xludf.DUMMYFUNCTION("""COMPUTED_VALUE"""),44035.52083333333)</f>
        <v>44035.52083</v>
      </c>
      <c r="F597" s="26" t="str">
        <f>IFERROR(__xludf.DUMMYFUNCTION("""COMPUTED_VALUE"""),"5ec3f07a5269230c34d51fd3")</f>
        <v>5ec3f07a5269230c34d51fd3</v>
      </c>
      <c r="G597" s="26" t="str">
        <f>IFERROR(__xludf.DUMMYFUNCTION("""COMPUTED_VALUE"""),"Nikita Kuzmin")</f>
        <v>Nikita Kuzmin</v>
      </c>
      <c r="H597" s="26" t="b">
        <v>0</v>
      </c>
    </row>
    <row r="598" hidden="1">
      <c r="A598" s="26" t="str">
        <f>VLOOKUP(B598,'2020 SRED (JIRA) - Issues and l'!$B:$C,2,FALSE)</f>
        <v>insite-workflow-SRED</v>
      </c>
      <c r="B598" s="27" t="str">
        <f>IFERROR(__xludf.DUMMYFUNCTION("""COMPUTED_VALUE"""),"APPS-79")</f>
        <v>APPS-79</v>
      </c>
      <c r="C598" s="26" t="str">
        <f>IFERROR(__xludf.DUMMYFUNCTION("""COMPUTED_VALUE"""),"Client Touchpoint Planner app (v1)")</f>
        <v>Client Touchpoint Planner app (v1)</v>
      </c>
      <c r="D598" s="28">
        <f>IFERROR(__xludf.DUMMYFUNCTION("""COMPUTED_VALUE"""),1.25)</f>
        <v>1.25</v>
      </c>
      <c r="E598" s="29">
        <f>IFERROR(__xludf.DUMMYFUNCTION("""COMPUTED_VALUE"""),44035.64583333333)</f>
        <v>44035.64583</v>
      </c>
      <c r="F598" s="26" t="str">
        <f>IFERROR(__xludf.DUMMYFUNCTION("""COMPUTED_VALUE"""),"5ec3f07a5269230c34d51fd3")</f>
        <v>5ec3f07a5269230c34d51fd3</v>
      </c>
      <c r="G598" s="26" t="str">
        <f>IFERROR(__xludf.DUMMYFUNCTION("""COMPUTED_VALUE"""),"Nikita Kuzmin")</f>
        <v>Nikita Kuzmin</v>
      </c>
      <c r="H598" s="26" t="b">
        <v>0</v>
      </c>
    </row>
    <row r="599" hidden="1">
      <c r="A599" s="26" t="str">
        <f>VLOOKUP(B599,'2020 SRED (JIRA) - Issues and l'!$B:$C,2,FALSE)</f>
        <v>insite-workflow-SRED</v>
      </c>
      <c r="B599" s="27" t="str">
        <f>IFERROR(__xludf.DUMMYFUNCTION("""COMPUTED_VALUE"""),"APPS-251")</f>
        <v>APPS-251</v>
      </c>
      <c r="C599" s="26" t="str">
        <f>IFERROR(__xludf.DUMMYFUNCTION("""COMPUTED_VALUE"""),"Impetus HR/Compliance app")</f>
        <v>Impetus HR/Compliance app</v>
      </c>
      <c r="D599" s="28">
        <f>IFERROR(__xludf.DUMMYFUNCTION("""COMPUTED_VALUE"""),0.416666666666666)</f>
        <v>0.4166666667</v>
      </c>
      <c r="E599" s="29">
        <f>IFERROR(__xludf.DUMMYFUNCTION("""COMPUTED_VALUE"""),44035.69791666667)</f>
        <v>44035.69792</v>
      </c>
      <c r="F599" s="26" t="str">
        <f>IFERROR(__xludf.DUMMYFUNCTION("""COMPUTED_VALUE"""),"5ec3f07a5269230c34d51fd3")</f>
        <v>5ec3f07a5269230c34d51fd3</v>
      </c>
      <c r="G599" s="26" t="str">
        <f>IFERROR(__xludf.DUMMYFUNCTION("""COMPUTED_VALUE"""),"Nikita Kuzmin")</f>
        <v>Nikita Kuzmin</v>
      </c>
      <c r="H599" s="26" t="b">
        <v>0</v>
      </c>
    </row>
    <row r="600" hidden="1">
      <c r="A600" s="26" t="str">
        <f>VLOOKUP(B600,'2020 SRED (JIRA) - Issues and l'!$B:$C,2,FALSE)</f>
        <v>portal-builder-SRED</v>
      </c>
      <c r="B600" s="27" t="str">
        <f>IFERROR(__xludf.DUMMYFUNCTION("""COMPUTED_VALUE"""),"ITP-1864")</f>
        <v>ITP-1864</v>
      </c>
      <c r="C600" s="26" t="str">
        <f>IFERROR(__xludf.DUMMYFUNCTION("""COMPUTED_VALUE"""),"Prevent file widget video files from automatically playing when they are downloaded")</f>
        <v>Prevent file widget video files from automatically playing when they are downloaded</v>
      </c>
      <c r="D600" s="28">
        <f>IFERROR(__xludf.DUMMYFUNCTION("""COMPUTED_VALUE"""),1.41666666666666)</f>
        <v>1.416666667</v>
      </c>
      <c r="E600" s="29">
        <f>IFERROR(__xludf.DUMMYFUNCTION("""COMPUTED_VALUE"""),44036.0)</f>
        <v>44036</v>
      </c>
      <c r="F600" s="26" t="str">
        <f>IFERROR(__xludf.DUMMYFUNCTION("""COMPUTED_VALUE"""),"557058:3124a1f0-e92a-405c-93f2-c1d4e621bc77")</f>
        <v>557058:3124a1f0-e92a-405c-93f2-c1d4e621bc77</v>
      </c>
      <c r="G600" s="26" t="str">
        <f>IFERROR(__xludf.DUMMYFUNCTION("""COMPUTED_VALUE"""),"Trevor Coehoorn")</f>
        <v>Trevor Coehoorn</v>
      </c>
      <c r="H600" s="26" t="b">
        <v>0</v>
      </c>
    </row>
    <row r="601" hidden="1">
      <c r="A601" s="26" t="str">
        <f>VLOOKUP(B601,'2020 SRED (JIRA) - Issues and l'!$B:$C,2,FALSE)</f>
        <v>insite-event-SRED</v>
      </c>
      <c r="B601" s="27" t="str">
        <f>IFERROR(__xludf.DUMMYFUNCTION("""COMPUTED_VALUE"""),"ZAPI-81")</f>
        <v>ZAPI-81</v>
      </c>
      <c r="C601" s="26" t="str">
        <f>IFERROR(__xludf.DUMMYFUNCTION("""COMPUTED_VALUE"""),"Prevent meeting deletion on development/test portals")</f>
        <v>Prevent meeting deletion on development/test portals</v>
      </c>
      <c r="D601" s="28">
        <f>IFERROR(__xludf.DUMMYFUNCTION("""COMPUTED_VALUE"""),0.5)</f>
        <v>0.5</v>
      </c>
      <c r="E601" s="29">
        <f>IFERROR(__xludf.DUMMYFUNCTION("""COMPUTED_VALUE"""),44036.0)</f>
        <v>44036</v>
      </c>
      <c r="F601" s="26" t="str">
        <f>IFERROR(__xludf.DUMMYFUNCTION("""COMPUTED_VALUE"""),"557058:3124a1f0-e92a-405c-93f2-c1d4e621bc77")</f>
        <v>557058:3124a1f0-e92a-405c-93f2-c1d4e621bc77</v>
      </c>
      <c r="G601" s="26" t="str">
        <f>IFERROR(__xludf.DUMMYFUNCTION("""COMPUTED_VALUE"""),"Trevor Coehoorn")</f>
        <v>Trevor Coehoorn</v>
      </c>
      <c r="H601" s="26" t="b">
        <v>0</v>
      </c>
    </row>
    <row r="602" hidden="1">
      <c r="A602" s="26" t="str">
        <f>VLOOKUP(B602,'2020 SRED (JIRA) - Issues and l'!$B:$C,2,FALSE)</f>
        <v>insite-event-SRED</v>
      </c>
      <c r="B602" s="27" t="str">
        <f>IFERROR(__xludf.DUMMYFUNCTION("""COMPUTED_VALUE"""),"ZAPI-92")</f>
        <v>ZAPI-92</v>
      </c>
      <c r="C602" s="26" t="str">
        <f>IFERROR(__xludf.DUMMYFUNCTION("""COMPUTED_VALUE"""),"Allow download of CSV with raw polling and Q&amp;A report data (same or as close as possible to Zoom's version of this — see attached")</f>
        <v>Allow download of CSV with raw polling and Q&amp;A report data (same or as close as possible to Zoom's version of this — see attached</v>
      </c>
      <c r="D602" s="28">
        <f>IFERROR(__xludf.DUMMYFUNCTION("""COMPUTED_VALUE"""),0.666666666666666)</f>
        <v>0.6666666667</v>
      </c>
      <c r="E602" s="29">
        <f>IFERROR(__xludf.DUMMYFUNCTION("""COMPUTED_VALUE"""),44036.0)</f>
        <v>44036</v>
      </c>
      <c r="F602" s="26" t="str">
        <f>IFERROR(__xludf.DUMMYFUNCTION("""COMPUTED_VALUE"""),"557058:3124a1f0-e92a-405c-93f2-c1d4e621bc77")</f>
        <v>557058:3124a1f0-e92a-405c-93f2-c1d4e621bc77</v>
      </c>
      <c r="G602" s="26" t="str">
        <f>IFERROR(__xludf.DUMMYFUNCTION("""COMPUTED_VALUE"""),"Trevor Coehoorn")</f>
        <v>Trevor Coehoorn</v>
      </c>
      <c r="H602" s="26" t="b">
        <v>0</v>
      </c>
    </row>
    <row r="603" hidden="1">
      <c r="A603" s="26" t="str">
        <f>VLOOKUP(B603,'2020 SRED (JIRA) - Issues and l'!$B:$C,2,FALSE)</f>
        <v>insite-event-SRED</v>
      </c>
      <c r="B603" s="27" t="str">
        <f>IFERROR(__xludf.DUMMYFUNCTION("""COMPUTED_VALUE"""),"ZAPI-6")</f>
        <v>ZAPI-6</v>
      </c>
      <c r="C603" s="26" t="str">
        <f>IFERROR(__xludf.DUMMYFUNCTION("""COMPUTED_VALUE"""),"Zoom API v2 (Registration Flow and Reporting)")</f>
        <v>Zoom API v2 (Registration Flow and Reporting)</v>
      </c>
      <c r="D603" s="28">
        <f>IFERROR(__xludf.DUMMYFUNCTION("""COMPUTED_VALUE"""),0.266666666666666)</f>
        <v>0.2666666667</v>
      </c>
      <c r="E603" s="29">
        <f>IFERROR(__xludf.DUMMYFUNCTION("""COMPUTED_VALUE"""),44036.0)</f>
        <v>44036</v>
      </c>
      <c r="F603" s="26" t="str">
        <f>IFERROR(__xludf.DUMMYFUNCTION("""COMPUTED_VALUE"""),"557058:3124a1f0-e92a-405c-93f2-c1d4e621bc77")</f>
        <v>557058:3124a1f0-e92a-405c-93f2-c1d4e621bc77</v>
      </c>
      <c r="G603" s="26" t="str">
        <f>IFERROR(__xludf.DUMMYFUNCTION("""COMPUTED_VALUE"""),"Trevor Coehoorn")</f>
        <v>Trevor Coehoorn</v>
      </c>
      <c r="H603" s="26" t="b">
        <v>0</v>
      </c>
    </row>
    <row r="604" hidden="1">
      <c r="A604" s="26" t="str">
        <f>VLOOKUP(B604,'2020 SRED (JIRA) - Issues and l'!$B:$C,2,FALSE)</f>
        <v>insite-workflow-SRED</v>
      </c>
      <c r="B604" s="27" t="str">
        <f>IFERROR(__xludf.DUMMYFUNCTION("""COMPUTED_VALUE"""),"APPS-233")</f>
        <v>APPS-233</v>
      </c>
      <c r="C604" s="26" t="str">
        <f>IFERROR(__xludf.DUMMYFUNCTION("""COMPUTED_VALUE"""),"As an Impetus staff member, I can submit feedback on an app via sidebar menu with a URL referrer to screen on app that's being tested")</f>
        <v>As an Impetus staff member, I can submit feedback on an app via sidebar menu with a URL referrer to screen on app that's being tested</v>
      </c>
      <c r="D604" s="28">
        <f>IFERROR(__xludf.DUMMYFUNCTION("""COMPUTED_VALUE"""),2.0)</f>
        <v>2</v>
      </c>
      <c r="E604" s="29">
        <f>IFERROR(__xludf.DUMMYFUNCTION("""COMPUTED_VALUE"""),44036.0)</f>
        <v>44036</v>
      </c>
      <c r="F604" s="26" t="str">
        <f>IFERROR(__xludf.DUMMYFUNCTION("""COMPUTED_VALUE"""),"5ee7b6ce868ce30ac49e2521")</f>
        <v>5ee7b6ce868ce30ac49e2521</v>
      </c>
      <c r="G604" s="26" t="str">
        <f>IFERROR(__xludf.DUMMYFUNCTION("""COMPUTED_VALUE"""),"Bryan Le")</f>
        <v>Bryan Le</v>
      </c>
      <c r="H604" s="26" t="b">
        <v>0</v>
      </c>
    </row>
    <row r="605" hidden="1">
      <c r="A605" s="26" t="str">
        <f>VLOOKUP(B605,'2020 SRED (JIRA) - Issues and l'!$B:$C,2,FALSE)</f>
        <v>insite-workflow-SRED</v>
      </c>
      <c r="B605" s="27" t="str">
        <f>IFERROR(__xludf.DUMMYFUNCTION("""COMPUTED_VALUE"""),"APPS-226")</f>
        <v>APPS-226</v>
      </c>
      <c r="C605" s="26" t="str">
        <f>IFERROR(__xludf.DUMMYFUNCTION("""COMPUTED_VALUE"""),"Add direct link to request modification or cancellation to SVT and AVT automatic reminder emails (report workflow)")</f>
        <v>Add direct link to request modification or cancellation to SVT and AVT automatic reminder emails (report workflow)</v>
      </c>
      <c r="D605" s="28">
        <f>IFERROR(__xludf.DUMMYFUNCTION("""COMPUTED_VALUE"""),5.0)</f>
        <v>5</v>
      </c>
      <c r="E605" s="29">
        <f>IFERROR(__xludf.DUMMYFUNCTION("""COMPUTED_VALUE"""),44036.0)</f>
        <v>44036</v>
      </c>
      <c r="F605" s="26" t="str">
        <f>IFERROR(__xludf.DUMMYFUNCTION("""COMPUTED_VALUE"""),"5ee7b6ce868ce30ac49e2521")</f>
        <v>5ee7b6ce868ce30ac49e2521</v>
      </c>
      <c r="G605" s="26" t="str">
        <f>IFERROR(__xludf.DUMMYFUNCTION("""COMPUTED_VALUE"""),"Bryan Le")</f>
        <v>Bryan Le</v>
      </c>
      <c r="H605" s="26" t="b">
        <v>0</v>
      </c>
    </row>
    <row r="606" hidden="1">
      <c r="A606" s="26" t="str">
        <f>VLOOKUP(B606,'2020 SRED (JIRA) - Issues and l'!$B:$C,2,FALSE)</f>
        <v>insite-workflow-SRED</v>
      </c>
      <c r="B606" s="27" t="str">
        <f>IFERROR(__xludf.DUMMYFUNCTION("""COMPUTED_VALUE"""),"APPS-35")</f>
        <v>APPS-35</v>
      </c>
      <c r="C606" s="26" t="str">
        <f>IFERROR(__xludf.DUMMYFUNCTION("""COMPUTED_VALUE"""),"As a salesperson, I can create/modify contacts, organizations, sales opportunities, and proposals")</f>
        <v>As a salesperson, I can create/modify contacts, organizations, sales opportunities, and proposals</v>
      </c>
      <c r="D606" s="28">
        <f>IFERROR(__xludf.DUMMYFUNCTION("""COMPUTED_VALUE"""),8.0)</f>
        <v>8</v>
      </c>
      <c r="E606" s="29">
        <f>IFERROR(__xludf.DUMMYFUNCTION("""COMPUTED_VALUE"""),44036.0)</f>
        <v>44036</v>
      </c>
      <c r="F606" s="26" t="str">
        <f>IFERROR(__xludf.DUMMYFUNCTION("""COMPUTED_VALUE"""),"5ee7b6cf02b4400ac4b65399")</f>
        <v>5ee7b6cf02b4400ac4b65399</v>
      </c>
      <c r="G606" s="26" t="str">
        <f>IFERROR(__xludf.DUMMYFUNCTION("""COMPUTED_VALUE"""),"Jessica Obando")</f>
        <v>Jessica Obando</v>
      </c>
      <c r="H606" s="26" t="b">
        <v>0</v>
      </c>
    </row>
    <row r="607" hidden="1">
      <c r="A607" s="26" t="str">
        <f>VLOOKUP(B607,'2020 SRED (JIRA) - Issues and l'!$B:$C,2,FALSE)</f>
        <v>portal-builder-SRED</v>
      </c>
      <c r="B607" s="27" t="str">
        <f>IFERROR(__xludf.DUMMYFUNCTION("""COMPUTED_VALUE"""),"ITP-1864")</f>
        <v>ITP-1864</v>
      </c>
      <c r="C607" s="26" t="str">
        <f>IFERROR(__xludf.DUMMYFUNCTION("""COMPUTED_VALUE"""),"Prevent file widget video files from automatically playing when they are downloaded")</f>
        <v>Prevent file widget video files from automatically playing when they are downloaded</v>
      </c>
      <c r="D607" s="28">
        <f>IFERROR(__xludf.DUMMYFUNCTION("""COMPUTED_VALUE"""),2.61666666666666)</f>
        <v>2.616666667</v>
      </c>
      <c r="E607" s="29">
        <f>IFERROR(__xludf.DUMMYFUNCTION("""COMPUTED_VALUE"""),44039.0)</f>
        <v>44039</v>
      </c>
      <c r="F607" s="26" t="str">
        <f>IFERROR(__xludf.DUMMYFUNCTION("""COMPUTED_VALUE"""),"557058:3124a1f0-e92a-405c-93f2-c1d4e621bc77")</f>
        <v>557058:3124a1f0-e92a-405c-93f2-c1d4e621bc77</v>
      </c>
      <c r="G607" s="26" t="str">
        <f>IFERROR(__xludf.DUMMYFUNCTION("""COMPUTED_VALUE"""),"Trevor Coehoorn")</f>
        <v>Trevor Coehoorn</v>
      </c>
      <c r="H607" s="26" t="b">
        <v>0</v>
      </c>
    </row>
    <row r="608" hidden="1">
      <c r="A608" s="26" t="str">
        <f>VLOOKUP(B608,'2020 SRED (JIRA) - Issues and l'!$B:$C,2,FALSE)</f>
        <v>insite-event-SRED</v>
      </c>
      <c r="B608" s="27" t="str">
        <f>IFERROR(__xludf.DUMMYFUNCTION("""COMPUTED_VALUE"""),"ZAPI-92")</f>
        <v>ZAPI-92</v>
      </c>
      <c r="C608" s="26" t="str">
        <f>IFERROR(__xludf.DUMMYFUNCTION("""COMPUTED_VALUE"""),"Allow download of CSV with raw polling and Q&amp;A report data (same or as close as possible to Zoom's version of this — see attached")</f>
        <v>Allow download of CSV with raw polling and Q&amp;A report data (same or as close as possible to Zoom's version of this — see attached</v>
      </c>
      <c r="D608" s="28">
        <f>IFERROR(__xludf.DUMMYFUNCTION("""COMPUTED_VALUE"""),0.433333333333333)</f>
        <v>0.4333333333</v>
      </c>
      <c r="E608" s="29">
        <f>IFERROR(__xludf.DUMMYFUNCTION("""COMPUTED_VALUE"""),44039.0)</f>
        <v>44039</v>
      </c>
      <c r="F608" s="26" t="str">
        <f>IFERROR(__xludf.DUMMYFUNCTION("""COMPUTED_VALUE"""),"557058:3124a1f0-e92a-405c-93f2-c1d4e621bc77")</f>
        <v>557058:3124a1f0-e92a-405c-93f2-c1d4e621bc77</v>
      </c>
      <c r="G608" s="26" t="str">
        <f>IFERROR(__xludf.DUMMYFUNCTION("""COMPUTED_VALUE"""),"Trevor Coehoorn")</f>
        <v>Trevor Coehoorn</v>
      </c>
      <c r="H608" s="26" t="b">
        <v>0</v>
      </c>
    </row>
    <row r="609" hidden="1">
      <c r="A609" s="26" t="str">
        <f>VLOOKUP(B609,'2020 SRED (JIRA) - Issues and l'!$B:$C,2,FALSE)</f>
        <v>insite-event-SRED</v>
      </c>
      <c r="B609" s="27" t="str">
        <f>IFERROR(__xludf.DUMMYFUNCTION("""COMPUTED_VALUE"""),"ZAPI-6")</f>
        <v>ZAPI-6</v>
      </c>
      <c r="C609" s="26" t="str">
        <f>IFERROR(__xludf.DUMMYFUNCTION("""COMPUTED_VALUE"""),"Zoom API v2 (Registration Flow and Reporting)")</f>
        <v>Zoom API v2 (Registration Flow and Reporting)</v>
      </c>
      <c r="D609" s="28">
        <f>IFERROR(__xludf.DUMMYFUNCTION("""COMPUTED_VALUE"""),0.866666666666666)</f>
        <v>0.8666666667</v>
      </c>
      <c r="E609" s="29">
        <f>IFERROR(__xludf.DUMMYFUNCTION("""COMPUTED_VALUE"""),44039.0)</f>
        <v>44039</v>
      </c>
      <c r="F609" s="26" t="str">
        <f>IFERROR(__xludf.DUMMYFUNCTION("""COMPUTED_VALUE"""),"557058:3124a1f0-e92a-405c-93f2-c1d4e621bc77")</f>
        <v>557058:3124a1f0-e92a-405c-93f2-c1d4e621bc77</v>
      </c>
      <c r="G609" s="26" t="str">
        <f>IFERROR(__xludf.DUMMYFUNCTION("""COMPUTED_VALUE"""),"Trevor Coehoorn")</f>
        <v>Trevor Coehoorn</v>
      </c>
      <c r="H609" s="26" t="b">
        <v>0</v>
      </c>
    </row>
    <row r="610" hidden="1">
      <c r="A610" s="26" t="str">
        <f>VLOOKUP(B610,'2020 SRED (JIRA) - Issues and l'!$B:$C,2,FALSE)</f>
        <v>insite-workflow-SRED</v>
      </c>
      <c r="B610" s="27" t="str">
        <f>IFERROR(__xludf.DUMMYFUNCTION("""COMPUTED_VALUE"""),"APPS-196")</f>
        <v>APPS-196</v>
      </c>
      <c r="C610" s="26" t="str">
        <f>IFERROR(__xludf.DUMMYFUNCTION("""COMPUTED_VALUE"""),"As an Impetus project lead, I can create a new project and initiate SVT/AVT intake requests belonging to that project")</f>
        <v>As an Impetus project lead, I can create a new project and initiate SVT/AVT intake requests belonging to that project</v>
      </c>
      <c r="D610" s="28">
        <f>IFERROR(__xludf.DUMMYFUNCTION("""COMPUTED_VALUE"""),7.0)</f>
        <v>7</v>
      </c>
      <c r="E610" s="29">
        <f>IFERROR(__xludf.DUMMYFUNCTION("""COMPUTED_VALUE"""),44039.0)</f>
        <v>44039</v>
      </c>
      <c r="F610" s="26" t="str">
        <f>IFERROR(__xludf.DUMMYFUNCTION("""COMPUTED_VALUE"""),"5ee7b6ce868ce30ac49e2521")</f>
        <v>5ee7b6ce868ce30ac49e2521</v>
      </c>
      <c r="G610" s="26" t="str">
        <f>IFERROR(__xludf.DUMMYFUNCTION("""COMPUTED_VALUE"""),"Bryan Le")</f>
        <v>Bryan Le</v>
      </c>
      <c r="H610" s="26" t="b">
        <v>0</v>
      </c>
    </row>
    <row r="611" hidden="1">
      <c r="A611" s="26" t="str">
        <f>VLOOKUP(B611,'2020 SRED (JIRA) - Issues and l'!$B:$C,2,FALSE)</f>
        <v>insite-workflow-SRED</v>
      </c>
      <c r="B611" s="27" t="str">
        <f>IFERROR(__xludf.DUMMYFUNCTION("""COMPUTED_VALUE"""),"APPS-35")</f>
        <v>APPS-35</v>
      </c>
      <c r="C611" s="26" t="str">
        <f>IFERROR(__xludf.DUMMYFUNCTION("""COMPUTED_VALUE"""),"As a salesperson, I can create/modify contacts, organizations, sales opportunities, and proposals")</f>
        <v>As a salesperson, I can create/modify contacts, organizations, sales opportunities, and proposals</v>
      </c>
      <c r="D611" s="28">
        <f>IFERROR(__xludf.DUMMYFUNCTION("""COMPUTED_VALUE"""),7.0)</f>
        <v>7</v>
      </c>
      <c r="E611" s="29">
        <f>IFERROR(__xludf.DUMMYFUNCTION("""COMPUTED_VALUE"""),44039.0)</f>
        <v>44039</v>
      </c>
      <c r="F611" s="26" t="str">
        <f>IFERROR(__xludf.DUMMYFUNCTION("""COMPUTED_VALUE"""),"5ee7b6cf02b4400ac4b65399")</f>
        <v>5ee7b6cf02b4400ac4b65399</v>
      </c>
      <c r="G611" s="26" t="str">
        <f>IFERROR(__xludf.DUMMYFUNCTION("""COMPUTED_VALUE"""),"Jessica Obando")</f>
        <v>Jessica Obando</v>
      </c>
      <c r="H611" s="26" t="b">
        <v>0</v>
      </c>
    </row>
    <row r="612" hidden="1">
      <c r="A612" s="26" t="str">
        <f>VLOOKUP(B612,'2020 SRED (JIRA) - Issues and l'!$B:$C,2,FALSE)</f>
        <v>portal-builder-SRED</v>
      </c>
      <c r="B612" s="27" t="str">
        <f>IFERROR(__xludf.DUMMYFUNCTION("""COMPUTED_VALUE"""),"ITP-1864")</f>
        <v>ITP-1864</v>
      </c>
      <c r="C612" s="26" t="str">
        <f>IFERROR(__xludf.DUMMYFUNCTION("""COMPUTED_VALUE"""),"Prevent file widget video files from automatically playing when they are downloaded")</f>
        <v>Prevent file widget video files from automatically playing when they are downloaded</v>
      </c>
      <c r="D612" s="28">
        <f>IFERROR(__xludf.DUMMYFUNCTION("""COMPUTED_VALUE"""),3.81666666666666)</f>
        <v>3.816666667</v>
      </c>
      <c r="E612" s="29">
        <f>IFERROR(__xludf.DUMMYFUNCTION("""COMPUTED_VALUE"""),44040.0)</f>
        <v>44040</v>
      </c>
      <c r="F612" s="26" t="str">
        <f>IFERROR(__xludf.DUMMYFUNCTION("""COMPUTED_VALUE"""),"557058:3124a1f0-e92a-405c-93f2-c1d4e621bc77")</f>
        <v>557058:3124a1f0-e92a-405c-93f2-c1d4e621bc77</v>
      </c>
      <c r="G612" s="26" t="str">
        <f>IFERROR(__xludf.DUMMYFUNCTION("""COMPUTED_VALUE"""),"Trevor Coehoorn")</f>
        <v>Trevor Coehoorn</v>
      </c>
      <c r="H612" s="26" t="b">
        <v>0</v>
      </c>
    </row>
    <row r="613" hidden="1">
      <c r="A613" s="26" t="str">
        <f>VLOOKUP(B613,'2020 SRED (JIRA) - Issues and l'!$B:$C,2,FALSE)</f>
        <v>insite-event-SRED</v>
      </c>
      <c r="B613" s="27" t="str">
        <f>IFERROR(__xludf.DUMMYFUNCTION("""COMPUTED_VALUE"""),"ZAPI-13")</f>
        <v>ZAPI-13</v>
      </c>
      <c r="C613" s="26" t="str">
        <f>IFERROR(__xludf.DUMMYFUNCTION("""COMPUTED_VALUE"""),"As an attendee, I can access meeting/webinar recordings via the portal")</f>
        <v>As an attendee, I can access meeting/webinar recordings via the portal</v>
      </c>
      <c r="D613" s="28">
        <f>IFERROR(__xludf.DUMMYFUNCTION("""COMPUTED_VALUE"""),0.533333333333333)</f>
        <v>0.5333333333</v>
      </c>
      <c r="E613" s="29">
        <f>IFERROR(__xludf.DUMMYFUNCTION("""COMPUTED_VALUE"""),44040.0)</f>
        <v>44040</v>
      </c>
      <c r="F613" s="26" t="str">
        <f>IFERROR(__xludf.DUMMYFUNCTION("""COMPUTED_VALUE"""),"557058:3124a1f0-e92a-405c-93f2-c1d4e621bc77")</f>
        <v>557058:3124a1f0-e92a-405c-93f2-c1d4e621bc77</v>
      </c>
      <c r="G613" s="26" t="str">
        <f>IFERROR(__xludf.DUMMYFUNCTION("""COMPUTED_VALUE"""),"Trevor Coehoorn")</f>
        <v>Trevor Coehoorn</v>
      </c>
      <c r="H613" s="26" t="b">
        <v>0</v>
      </c>
    </row>
    <row r="614" hidden="1">
      <c r="A614" s="26" t="str">
        <f>VLOOKUP(B614,'2020 SRED (JIRA) - Issues and l'!$B:$C,2,FALSE)</f>
        <v>insite-event-SRED</v>
      </c>
      <c r="B614" s="27" t="str">
        <f>IFERROR(__xludf.DUMMYFUNCTION("""COMPUTED_VALUE"""),"ZAPI-6")</f>
        <v>ZAPI-6</v>
      </c>
      <c r="C614" s="26" t="str">
        <f>IFERROR(__xludf.DUMMYFUNCTION("""COMPUTED_VALUE"""),"Zoom API v2 (Registration Flow and Reporting)")</f>
        <v>Zoom API v2 (Registration Flow and Reporting)</v>
      </c>
      <c r="D614" s="28">
        <f>IFERROR(__xludf.DUMMYFUNCTION("""COMPUTED_VALUE"""),0.55)</f>
        <v>0.55</v>
      </c>
      <c r="E614" s="29">
        <f>IFERROR(__xludf.DUMMYFUNCTION("""COMPUTED_VALUE"""),44040.0)</f>
        <v>44040</v>
      </c>
      <c r="F614" s="26" t="str">
        <f>IFERROR(__xludf.DUMMYFUNCTION("""COMPUTED_VALUE"""),"557058:3124a1f0-e92a-405c-93f2-c1d4e621bc77")</f>
        <v>557058:3124a1f0-e92a-405c-93f2-c1d4e621bc77</v>
      </c>
      <c r="G614" s="26" t="str">
        <f>IFERROR(__xludf.DUMMYFUNCTION("""COMPUTED_VALUE"""),"Trevor Coehoorn")</f>
        <v>Trevor Coehoorn</v>
      </c>
      <c r="H614" s="26" t="b">
        <v>0</v>
      </c>
    </row>
    <row r="615" hidden="1">
      <c r="A615" s="26" t="str">
        <f>VLOOKUP(B615,'2020 SRED (JIRA) - Issues and l'!$B:$C,2,FALSE)</f>
        <v>insite-workflow-SRED</v>
      </c>
      <c r="B615" s="27" t="str">
        <f>IFERROR(__xludf.DUMMYFUNCTION("""COMPUTED_VALUE"""),"APPS-264")</f>
        <v>APPS-264</v>
      </c>
      <c r="C615" s="26" t="str">
        <f>IFERROR(__xludf.DUMMYFUNCTION("""COMPUTED_VALUE"""),"Cleanup Tasks")</f>
        <v>Cleanup Tasks</v>
      </c>
      <c r="D615" s="28">
        <f>IFERROR(__xludf.DUMMYFUNCTION("""COMPUTED_VALUE"""),7.0)</f>
        <v>7</v>
      </c>
      <c r="E615" s="29">
        <f>IFERROR(__xludf.DUMMYFUNCTION("""COMPUTED_VALUE"""),44040.0)</f>
        <v>44040</v>
      </c>
      <c r="F615" s="26" t="str">
        <f>IFERROR(__xludf.DUMMYFUNCTION("""COMPUTED_VALUE"""),"5ee7b6ce868ce30ac49e2521")</f>
        <v>5ee7b6ce868ce30ac49e2521</v>
      </c>
      <c r="G615" s="26" t="str">
        <f>IFERROR(__xludf.DUMMYFUNCTION("""COMPUTED_VALUE"""),"Bryan Le")</f>
        <v>Bryan Le</v>
      </c>
      <c r="H615" s="26" t="b">
        <v>0</v>
      </c>
    </row>
    <row r="616" hidden="1">
      <c r="A616" s="26" t="str">
        <f>VLOOKUP(B616,'2020 SRED (JIRA) - Issues and l'!$B:$C,2,FALSE)</f>
        <v>insite-workflow-SRED</v>
      </c>
      <c r="B616" s="27" t="str">
        <f>IFERROR(__xludf.DUMMYFUNCTION("""COMPUTED_VALUE"""),"APPS-244")</f>
        <v>APPS-244</v>
      </c>
      <c r="C616" s="26" t="str">
        <f>IFERROR(__xludf.DUMMYFUNCTION("""COMPUTED_VALUE"""),"As a salesperson/prospect, I can see a real-time visual timeline or progression of my touchpoints as I am adding them to a new proposal")</f>
        <v>As a salesperson/prospect, I can see a real-time visual timeline or progression of my touchpoints as I am adding them to a new proposal</v>
      </c>
      <c r="D616" s="28">
        <f>IFERROR(__xludf.DUMMYFUNCTION("""COMPUTED_VALUE"""),7.0)</f>
        <v>7</v>
      </c>
      <c r="E616" s="29">
        <f>IFERROR(__xludf.DUMMYFUNCTION("""COMPUTED_VALUE"""),44040.0)</f>
        <v>44040</v>
      </c>
      <c r="F616" s="26" t="str">
        <f>IFERROR(__xludf.DUMMYFUNCTION("""COMPUTED_VALUE"""),"5ee7b6cf02b4400ac4b65399")</f>
        <v>5ee7b6cf02b4400ac4b65399</v>
      </c>
      <c r="G616" s="26" t="str">
        <f>IFERROR(__xludf.DUMMYFUNCTION("""COMPUTED_VALUE"""),"Jessica Obando")</f>
        <v>Jessica Obando</v>
      </c>
      <c r="H616" s="26" t="b">
        <v>0</v>
      </c>
    </row>
    <row r="617" hidden="1">
      <c r="A617" s="26" t="str">
        <f>VLOOKUP(B617,'2020 SRED (JIRA) - Issues and l'!$B:$C,2,FALSE)</f>
        <v>portal-builder-SRED</v>
      </c>
      <c r="B617" s="27" t="str">
        <f>IFERROR(__xludf.DUMMYFUNCTION("""COMPUTED_VALUE"""),"ITP-1845")</f>
        <v>ITP-1845</v>
      </c>
      <c r="C617" s="26" t="str">
        <f>IFERROR(__xludf.DUMMYFUNCTION("""COMPUTED_VALUE"""),"Increase the rating and ranking option maximum length")</f>
        <v>Increase the rating and ranking option maximum length</v>
      </c>
      <c r="D617" s="28">
        <f>IFERROR(__xludf.DUMMYFUNCTION("""COMPUTED_VALUE"""),1.06666666666666)</f>
        <v>1.066666667</v>
      </c>
      <c r="E617" s="29">
        <f>IFERROR(__xludf.DUMMYFUNCTION("""COMPUTED_VALUE"""),44041.0)</f>
        <v>44041</v>
      </c>
      <c r="F617" s="26" t="str">
        <f>IFERROR(__xludf.DUMMYFUNCTION("""COMPUTED_VALUE"""),"557058:3124a1f0-e92a-405c-93f2-c1d4e621bc77")</f>
        <v>557058:3124a1f0-e92a-405c-93f2-c1d4e621bc77</v>
      </c>
      <c r="G617" s="26" t="str">
        <f>IFERROR(__xludf.DUMMYFUNCTION("""COMPUTED_VALUE"""),"Trevor Coehoorn")</f>
        <v>Trevor Coehoorn</v>
      </c>
      <c r="H617" s="26" t="b">
        <v>0</v>
      </c>
    </row>
    <row r="618" hidden="1">
      <c r="A618" s="26" t="str">
        <f>VLOOKUP(B618,'2020 SRED (JIRA) - Issues and l'!$B:$C,2,FALSE)</f>
        <v>insite-event-SRED</v>
      </c>
      <c r="B618" s="27" t="str">
        <f>IFERROR(__xludf.DUMMYFUNCTION("""COMPUTED_VALUE"""),"ZAPI-13")</f>
        <v>ZAPI-13</v>
      </c>
      <c r="C618" s="26" t="str">
        <f>IFERROR(__xludf.DUMMYFUNCTION("""COMPUTED_VALUE"""),"As an attendee, I can access meeting/webinar recordings via the portal")</f>
        <v>As an attendee, I can access meeting/webinar recordings via the portal</v>
      </c>
      <c r="D618" s="28">
        <f>IFERROR(__xludf.DUMMYFUNCTION("""COMPUTED_VALUE"""),0.5)</f>
        <v>0.5</v>
      </c>
      <c r="E618" s="29">
        <f>IFERROR(__xludf.DUMMYFUNCTION("""COMPUTED_VALUE"""),44041.0)</f>
        <v>44041</v>
      </c>
      <c r="F618" s="26" t="str">
        <f>IFERROR(__xludf.DUMMYFUNCTION("""COMPUTED_VALUE"""),"557058:3124a1f0-e92a-405c-93f2-c1d4e621bc77")</f>
        <v>557058:3124a1f0-e92a-405c-93f2-c1d4e621bc77</v>
      </c>
      <c r="G618" s="26" t="str">
        <f>IFERROR(__xludf.DUMMYFUNCTION("""COMPUTED_VALUE"""),"Trevor Coehoorn")</f>
        <v>Trevor Coehoorn</v>
      </c>
      <c r="H618" s="26" t="b">
        <v>0</v>
      </c>
    </row>
    <row r="619" hidden="1">
      <c r="A619" s="26" t="str">
        <f>VLOOKUP(B619,'2020 SRED (JIRA) - Issues and l'!$B:$C,2,FALSE)</f>
        <v>insite-event-SRED</v>
      </c>
      <c r="B619" s="27" t="str">
        <f>IFERROR(__xludf.DUMMYFUNCTION("""COMPUTED_VALUE"""),"ZAPI-6")</f>
        <v>ZAPI-6</v>
      </c>
      <c r="C619" s="26" t="str">
        <f>IFERROR(__xludf.DUMMYFUNCTION("""COMPUTED_VALUE"""),"Zoom API v2 (Registration Flow and Reporting)")</f>
        <v>Zoom API v2 (Registration Flow and Reporting)</v>
      </c>
      <c r="D619" s="28">
        <f>IFERROR(__xludf.DUMMYFUNCTION("""COMPUTED_VALUE"""),0.516666666666666)</f>
        <v>0.5166666667</v>
      </c>
      <c r="E619" s="29">
        <f>IFERROR(__xludf.DUMMYFUNCTION("""COMPUTED_VALUE"""),44041.0)</f>
        <v>44041</v>
      </c>
      <c r="F619" s="26" t="str">
        <f>IFERROR(__xludf.DUMMYFUNCTION("""COMPUTED_VALUE"""),"557058:3124a1f0-e92a-405c-93f2-c1d4e621bc77")</f>
        <v>557058:3124a1f0-e92a-405c-93f2-c1d4e621bc77</v>
      </c>
      <c r="G619" s="26" t="str">
        <f>IFERROR(__xludf.DUMMYFUNCTION("""COMPUTED_VALUE"""),"Trevor Coehoorn")</f>
        <v>Trevor Coehoorn</v>
      </c>
      <c r="H619" s="26" t="b">
        <v>0</v>
      </c>
    </row>
    <row r="620" hidden="1">
      <c r="A620" s="26" t="str">
        <f>VLOOKUP(B620,'2020 SRED (JIRA) - Issues and l'!$B:$C,2,FALSE)</f>
        <v>portal-builder-SRED</v>
      </c>
      <c r="B620" s="27" t="str">
        <f>IFERROR(__xludf.DUMMYFUNCTION("""COMPUTED_VALUE"""),"ITP-1864")</f>
        <v>ITP-1864</v>
      </c>
      <c r="C620" s="26" t="str">
        <f>IFERROR(__xludf.DUMMYFUNCTION("""COMPUTED_VALUE"""),"Prevent file widget video files from automatically playing when they are downloaded")</f>
        <v>Prevent file widget video files from automatically playing when they are downloaded</v>
      </c>
      <c r="D620" s="28">
        <f>IFERROR(__xludf.DUMMYFUNCTION("""COMPUTED_VALUE"""),4.5)</f>
        <v>4.5</v>
      </c>
      <c r="E620" s="29">
        <f>IFERROR(__xludf.DUMMYFUNCTION("""COMPUTED_VALUE"""),44041.0)</f>
        <v>44041</v>
      </c>
      <c r="F620" s="26" t="str">
        <f>IFERROR(__xludf.DUMMYFUNCTION("""COMPUTED_VALUE"""),"557058:3124a1f0-e92a-405c-93f2-c1d4e621bc77")</f>
        <v>557058:3124a1f0-e92a-405c-93f2-c1d4e621bc77</v>
      </c>
      <c r="G620" s="26" t="str">
        <f>IFERROR(__xludf.DUMMYFUNCTION("""COMPUTED_VALUE"""),"Trevor Coehoorn")</f>
        <v>Trevor Coehoorn</v>
      </c>
      <c r="H620" s="26" t="b">
        <v>0</v>
      </c>
    </row>
    <row r="621" hidden="1">
      <c r="A621" s="26" t="str">
        <f>VLOOKUP(B621,'2020 SRED (JIRA) - Issues and l'!$B:$C,2,FALSE)</f>
        <v>insite-workflow-SRED</v>
      </c>
      <c r="B621" s="27" t="str">
        <f>IFERROR(__xludf.DUMMYFUNCTION("""COMPUTED_VALUE"""),"APPS-233")</f>
        <v>APPS-233</v>
      </c>
      <c r="C621" s="26" t="str">
        <f>IFERROR(__xludf.DUMMYFUNCTION("""COMPUTED_VALUE"""),"As an Impetus staff member, I can submit feedback on an app via sidebar menu with a URL referrer to screen on app that's being tested")</f>
        <v>As an Impetus staff member, I can submit feedback on an app via sidebar menu with a URL referrer to screen on app that's being tested</v>
      </c>
      <c r="D621" s="28">
        <f>IFERROR(__xludf.DUMMYFUNCTION("""COMPUTED_VALUE"""),3.0)</f>
        <v>3</v>
      </c>
      <c r="E621" s="29">
        <f>IFERROR(__xludf.DUMMYFUNCTION("""COMPUTED_VALUE"""),44041.0)</f>
        <v>44041</v>
      </c>
      <c r="F621" s="26" t="str">
        <f>IFERROR(__xludf.DUMMYFUNCTION("""COMPUTED_VALUE"""),"5ee7b6ce868ce30ac49e2521")</f>
        <v>5ee7b6ce868ce30ac49e2521</v>
      </c>
      <c r="G621" s="26" t="str">
        <f>IFERROR(__xludf.DUMMYFUNCTION("""COMPUTED_VALUE"""),"Bryan Le")</f>
        <v>Bryan Le</v>
      </c>
      <c r="H621" s="26" t="b">
        <v>0</v>
      </c>
    </row>
    <row r="622" hidden="1">
      <c r="A622" s="26" t="str">
        <f>VLOOKUP(B622,'2020 SRED (JIRA) - Issues and l'!$B:$C,2,FALSE)</f>
        <v>insite-workflow-SRED</v>
      </c>
      <c r="B622" s="27" t="str">
        <f>IFERROR(__xludf.DUMMYFUNCTION("""COMPUTED_VALUE"""),"APPS-79")</f>
        <v>APPS-79</v>
      </c>
      <c r="C622" s="26" t="str">
        <f>IFERROR(__xludf.DUMMYFUNCTION("""COMPUTED_VALUE"""),"Client Touchpoint Planner app (v1)")</f>
        <v>Client Touchpoint Planner app (v1)</v>
      </c>
      <c r="D622" s="28">
        <f>IFERROR(__xludf.DUMMYFUNCTION("""COMPUTED_VALUE"""),4.0)</f>
        <v>4</v>
      </c>
      <c r="E622" s="29">
        <f>IFERROR(__xludf.DUMMYFUNCTION("""COMPUTED_VALUE"""),44041.0)</f>
        <v>44041</v>
      </c>
      <c r="F622" s="26" t="str">
        <f>IFERROR(__xludf.DUMMYFUNCTION("""COMPUTED_VALUE"""),"5ee7b6ce868ce30ac49e2521")</f>
        <v>5ee7b6ce868ce30ac49e2521</v>
      </c>
      <c r="G622" s="26" t="str">
        <f>IFERROR(__xludf.DUMMYFUNCTION("""COMPUTED_VALUE"""),"Bryan Le")</f>
        <v>Bryan Le</v>
      </c>
      <c r="H622" s="26" t="b">
        <v>0</v>
      </c>
    </row>
    <row r="623" hidden="1">
      <c r="A623" s="26" t="str">
        <f>VLOOKUP(B623,'2020 SRED (JIRA) - Issues and l'!$B:$C,2,FALSE)</f>
        <v>insite-workflow-SRED</v>
      </c>
      <c r="B623" s="27" t="str">
        <f>IFERROR(__xludf.DUMMYFUNCTION("""COMPUTED_VALUE"""),"APPS-35")</f>
        <v>APPS-35</v>
      </c>
      <c r="C623" s="26" t="str">
        <f>IFERROR(__xludf.DUMMYFUNCTION("""COMPUTED_VALUE"""),"As a salesperson, I can create/modify contacts, organizations, sales opportunities, and proposals")</f>
        <v>As a salesperson, I can create/modify contacts, organizations, sales opportunities, and proposals</v>
      </c>
      <c r="D623" s="28">
        <f>IFERROR(__xludf.DUMMYFUNCTION("""COMPUTED_VALUE"""),7.0)</f>
        <v>7</v>
      </c>
      <c r="E623" s="29">
        <f>IFERROR(__xludf.DUMMYFUNCTION("""COMPUTED_VALUE"""),44041.0)</f>
        <v>44041</v>
      </c>
      <c r="F623" s="26" t="str">
        <f>IFERROR(__xludf.DUMMYFUNCTION("""COMPUTED_VALUE"""),"5ee7b6cf02b4400ac4b65399")</f>
        <v>5ee7b6cf02b4400ac4b65399</v>
      </c>
      <c r="G623" s="26" t="str">
        <f>IFERROR(__xludf.DUMMYFUNCTION("""COMPUTED_VALUE"""),"Jessica Obando")</f>
        <v>Jessica Obando</v>
      </c>
      <c r="H623" s="26" t="b">
        <v>0</v>
      </c>
    </row>
    <row r="624" hidden="1">
      <c r="A624" s="26" t="str">
        <f>VLOOKUP(B624,'2020 SRED (JIRA) - Issues and l'!$B:$C,2,FALSE)</f>
        <v>portal-builder-SRED</v>
      </c>
      <c r="B624" s="27" t="str">
        <f>IFERROR(__xludf.DUMMYFUNCTION("""COMPUTED_VALUE"""),"ITP-1850")</f>
        <v>ITP-1850</v>
      </c>
      <c r="C624" s="26" t="str">
        <f>IFERROR(__xludf.DUMMYFUNCTION("""COMPUTED_VALUE"""),"Allow ""&lt;"" characters in Touchpoint Builder select options")</f>
        <v>Allow "&lt;" characters in Touchpoint Builder select options</v>
      </c>
      <c r="D624" s="28">
        <f>IFERROR(__xludf.DUMMYFUNCTION("""COMPUTED_VALUE"""),1.1)</f>
        <v>1.1</v>
      </c>
      <c r="E624" s="29">
        <f>IFERROR(__xludf.DUMMYFUNCTION("""COMPUTED_VALUE"""),44042.0)</f>
        <v>44042</v>
      </c>
      <c r="F624" s="26" t="str">
        <f>IFERROR(__xludf.DUMMYFUNCTION("""COMPUTED_VALUE"""),"557058:3124a1f0-e92a-405c-93f2-c1d4e621bc77")</f>
        <v>557058:3124a1f0-e92a-405c-93f2-c1d4e621bc77</v>
      </c>
      <c r="G624" s="26" t="str">
        <f>IFERROR(__xludf.DUMMYFUNCTION("""COMPUTED_VALUE"""),"Trevor Coehoorn")</f>
        <v>Trevor Coehoorn</v>
      </c>
      <c r="H624" s="26" t="b">
        <v>0</v>
      </c>
    </row>
    <row r="625" hidden="1">
      <c r="A625" s="26" t="str">
        <f>VLOOKUP(B625,'2020 SRED (JIRA) - Issues and l'!$B:$C,2,FALSE)</f>
        <v>portal-builder-SRED</v>
      </c>
      <c r="B625" s="27" t="str">
        <f>IFERROR(__xludf.DUMMYFUNCTION("""COMPUTED_VALUE"""),"ITP-1864")</f>
        <v>ITP-1864</v>
      </c>
      <c r="C625" s="26" t="str">
        <f>IFERROR(__xludf.DUMMYFUNCTION("""COMPUTED_VALUE"""),"Prevent file widget video files from automatically playing when they are downloaded")</f>
        <v>Prevent file widget video files from automatically playing when they are downloaded</v>
      </c>
      <c r="D625" s="28">
        <f>IFERROR(__xludf.DUMMYFUNCTION("""COMPUTED_VALUE"""),1.53333333333333)</f>
        <v>1.533333333</v>
      </c>
      <c r="E625" s="29">
        <f>IFERROR(__xludf.DUMMYFUNCTION("""COMPUTED_VALUE"""),44042.0)</f>
        <v>44042</v>
      </c>
      <c r="F625" s="26" t="str">
        <f>IFERROR(__xludf.DUMMYFUNCTION("""COMPUTED_VALUE"""),"557058:3124a1f0-e92a-405c-93f2-c1d4e621bc77")</f>
        <v>557058:3124a1f0-e92a-405c-93f2-c1d4e621bc77</v>
      </c>
      <c r="G625" s="26" t="str">
        <f>IFERROR(__xludf.DUMMYFUNCTION("""COMPUTED_VALUE"""),"Trevor Coehoorn")</f>
        <v>Trevor Coehoorn</v>
      </c>
      <c r="H625" s="26" t="b">
        <v>0</v>
      </c>
    </row>
    <row r="626" hidden="1">
      <c r="A626" s="26" t="str">
        <f>VLOOKUP(B626,'2020 SRED (JIRA) - Issues and l'!$B:$C,2,FALSE)</f>
        <v>insite-event-SRED</v>
      </c>
      <c r="B626" s="27" t="str">
        <f>IFERROR(__xludf.DUMMYFUNCTION("""COMPUTED_VALUE"""),"ZAPI-13")</f>
        <v>ZAPI-13</v>
      </c>
      <c r="C626" s="26" t="str">
        <f>IFERROR(__xludf.DUMMYFUNCTION("""COMPUTED_VALUE"""),"As an attendee, I can access meeting/webinar recordings via the portal")</f>
        <v>As an attendee, I can access meeting/webinar recordings via the portal</v>
      </c>
      <c r="D626" s="28">
        <f>IFERROR(__xludf.DUMMYFUNCTION("""COMPUTED_VALUE"""),1.0)</f>
        <v>1</v>
      </c>
      <c r="E626" s="29">
        <f>IFERROR(__xludf.DUMMYFUNCTION("""COMPUTED_VALUE"""),44042.0)</f>
        <v>44042</v>
      </c>
      <c r="F626" s="26" t="str">
        <f>IFERROR(__xludf.DUMMYFUNCTION("""COMPUTED_VALUE"""),"557058:3124a1f0-e92a-405c-93f2-c1d4e621bc77")</f>
        <v>557058:3124a1f0-e92a-405c-93f2-c1d4e621bc77</v>
      </c>
      <c r="G626" s="26" t="str">
        <f>IFERROR(__xludf.DUMMYFUNCTION("""COMPUTED_VALUE"""),"Trevor Coehoorn")</f>
        <v>Trevor Coehoorn</v>
      </c>
      <c r="H626" s="26" t="b">
        <v>0</v>
      </c>
    </row>
    <row r="627" hidden="1">
      <c r="A627" s="26" t="str">
        <f>VLOOKUP(B627,'2020 SRED (JIRA) - Issues and l'!$B:$C,2,FALSE)</f>
        <v>portal-builder-SRED</v>
      </c>
      <c r="B627" s="27" t="str">
        <f>IFERROR(__xludf.DUMMYFUNCTION("""COMPUTED_VALUE"""),"ITP-1845")</f>
        <v>ITP-1845</v>
      </c>
      <c r="C627" s="26" t="str">
        <f>IFERROR(__xludf.DUMMYFUNCTION("""COMPUTED_VALUE"""),"Increase the rating and ranking option maximum length")</f>
        <v>Increase the rating and ranking option maximum length</v>
      </c>
      <c r="D627" s="28">
        <f>IFERROR(__xludf.DUMMYFUNCTION("""COMPUTED_VALUE"""),3.23333333333333)</f>
        <v>3.233333333</v>
      </c>
      <c r="E627" s="29">
        <f>IFERROR(__xludf.DUMMYFUNCTION("""COMPUTED_VALUE"""),44042.0)</f>
        <v>44042</v>
      </c>
      <c r="F627" s="26" t="str">
        <f>IFERROR(__xludf.DUMMYFUNCTION("""COMPUTED_VALUE"""),"557058:3124a1f0-e92a-405c-93f2-c1d4e621bc77")</f>
        <v>557058:3124a1f0-e92a-405c-93f2-c1d4e621bc77</v>
      </c>
      <c r="G627" s="26" t="str">
        <f>IFERROR(__xludf.DUMMYFUNCTION("""COMPUTED_VALUE"""),"Trevor Coehoorn")</f>
        <v>Trevor Coehoorn</v>
      </c>
      <c r="H627" s="26" t="b">
        <v>0</v>
      </c>
    </row>
    <row r="628" hidden="1">
      <c r="A628" s="26" t="str">
        <f>VLOOKUP(B628,'2020 SRED (JIRA) - Issues and l'!$B:$C,2,FALSE)</f>
        <v>insite-event-SRED</v>
      </c>
      <c r="B628" s="27" t="str">
        <f>IFERROR(__xludf.DUMMYFUNCTION("""COMPUTED_VALUE"""),"ZAPI-6")</f>
        <v>ZAPI-6</v>
      </c>
      <c r="C628" s="26" t="str">
        <f>IFERROR(__xludf.DUMMYFUNCTION("""COMPUTED_VALUE"""),"Zoom API v2 (Registration Flow and Reporting)")</f>
        <v>Zoom API v2 (Registration Flow and Reporting)</v>
      </c>
      <c r="D628" s="28">
        <f>IFERROR(__xludf.DUMMYFUNCTION("""COMPUTED_VALUE"""),0.283333333333333)</f>
        <v>0.2833333333</v>
      </c>
      <c r="E628" s="29">
        <f>IFERROR(__xludf.DUMMYFUNCTION("""COMPUTED_VALUE"""),44042.0)</f>
        <v>44042</v>
      </c>
      <c r="F628" s="26" t="str">
        <f>IFERROR(__xludf.DUMMYFUNCTION("""COMPUTED_VALUE"""),"557058:3124a1f0-e92a-405c-93f2-c1d4e621bc77")</f>
        <v>557058:3124a1f0-e92a-405c-93f2-c1d4e621bc77</v>
      </c>
      <c r="G628" s="26" t="str">
        <f>IFERROR(__xludf.DUMMYFUNCTION("""COMPUTED_VALUE"""),"Trevor Coehoorn")</f>
        <v>Trevor Coehoorn</v>
      </c>
      <c r="H628" s="26" t="b">
        <v>0</v>
      </c>
    </row>
    <row r="629" hidden="1">
      <c r="A629" s="26" t="str">
        <f>VLOOKUP(B629,'2020 SRED (JIRA) - Issues and l'!$B:$C,2,FALSE)</f>
        <v>insite-event-SRED</v>
      </c>
      <c r="B629" s="27" t="str">
        <f>IFERROR(__xludf.DUMMYFUNCTION("""COMPUTED_VALUE"""),"ZAPI-60")</f>
        <v>ZAPI-60</v>
      </c>
      <c r="C629" s="26" t="str">
        <f>IFERROR(__xludf.DUMMYFUNCTION("""COMPUTED_VALUE"""),"As a meeting administrator, I can designate meeting/webinar roles (e.g. co-hosts) and customize display names (e.g. Impetus Support [Fname Lname])")</f>
        <v>As a meeting administrator, I can designate meeting/webinar roles (e.g. co-hosts) and customize display names (e.g. Impetus Support [Fname Lname])</v>
      </c>
      <c r="D629" s="28">
        <f>IFERROR(__xludf.DUMMYFUNCTION("""COMPUTED_VALUE"""),0.2)</f>
        <v>0.2</v>
      </c>
      <c r="E629" s="29">
        <f>IFERROR(__xludf.DUMMYFUNCTION("""COMPUTED_VALUE"""),44042.0)</f>
        <v>44042</v>
      </c>
      <c r="F629" s="26" t="str">
        <f>IFERROR(__xludf.DUMMYFUNCTION("""COMPUTED_VALUE"""),"557058:3124a1f0-e92a-405c-93f2-c1d4e621bc77")</f>
        <v>557058:3124a1f0-e92a-405c-93f2-c1d4e621bc77</v>
      </c>
      <c r="G629" s="26" t="str">
        <f>IFERROR(__xludf.DUMMYFUNCTION("""COMPUTED_VALUE"""),"Trevor Coehoorn")</f>
        <v>Trevor Coehoorn</v>
      </c>
      <c r="H629" s="26" t="b">
        <v>0</v>
      </c>
    </row>
    <row r="630" hidden="1">
      <c r="A630" s="26" t="str">
        <f>VLOOKUP(B630,'2020 SRED (JIRA) - Issues and l'!$B:$C,2,FALSE)</f>
        <v>insite-workflow-SRED</v>
      </c>
      <c r="B630" s="27" t="str">
        <f>IFERROR(__xludf.DUMMYFUNCTION("""COMPUTED_VALUE"""),"APPS-79")</f>
        <v>APPS-79</v>
      </c>
      <c r="C630" s="26" t="str">
        <f>IFERROR(__xludf.DUMMYFUNCTION("""COMPUTED_VALUE"""),"Client Touchpoint Planner app (v1)")</f>
        <v>Client Touchpoint Planner app (v1)</v>
      </c>
      <c r="D630" s="28">
        <f>IFERROR(__xludf.DUMMYFUNCTION("""COMPUTED_VALUE"""),7.0)</f>
        <v>7</v>
      </c>
      <c r="E630" s="29">
        <f>IFERROR(__xludf.DUMMYFUNCTION("""COMPUTED_VALUE"""),44042.0)</f>
        <v>44042</v>
      </c>
      <c r="F630" s="26" t="str">
        <f>IFERROR(__xludf.DUMMYFUNCTION("""COMPUTED_VALUE"""),"5ee7b6ce868ce30ac49e2521")</f>
        <v>5ee7b6ce868ce30ac49e2521</v>
      </c>
      <c r="G630" s="26" t="str">
        <f>IFERROR(__xludf.DUMMYFUNCTION("""COMPUTED_VALUE"""),"Bryan Le")</f>
        <v>Bryan Le</v>
      </c>
      <c r="H630" s="26" t="b">
        <v>0</v>
      </c>
    </row>
    <row r="631" hidden="1">
      <c r="A631" s="26" t="str">
        <f>VLOOKUP(B631,'2020 SRED (JIRA) - Issues and l'!$B:$C,2,FALSE)</f>
        <v>insite-workflow-SRED</v>
      </c>
      <c r="B631" s="27" t="str">
        <f>IFERROR(__xludf.DUMMYFUNCTION("""COMPUTED_VALUE"""),"APPS-233")</f>
        <v>APPS-233</v>
      </c>
      <c r="C631" s="26" t="str">
        <f>IFERROR(__xludf.DUMMYFUNCTION("""COMPUTED_VALUE"""),"As an Impetus staff member, I can submit feedback on an app via sidebar menu with a URL referrer to screen on app that's being tested")</f>
        <v>As an Impetus staff member, I can submit feedback on an app via sidebar menu with a URL referrer to screen on app that's being tested</v>
      </c>
      <c r="D631" s="28">
        <f>IFERROR(__xludf.DUMMYFUNCTION("""COMPUTED_VALUE"""),4.0)</f>
        <v>4</v>
      </c>
      <c r="E631" s="29">
        <f>IFERROR(__xludf.DUMMYFUNCTION("""COMPUTED_VALUE"""),44043.0)</f>
        <v>44043</v>
      </c>
      <c r="F631" s="26" t="str">
        <f>IFERROR(__xludf.DUMMYFUNCTION("""COMPUTED_VALUE"""),"5ee7b6ce868ce30ac49e2521")</f>
        <v>5ee7b6ce868ce30ac49e2521</v>
      </c>
      <c r="G631" s="26" t="str">
        <f>IFERROR(__xludf.DUMMYFUNCTION("""COMPUTED_VALUE"""),"Bryan Le")</f>
        <v>Bryan Le</v>
      </c>
      <c r="H631" s="26" t="b">
        <v>0</v>
      </c>
    </row>
    <row r="632" hidden="1">
      <c r="A632" s="26" t="str">
        <f>VLOOKUP(B632,'2020 SRED (JIRA) - Issues and l'!$B:$C,2,FALSE)</f>
        <v>insite-workflow-SRED</v>
      </c>
      <c r="B632" s="27" t="str">
        <f>IFERROR(__xludf.DUMMYFUNCTION("""COMPUTED_VALUE"""),"APPS-79")</f>
        <v>APPS-79</v>
      </c>
      <c r="C632" s="26" t="str">
        <f>IFERROR(__xludf.DUMMYFUNCTION("""COMPUTED_VALUE"""),"Client Touchpoint Planner app (v1)")</f>
        <v>Client Touchpoint Planner app (v1)</v>
      </c>
      <c r="D632" s="28">
        <f>IFERROR(__xludf.DUMMYFUNCTION("""COMPUTED_VALUE"""),3.0)</f>
        <v>3</v>
      </c>
      <c r="E632" s="29">
        <f>IFERROR(__xludf.DUMMYFUNCTION("""COMPUTED_VALUE"""),44043.0)</f>
        <v>44043</v>
      </c>
      <c r="F632" s="26" t="str">
        <f>IFERROR(__xludf.DUMMYFUNCTION("""COMPUTED_VALUE"""),"5ee7b6ce868ce30ac49e2521")</f>
        <v>5ee7b6ce868ce30ac49e2521</v>
      </c>
      <c r="G632" s="26" t="str">
        <f>IFERROR(__xludf.DUMMYFUNCTION("""COMPUTED_VALUE"""),"Bryan Le")</f>
        <v>Bryan Le</v>
      </c>
      <c r="H632" s="26" t="b">
        <v>0</v>
      </c>
    </row>
    <row r="633" hidden="1">
      <c r="A633" s="26" t="str">
        <f>VLOOKUP(B633,'2020 SRED (JIRA) - Issues and l'!$B:$C,2,FALSE)</f>
        <v>insite-workflow-SRED</v>
      </c>
      <c r="B633" s="27" t="str">
        <f>IFERROR(__xludf.DUMMYFUNCTION("""COMPUTED_VALUE"""),"APPS-254")</f>
        <v>APPS-254</v>
      </c>
      <c r="C633" s="26" t="str">
        <f>IFERROR(__xludf.DUMMYFUNCTION("""COMPUTED_VALUE"""),"As a salesperson, I can define canned touchpoint inclusions and insert them into touchpoint form")</f>
        <v>As a salesperson, I can define canned touchpoint inclusions and insert them into touchpoint form</v>
      </c>
      <c r="D633" s="28">
        <f>IFERROR(__xludf.DUMMYFUNCTION("""COMPUTED_VALUE"""),7.0)</f>
        <v>7</v>
      </c>
      <c r="E633" s="29">
        <f>IFERROR(__xludf.DUMMYFUNCTION("""COMPUTED_VALUE"""),44043.0)</f>
        <v>44043</v>
      </c>
      <c r="F633" s="26" t="str">
        <f>IFERROR(__xludf.DUMMYFUNCTION("""COMPUTED_VALUE"""),"5ee7b6cf02b4400ac4b65399")</f>
        <v>5ee7b6cf02b4400ac4b65399</v>
      </c>
      <c r="G633" s="26" t="str">
        <f>IFERROR(__xludf.DUMMYFUNCTION("""COMPUTED_VALUE"""),"Jessica Obando")</f>
        <v>Jessica Obando</v>
      </c>
      <c r="H633" s="26" t="b">
        <v>0</v>
      </c>
    </row>
    <row r="634" hidden="1">
      <c r="A634" s="26" t="str">
        <f>VLOOKUP(B634,'2020 SRED (JIRA) - Issues and l'!$B:$C,2,FALSE)</f>
        <v>insite-event-SRED</v>
      </c>
      <c r="B634" s="27" t="str">
        <f>IFERROR(__xludf.DUMMYFUNCTION("""COMPUTED_VALUE"""),"ZAPI-60")</f>
        <v>ZAPI-60</v>
      </c>
      <c r="C634" s="26" t="str">
        <f>IFERROR(__xludf.DUMMYFUNCTION("""COMPUTED_VALUE"""),"As a meeting administrator, I can designate meeting/webinar roles (e.g. co-hosts) and customize display names (e.g. Impetus Support [Fname Lname])")</f>
        <v>As a meeting administrator, I can designate meeting/webinar roles (e.g. co-hosts) and customize display names (e.g. Impetus Support [Fname Lname])</v>
      </c>
      <c r="D634" s="28">
        <f>IFERROR(__xludf.DUMMYFUNCTION("""COMPUTED_VALUE"""),4.0)</f>
        <v>4</v>
      </c>
      <c r="E634" s="29">
        <f>IFERROR(__xludf.DUMMYFUNCTION("""COMPUTED_VALUE"""),44046.33333333333)</f>
        <v>44046.33333</v>
      </c>
      <c r="F634" s="26" t="str">
        <f>IFERROR(__xludf.DUMMYFUNCTION("""COMPUTED_VALUE"""),"5e95be7f18b8ed0c0f5adb36")</f>
        <v>5e95be7f18b8ed0c0f5adb36</v>
      </c>
      <c r="G634" s="26" t="str">
        <f>IFERROR(__xludf.DUMMYFUNCTION("""COMPUTED_VALUE"""),"Frantisek Trusa")</f>
        <v>Frantisek Trusa</v>
      </c>
      <c r="H634" s="26" t="b">
        <v>0</v>
      </c>
    </row>
    <row r="635" hidden="1">
      <c r="A635" s="26" t="str">
        <f>VLOOKUP(B635,'2020 SRED (JIRA) - Issues and l'!$B:$C,2,FALSE)</f>
        <v>insite-event-SRED</v>
      </c>
      <c r="B635" s="27" t="str">
        <f>IFERROR(__xludf.DUMMYFUNCTION("""COMPUTED_VALUE"""),"ZAPI-60")</f>
        <v>ZAPI-60</v>
      </c>
      <c r="C635" s="26" t="str">
        <f>IFERROR(__xludf.DUMMYFUNCTION("""COMPUTED_VALUE"""),"As a meeting administrator, I can designate meeting/webinar roles (e.g. co-hosts) and customize display names (e.g. Impetus Support [Fname Lname])")</f>
        <v>As a meeting administrator, I can designate meeting/webinar roles (e.g. co-hosts) and customize display names (e.g. Impetus Support [Fname Lname])</v>
      </c>
      <c r="D635" s="28">
        <f>IFERROR(__xludf.DUMMYFUNCTION("""COMPUTED_VALUE"""),4.0)</f>
        <v>4</v>
      </c>
      <c r="E635" s="29">
        <f>IFERROR(__xludf.DUMMYFUNCTION("""COMPUTED_VALUE"""),44046.54166666667)</f>
        <v>44046.54167</v>
      </c>
      <c r="F635" s="26" t="str">
        <f>IFERROR(__xludf.DUMMYFUNCTION("""COMPUTED_VALUE"""),"5e95be7f18b8ed0c0f5adb36")</f>
        <v>5e95be7f18b8ed0c0f5adb36</v>
      </c>
      <c r="G635" s="26" t="str">
        <f>IFERROR(__xludf.DUMMYFUNCTION("""COMPUTED_VALUE"""),"Frantisek Trusa")</f>
        <v>Frantisek Trusa</v>
      </c>
      <c r="H635" s="26" t="b">
        <v>0</v>
      </c>
    </row>
    <row r="636" hidden="1">
      <c r="A636" s="26" t="str">
        <f>VLOOKUP(B636,'2020 SRED (JIRA) - Issues and l'!$B:$C,2,FALSE)</f>
        <v>portal-builder-SRED</v>
      </c>
      <c r="B636" s="27" t="str">
        <f>IFERROR(__xludf.DUMMYFUNCTION("""COMPUTED_VALUE"""),"ITP-1850")</f>
        <v>ITP-1850</v>
      </c>
      <c r="C636" s="26" t="str">
        <f>IFERROR(__xludf.DUMMYFUNCTION("""COMPUTED_VALUE"""),"Allow ""&lt;"" characters in Touchpoint Builder select options")</f>
        <v>Allow "&lt;" characters in Touchpoint Builder select options</v>
      </c>
      <c r="D636" s="28">
        <f>IFERROR(__xludf.DUMMYFUNCTION("""COMPUTED_VALUE"""),2.11666666666666)</f>
        <v>2.116666667</v>
      </c>
      <c r="E636" s="29">
        <f>IFERROR(__xludf.DUMMYFUNCTION("""COMPUTED_VALUE"""),44047.0)</f>
        <v>44047</v>
      </c>
      <c r="F636" s="26" t="str">
        <f>IFERROR(__xludf.DUMMYFUNCTION("""COMPUTED_VALUE"""),"557058:3124a1f0-e92a-405c-93f2-c1d4e621bc77")</f>
        <v>557058:3124a1f0-e92a-405c-93f2-c1d4e621bc77</v>
      </c>
      <c r="G636" s="26" t="str">
        <f>IFERROR(__xludf.DUMMYFUNCTION("""COMPUTED_VALUE"""),"Trevor Coehoorn")</f>
        <v>Trevor Coehoorn</v>
      </c>
      <c r="H636" s="26" t="b">
        <v>0</v>
      </c>
    </row>
    <row r="637" hidden="1">
      <c r="A637" s="26" t="str">
        <f>VLOOKUP(B637,'2020 SRED (JIRA) - Issues and l'!$B:$C,2,FALSE)</f>
        <v>insite-event-SRED</v>
      </c>
      <c r="B637" s="27" t="str">
        <f>IFERROR(__xludf.DUMMYFUNCTION("""COMPUTED_VALUE"""),"ZAPI-65")</f>
        <v>ZAPI-65</v>
      </c>
      <c r="C637" s="26" t="str">
        <f>IFERROR(__xludf.DUMMYFUNCTION("""COMPUTED_VALUE"""),"Prevent users from trying to add more than 25 polls")</f>
        <v>Prevent users from trying to add more than 25 polls</v>
      </c>
      <c r="D637" s="28">
        <f>IFERROR(__xludf.DUMMYFUNCTION("""COMPUTED_VALUE"""),0.55)</f>
        <v>0.55</v>
      </c>
      <c r="E637" s="29">
        <f>IFERROR(__xludf.DUMMYFUNCTION("""COMPUTED_VALUE"""),44047.0)</f>
        <v>44047</v>
      </c>
      <c r="F637" s="26" t="str">
        <f>IFERROR(__xludf.DUMMYFUNCTION("""COMPUTED_VALUE"""),"557058:3124a1f0-e92a-405c-93f2-c1d4e621bc77")</f>
        <v>557058:3124a1f0-e92a-405c-93f2-c1d4e621bc77</v>
      </c>
      <c r="G637" s="26" t="str">
        <f>IFERROR(__xludf.DUMMYFUNCTION("""COMPUTED_VALUE"""),"Trevor Coehoorn")</f>
        <v>Trevor Coehoorn</v>
      </c>
      <c r="H637" s="26" t="b">
        <v>0</v>
      </c>
    </row>
    <row r="638" hidden="1">
      <c r="A638" s="26" t="str">
        <f>VLOOKUP(B638,'2020 SRED (JIRA) - Issues and l'!$B:$C,2,FALSE)</f>
        <v>insite-event-SRED</v>
      </c>
      <c r="B638" s="27" t="str">
        <f>IFERROR(__xludf.DUMMYFUNCTION("""COMPUTED_VALUE"""),"ZAPI-6")</f>
        <v>ZAPI-6</v>
      </c>
      <c r="C638" s="26" t="str">
        <f>IFERROR(__xludf.DUMMYFUNCTION("""COMPUTED_VALUE"""),"Zoom API v2 (Registration Flow and Reporting)")</f>
        <v>Zoom API v2 (Registration Flow and Reporting)</v>
      </c>
      <c r="D638" s="28">
        <f>IFERROR(__xludf.DUMMYFUNCTION("""COMPUTED_VALUE"""),0.583333333333333)</f>
        <v>0.5833333333</v>
      </c>
      <c r="E638" s="29">
        <f>IFERROR(__xludf.DUMMYFUNCTION("""COMPUTED_VALUE"""),44047.0)</f>
        <v>44047</v>
      </c>
      <c r="F638" s="26" t="str">
        <f>IFERROR(__xludf.DUMMYFUNCTION("""COMPUTED_VALUE"""),"557058:3124a1f0-e92a-405c-93f2-c1d4e621bc77")</f>
        <v>557058:3124a1f0-e92a-405c-93f2-c1d4e621bc77</v>
      </c>
      <c r="G638" s="26" t="str">
        <f>IFERROR(__xludf.DUMMYFUNCTION("""COMPUTED_VALUE"""),"Trevor Coehoorn")</f>
        <v>Trevor Coehoorn</v>
      </c>
      <c r="H638" s="26" t="b">
        <v>0</v>
      </c>
    </row>
    <row r="639" hidden="1">
      <c r="A639" s="26" t="str">
        <f>VLOOKUP(B639,'2020 SRED (JIRA) - Issues and l'!$B:$C,2,FALSE)</f>
        <v>insite-workflow-SRED</v>
      </c>
      <c r="B639" s="27" t="str">
        <f>IFERROR(__xludf.DUMMYFUNCTION("""COMPUTED_VALUE"""),"APPS-233")</f>
        <v>APPS-233</v>
      </c>
      <c r="C639" s="26" t="str">
        <f>IFERROR(__xludf.DUMMYFUNCTION("""COMPUTED_VALUE"""),"As an Impetus staff member, I can submit feedback on an app via sidebar menu with a URL referrer to screen on app that's being tested")</f>
        <v>As an Impetus staff member, I can submit feedback on an app via sidebar menu with a URL referrer to screen on app that's being tested</v>
      </c>
      <c r="D639" s="28">
        <f>IFERROR(__xludf.DUMMYFUNCTION("""COMPUTED_VALUE"""),7.0)</f>
        <v>7</v>
      </c>
      <c r="E639" s="29">
        <f>IFERROR(__xludf.DUMMYFUNCTION("""COMPUTED_VALUE"""),44047.0)</f>
        <v>44047</v>
      </c>
      <c r="F639" s="26" t="str">
        <f>IFERROR(__xludf.DUMMYFUNCTION("""COMPUTED_VALUE"""),"5ee7b6ce868ce30ac49e2521")</f>
        <v>5ee7b6ce868ce30ac49e2521</v>
      </c>
      <c r="G639" s="26" t="str">
        <f>IFERROR(__xludf.DUMMYFUNCTION("""COMPUTED_VALUE"""),"Bryan Le")</f>
        <v>Bryan Le</v>
      </c>
      <c r="H639" s="26" t="b">
        <v>0</v>
      </c>
    </row>
    <row r="640" hidden="1">
      <c r="A640" s="26" t="str">
        <f>VLOOKUP(B640,'2020 SRED (JIRA) - Issues and l'!$B:$C,2,FALSE)</f>
        <v>insite-workflow-SRED</v>
      </c>
      <c r="B640" s="27" t="str">
        <f>IFERROR(__xludf.DUMMYFUNCTION("""COMPUTED_VALUE"""),"APPS-302")</f>
        <v>APPS-302</v>
      </c>
      <c r="C640" s="26" t="str">
        <f>IFERROR(__xludf.DUMMYFUNCTION("""COMPUTED_VALUE"""),"Create HTML email template that we can use to customize the email that is sent to approved downloaders")</f>
        <v>Create HTML email template that we can use to customize the email that is sent to approved downloaders</v>
      </c>
      <c r="D640" s="28">
        <f>IFERROR(__xludf.DUMMYFUNCTION("""COMPUTED_VALUE"""),7.0)</f>
        <v>7</v>
      </c>
      <c r="E640" s="29">
        <f>IFERROR(__xludf.DUMMYFUNCTION("""COMPUTED_VALUE"""),44047.0)</f>
        <v>44047</v>
      </c>
      <c r="F640" s="26" t="str">
        <f>IFERROR(__xludf.DUMMYFUNCTION("""COMPUTED_VALUE"""),"5ee7b6cf02b4400ac4b65399")</f>
        <v>5ee7b6cf02b4400ac4b65399</v>
      </c>
      <c r="G640" s="26" t="str">
        <f>IFERROR(__xludf.DUMMYFUNCTION("""COMPUTED_VALUE"""),"Jessica Obando")</f>
        <v>Jessica Obando</v>
      </c>
      <c r="H640" s="26" t="b">
        <v>0</v>
      </c>
    </row>
    <row r="641" hidden="1">
      <c r="A641" s="26" t="str">
        <f>VLOOKUP(B641,'2020 SRED (JIRA) - Issues and l'!$B:$C,2,FALSE)</f>
        <v>insite-event-SRED</v>
      </c>
      <c r="B641" s="27" t="str">
        <f>IFERROR(__xludf.DUMMYFUNCTION("""COMPUTED_VALUE"""),"ZAPI-60")</f>
        <v>ZAPI-60</v>
      </c>
      <c r="C641" s="26" t="str">
        <f>IFERROR(__xludf.DUMMYFUNCTION("""COMPUTED_VALUE"""),"As a meeting administrator, I can designate meeting/webinar roles (e.g. co-hosts) and customize display names (e.g. Impetus Support [Fname Lname])")</f>
        <v>As a meeting administrator, I can designate meeting/webinar roles (e.g. co-hosts) and customize display names (e.g. Impetus Support [Fname Lname])</v>
      </c>
      <c r="D641" s="28">
        <f>IFERROR(__xludf.DUMMYFUNCTION("""COMPUTED_VALUE"""),4.0)</f>
        <v>4</v>
      </c>
      <c r="E641" s="29">
        <f>IFERROR(__xludf.DUMMYFUNCTION("""COMPUTED_VALUE"""),44047.33333333333)</f>
        <v>44047.33333</v>
      </c>
      <c r="F641" s="26" t="str">
        <f>IFERROR(__xludf.DUMMYFUNCTION("""COMPUTED_VALUE"""),"5e95be7f18b8ed0c0f5adb36")</f>
        <v>5e95be7f18b8ed0c0f5adb36</v>
      </c>
      <c r="G641" s="26" t="str">
        <f>IFERROR(__xludf.DUMMYFUNCTION("""COMPUTED_VALUE"""),"Frantisek Trusa")</f>
        <v>Frantisek Trusa</v>
      </c>
      <c r="H641" s="26" t="b">
        <v>0</v>
      </c>
    </row>
    <row r="642" hidden="1">
      <c r="A642" s="26" t="str">
        <f>VLOOKUP(B642,'2020 SRED (JIRA) - Issues and l'!$B:$C,2,FALSE)</f>
        <v>insite-event-SRED</v>
      </c>
      <c r="B642" s="27" t="str">
        <f>IFERROR(__xludf.DUMMYFUNCTION("""COMPUTED_VALUE"""),"ZAPI-60")</f>
        <v>ZAPI-60</v>
      </c>
      <c r="C642" s="26" t="str">
        <f>IFERROR(__xludf.DUMMYFUNCTION("""COMPUTED_VALUE"""),"As a meeting administrator, I can designate meeting/webinar roles (e.g. co-hosts) and customize display names (e.g. Impetus Support [Fname Lname])")</f>
        <v>As a meeting administrator, I can designate meeting/webinar roles (e.g. co-hosts) and customize display names (e.g. Impetus Support [Fname Lname])</v>
      </c>
      <c r="D642" s="28">
        <f>IFERROR(__xludf.DUMMYFUNCTION("""COMPUTED_VALUE"""),4.0)</f>
        <v>4</v>
      </c>
      <c r="E642" s="29">
        <f>IFERROR(__xludf.DUMMYFUNCTION("""COMPUTED_VALUE"""),44047.54166666667)</f>
        <v>44047.54167</v>
      </c>
      <c r="F642" s="26" t="str">
        <f>IFERROR(__xludf.DUMMYFUNCTION("""COMPUTED_VALUE"""),"5e95be7f18b8ed0c0f5adb36")</f>
        <v>5e95be7f18b8ed0c0f5adb36</v>
      </c>
      <c r="G642" s="26" t="str">
        <f>IFERROR(__xludf.DUMMYFUNCTION("""COMPUTED_VALUE"""),"Frantisek Trusa")</f>
        <v>Frantisek Trusa</v>
      </c>
      <c r="H642" s="26" t="b">
        <v>0</v>
      </c>
    </row>
    <row r="643" hidden="1">
      <c r="A643" s="26" t="str">
        <f>VLOOKUP(B643,'2020 SRED (JIRA) - Issues and l'!$B:$C,2,FALSE)</f>
        <v>portal-builder-SRED</v>
      </c>
      <c r="B643" s="27" t="str">
        <f>IFERROR(__xludf.DUMMYFUNCTION("""COMPUTED_VALUE"""),"ITP-1819")</f>
        <v>ITP-1819</v>
      </c>
      <c r="C643" s="26" t="str">
        <f>IFERROR(__xludf.DUMMYFUNCTION("""COMPUTED_VALUE"""),"Set up one-time login password creation process")</f>
        <v>Set up one-time login password creation process</v>
      </c>
      <c r="D643" s="28">
        <f>IFERROR(__xludf.DUMMYFUNCTION("""COMPUTED_VALUE"""),0.333333333333333)</f>
        <v>0.3333333333</v>
      </c>
      <c r="E643" s="29">
        <f>IFERROR(__xludf.DUMMYFUNCTION("""COMPUTED_VALUE"""),44048.0)</f>
        <v>44048</v>
      </c>
      <c r="F643" s="26" t="str">
        <f>IFERROR(__xludf.DUMMYFUNCTION("""COMPUTED_VALUE"""),"557058:3124a1f0-e92a-405c-93f2-c1d4e621bc77")</f>
        <v>557058:3124a1f0-e92a-405c-93f2-c1d4e621bc77</v>
      </c>
      <c r="G643" s="26" t="str">
        <f>IFERROR(__xludf.DUMMYFUNCTION("""COMPUTED_VALUE"""),"Trevor Coehoorn")</f>
        <v>Trevor Coehoorn</v>
      </c>
      <c r="H643" s="26" t="b">
        <v>0</v>
      </c>
    </row>
    <row r="644" hidden="1">
      <c r="A644" s="26" t="str">
        <f>VLOOKUP(B644,'2020 SRED (JIRA) - Issues and l'!$B:$C,2,FALSE)</f>
        <v>insite-event-SRED</v>
      </c>
      <c r="B644" s="27" t="str">
        <f>IFERROR(__xludf.DUMMYFUNCTION("""COMPUTED_VALUE"""),"ZAPI-110")</f>
        <v>ZAPI-110</v>
      </c>
      <c r="C644" s="26" t="str">
        <f>IFERROR(__xludf.DUMMYFUNCTION("""COMPUTED_VALUE"""),"Flow diagram for registration and approval processes")</f>
        <v>Flow diagram for registration and approval processes</v>
      </c>
      <c r="D644" s="28">
        <f>IFERROR(__xludf.DUMMYFUNCTION("""COMPUTED_VALUE"""),0.283333333333333)</f>
        <v>0.2833333333</v>
      </c>
      <c r="E644" s="29">
        <f>IFERROR(__xludf.DUMMYFUNCTION("""COMPUTED_VALUE"""),44048.0)</f>
        <v>44048</v>
      </c>
      <c r="F644" s="26" t="str">
        <f>IFERROR(__xludf.DUMMYFUNCTION("""COMPUTED_VALUE"""),"557058:3124a1f0-e92a-405c-93f2-c1d4e621bc77")</f>
        <v>557058:3124a1f0-e92a-405c-93f2-c1d4e621bc77</v>
      </c>
      <c r="G644" s="26" t="str">
        <f>IFERROR(__xludf.DUMMYFUNCTION("""COMPUTED_VALUE"""),"Trevor Coehoorn")</f>
        <v>Trevor Coehoorn</v>
      </c>
      <c r="H644" s="26" t="b">
        <v>0</v>
      </c>
    </row>
    <row r="645" hidden="1">
      <c r="A645" s="26" t="str">
        <f>VLOOKUP(B645,'2020 SRED (JIRA) - Issues and l'!$B:$C,2,FALSE)</f>
        <v>portal-builder-SRED</v>
      </c>
      <c r="B645" s="27" t="str">
        <f>IFERROR(__xludf.DUMMYFUNCTION("""COMPUTED_VALUE"""),"ITP-1850")</f>
        <v>ITP-1850</v>
      </c>
      <c r="C645" s="26" t="str">
        <f>IFERROR(__xludf.DUMMYFUNCTION("""COMPUTED_VALUE"""),"Allow ""&lt;"" characters in Touchpoint Builder select options")</f>
        <v>Allow "&lt;" characters in Touchpoint Builder select options</v>
      </c>
      <c r="D645" s="28">
        <f>IFERROR(__xludf.DUMMYFUNCTION("""COMPUTED_VALUE"""),4.16666666666666)</f>
        <v>4.166666667</v>
      </c>
      <c r="E645" s="29">
        <f>IFERROR(__xludf.DUMMYFUNCTION("""COMPUTED_VALUE"""),44048.0)</f>
        <v>44048</v>
      </c>
      <c r="F645" s="26" t="str">
        <f>IFERROR(__xludf.DUMMYFUNCTION("""COMPUTED_VALUE"""),"557058:3124a1f0-e92a-405c-93f2-c1d4e621bc77")</f>
        <v>557058:3124a1f0-e92a-405c-93f2-c1d4e621bc77</v>
      </c>
      <c r="G645" s="26" t="str">
        <f>IFERROR(__xludf.DUMMYFUNCTION("""COMPUTED_VALUE"""),"Trevor Coehoorn")</f>
        <v>Trevor Coehoorn</v>
      </c>
      <c r="H645" s="26" t="b">
        <v>0</v>
      </c>
    </row>
    <row r="646" hidden="1">
      <c r="A646" s="26" t="str">
        <f>VLOOKUP(B646,'2020 SRED (JIRA) - Issues and l'!$B:$C,2,FALSE)</f>
        <v>portal-builder-SRED</v>
      </c>
      <c r="B646" s="27" t="str">
        <f>IFERROR(__xludf.DUMMYFUNCTION("""COMPUTED_VALUE"""),"ITP-1847")</f>
        <v>ITP-1847</v>
      </c>
      <c r="C646" s="26" t="str">
        <f>IFERROR(__xludf.DUMMYFUNCTION("""COMPUTED_VALUE"""),"Add reply count and login number to the touchpoint statistics")</f>
        <v>Add reply count and login number to the touchpoint statistics</v>
      </c>
      <c r="D646" s="28">
        <f>IFERROR(__xludf.DUMMYFUNCTION("""COMPUTED_VALUE"""),0.0833333333333333)</f>
        <v>0.08333333333</v>
      </c>
      <c r="E646" s="29">
        <f>IFERROR(__xludf.DUMMYFUNCTION("""COMPUTED_VALUE"""),44048.0)</f>
        <v>44048</v>
      </c>
      <c r="F646" s="26" t="str">
        <f>IFERROR(__xludf.DUMMYFUNCTION("""COMPUTED_VALUE"""),"557058:3124a1f0-e92a-405c-93f2-c1d4e621bc77")</f>
        <v>557058:3124a1f0-e92a-405c-93f2-c1d4e621bc77</v>
      </c>
      <c r="G646" s="26" t="str">
        <f>IFERROR(__xludf.DUMMYFUNCTION("""COMPUTED_VALUE"""),"Trevor Coehoorn")</f>
        <v>Trevor Coehoorn</v>
      </c>
      <c r="H646" s="26" t="b">
        <v>0</v>
      </c>
    </row>
    <row r="647" hidden="1">
      <c r="A647" s="26" t="str">
        <f>VLOOKUP(B647,'2020 SRED (JIRA) - Issues and l'!$B:$C,2,FALSE)</f>
        <v>insite-event-SRED</v>
      </c>
      <c r="B647" s="27" t="str">
        <f>IFERROR(__xludf.DUMMYFUNCTION("""COMPUTED_VALUE"""),"ZAPI-13")</f>
        <v>ZAPI-13</v>
      </c>
      <c r="C647" s="26" t="str">
        <f>IFERROR(__xludf.DUMMYFUNCTION("""COMPUTED_VALUE"""),"As an attendee, I can access meeting/webinar recordings via the portal")</f>
        <v>As an attendee, I can access meeting/webinar recordings via the portal</v>
      </c>
      <c r="D647" s="28">
        <f>IFERROR(__xludf.DUMMYFUNCTION("""COMPUTED_VALUE"""),0.2)</f>
        <v>0.2</v>
      </c>
      <c r="E647" s="29">
        <f>IFERROR(__xludf.DUMMYFUNCTION("""COMPUTED_VALUE"""),44048.0)</f>
        <v>44048</v>
      </c>
      <c r="F647" s="26" t="str">
        <f>IFERROR(__xludf.DUMMYFUNCTION("""COMPUTED_VALUE"""),"557058:3124a1f0-e92a-405c-93f2-c1d4e621bc77")</f>
        <v>557058:3124a1f0-e92a-405c-93f2-c1d4e621bc77</v>
      </c>
      <c r="G647" s="26" t="str">
        <f>IFERROR(__xludf.DUMMYFUNCTION("""COMPUTED_VALUE"""),"Trevor Coehoorn")</f>
        <v>Trevor Coehoorn</v>
      </c>
      <c r="H647" s="26" t="b">
        <v>0</v>
      </c>
    </row>
    <row r="648" hidden="1">
      <c r="A648" s="26" t="str">
        <f>VLOOKUP(B648,'2020 SRED (JIRA) - Issues and l'!$B:$C,2,FALSE)</f>
        <v>insite-event-SRED</v>
      </c>
      <c r="B648" s="27" t="str">
        <f>IFERROR(__xludf.DUMMYFUNCTION("""COMPUTED_VALUE"""),"ZAPI-6")</f>
        <v>ZAPI-6</v>
      </c>
      <c r="C648" s="26" t="str">
        <f>IFERROR(__xludf.DUMMYFUNCTION("""COMPUTED_VALUE"""),"Zoom API v2 (Registration Flow and Reporting)")</f>
        <v>Zoom API v2 (Registration Flow and Reporting)</v>
      </c>
      <c r="D648" s="28">
        <f>IFERROR(__xludf.DUMMYFUNCTION("""COMPUTED_VALUE"""),0.283333333333333)</f>
        <v>0.2833333333</v>
      </c>
      <c r="E648" s="29">
        <f>IFERROR(__xludf.DUMMYFUNCTION("""COMPUTED_VALUE"""),44048.0)</f>
        <v>44048</v>
      </c>
      <c r="F648" s="26" t="str">
        <f>IFERROR(__xludf.DUMMYFUNCTION("""COMPUTED_VALUE"""),"557058:3124a1f0-e92a-405c-93f2-c1d4e621bc77")</f>
        <v>557058:3124a1f0-e92a-405c-93f2-c1d4e621bc77</v>
      </c>
      <c r="G648" s="26" t="str">
        <f>IFERROR(__xludf.DUMMYFUNCTION("""COMPUTED_VALUE"""),"Trevor Coehoorn")</f>
        <v>Trevor Coehoorn</v>
      </c>
      <c r="H648" s="26" t="b">
        <v>0</v>
      </c>
    </row>
    <row r="649" hidden="1">
      <c r="A649" s="26" t="str">
        <f>VLOOKUP(B649,'2020 SRED (JIRA) - Issues and l'!$B:$C,2,FALSE)</f>
        <v>portal-builder-SRED</v>
      </c>
      <c r="B649" s="27" t="str">
        <f>IFERROR(__xludf.DUMMYFUNCTION("""COMPUTED_VALUE"""),"ITP-1819")</f>
        <v>ITP-1819</v>
      </c>
      <c r="C649" s="26" t="str">
        <f>IFERROR(__xludf.DUMMYFUNCTION("""COMPUTED_VALUE"""),"Set up one-time login password creation process")</f>
        <v>Set up one-time login password creation process</v>
      </c>
      <c r="D649" s="28">
        <f>IFERROR(__xludf.DUMMYFUNCTION("""COMPUTED_VALUE"""),1.0)</f>
        <v>1</v>
      </c>
      <c r="E649" s="29">
        <f>IFERROR(__xludf.DUMMYFUNCTION("""COMPUTED_VALUE"""),44048.0)</f>
        <v>44048</v>
      </c>
      <c r="F649" s="26" t="str">
        <f>IFERROR(__xludf.DUMMYFUNCTION("""COMPUTED_VALUE"""),"557058:73c9cac1-5a92-492c-86e8-838810ee0dde")</f>
        <v>557058:73c9cac1-5a92-492c-86e8-838810ee0dde</v>
      </c>
      <c r="G649" s="26" t="str">
        <f>IFERROR(__xludf.DUMMYFUNCTION("""COMPUTED_VALUE"""),"Dan Wells")</f>
        <v>Dan Wells</v>
      </c>
      <c r="H649" s="26" t="b">
        <v>0</v>
      </c>
    </row>
    <row r="650" hidden="1">
      <c r="A650" s="26" t="str">
        <f>VLOOKUP(B650,'2020 SRED (JIRA) - Issues and l'!$B:$C,2,FALSE)</f>
        <v>insite-workflow-SRED</v>
      </c>
      <c r="B650" s="27" t="str">
        <f>IFERROR(__xludf.DUMMYFUNCTION("""COMPUTED_VALUE"""),"APPS-236")</f>
        <v>APPS-236</v>
      </c>
      <c r="C650" s="26" t="str">
        <f>IFERROR(__xludf.DUMMYFUNCTION("""COMPUTED_VALUE"""),"Deployment process")</f>
        <v>Deployment process</v>
      </c>
      <c r="D650" s="28">
        <f>IFERROR(__xludf.DUMMYFUNCTION("""COMPUTED_VALUE"""),7.0)</f>
        <v>7</v>
      </c>
      <c r="E650" s="29">
        <f>IFERROR(__xludf.DUMMYFUNCTION("""COMPUTED_VALUE"""),44048.0)</f>
        <v>44048</v>
      </c>
      <c r="F650" s="26" t="str">
        <f>IFERROR(__xludf.DUMMYFUNCTION("""COMPUTED_VALUE"""),"5ee7b6ce868ce30ac49e2521")</f>
        <v>5ee7b6ce868ce30ac49e2521</v>
      </c>
      <c r="G650" s="26" t="str">
        <f>IFERROR(__xludf.DUMMYFUNCTION("""COMPUTED_VALUE"""),"Bryan Le")</f>
        <v>Bryan Le</v>
      </c>
      <c r="H650" s="26" t="b">
        <v>0</v>
      </c>
    </row>
    <row r="651" hidden="1">
      <c r="A651" s="26" t="str">
        <f>VLOOKUP(B651,'2020 SRED (JIRA) - Issues and l'!$B:$C,2,FALSE)</f>
        <v>insite-workflow-SRED</v>
      </c>
      <c r="B651" s="27" t="str">
        <f>IFERROR(__xludf.DUMMYFUNCTION("""COMPUTED_VALUE"""),"APPS-325")</f>
        <v>APPS-325</v>
      </c>
      <c r="C651" s="26" t="str">
        <f>IFERROR(__xludf.DUMMYFUNCTION("""COMPUTED_VALUE"""),"Move ‘Prospective client’ and their organization to top of sales opportunity and change sales opportunity naming defaults")</f>
        <v>Move ‘Prospective client’ and their organization to top of sales opportunity and change sales opportunity naming defaults</v>
      </c>
      <c r="D651" s="28">
        <f>IFERROR(__xludf.DUMMYFUNCTION("""COMPUTED_VALUE"""),8.0)</f>
        <v>8</v>
      </c>
      <c r="E651" s="29">
        <f>IFERROR(__xludf.DUMMYFUNCTION("""COMPUTED_VALUE"""),44048.0)</f>
        <v>44048</v>
      </c>
      <c r="F651" s="26" t="str">
        <f>IFERROR(__xludf.DUMMYFUNCTION("""COMPUTED_VALUE"""),"5ee7b6cf02b4400ac4b65399")</f>
        <v>5ee7b6cf02b4400ac4b65399</v>
      </c>
      <c r="G651" s="26" t="str">
        <f>IFERROR(__xludf.DUMMYFUNCTION("""COMPUTED_VALUE"""),"Jessica Obando")</f>
        <v>Jessica Obando</v>
      </c>
      <c r="H651" s="26" t="b">
        <v>0</v>
      </c>
    </row>
    <row r="652" hidden="1">
      <c r="A652" s="26" t="str">
        <f>VLOOKUP(B652,'2020 SRED (JIRA) - Issues and l'!$B:$C,2,FALSE)</f>
        <v>insite-event-SRED</v>
      </c>
      <c r="B652" s="27" t="str">
        <f>IFERROR(__xludf.DUMMYFUNCTION("""COMPUTED_VALUE"""),"ZAPI-60")</f>
        <v>ZAPI-60</v>
      </c>
      <c r="C652" s="26" t="str">
        <f>IFERROR(__xludf.DUMMYFUNCTION("""COMPUTED_VALUE"""),"As a meeting administrator, I can designate meeting/webinar roles (e.g. co-hosts) and customize display names (e.g. Impetus Support [Fname Lname])")</f>
        <v>As a meeting administrator, I can designate meeting/webinar roles (e.g. co-hosts) and customize display names (e.g. Impetus Support [Fname Lname])</v>
      </c>
      <c r="D652" s="28">
        <f>IFERROR(__xludf.DUMMYFUNCTION("""COMPUTED_VALUE"""),4.0)</f>
        <v>4</v>
      </c>
      <c r="E652" s="29">
        <f>IFERROR(__xludf.DUMMYFUNCTION("""COMPUTED_VALUE"""),44048.33333333333)</f>
        <v>44048.33333</v>
      </c>
      <c r="F652" s="26" t="str">
        <f>IFERROR(__xludf.DUMMYFUNCTION("""COMPUTED_VALUE"""),"5e95be7f18b8ed0c0f5adb36")</f>
        <v>5e95be7f18b8ed0c0f5adb36</v>
      </c>
      <c r="G652" s="26" t="str">
        <f>IFERROR(__xludf.DUMMYFUNCTION("""COMPUTED_VALUE"""),"Frantisek Trusa")</f>
        <v>Frantisek Trusa</v>
      </c>
      <c r="H652" s="26" t="b">
        <v>0</v>
      </c>
    </row>
    <row r="653" hidden="1">
      <c r="A653" s="26" t="str">
        <f>VLOOKUP(B653,'2020 SRED (JIRA) - Issues and l'!$B:$C,2,FALSE)</f>
        <v>insite-event-SRED</v>
      </c>
      <c r="B653" s="27" t="str">
        <f>IFERROR(__xludf.DUMMYFUNCTION("""COMPUTED_VALUE"""),"ZAPI-60")</f>
        <v>ZAPI-60</v>
      </c>
      <c r="C653" s="26" t="str">
        <f>IFERROR(__xludf.DUMMYFUNCTION("""COMPUTED_VALUE"""),"As a meeting administrator, I can designate meeting/webinar roles (e.g. co-hosts) and customize display names (e.g. Impetus Support [Fname Lname])")</f>
        <v>As a meeting administrator, I can designate meeting/webinar roles (e.g. co-hosts) and customize display names (e.g. Impetus Support [Fname Lname])</v>
      </c>
      <c r="D653" s="28">
        <f>IFERROR(__xludf.DUMMYFUNCTION("""COMPUTED_VALUE"""),4.0)</f>
        <v>4</v>
      </c>
      <c r="E653" s="29">
        <f>IFERROR(__xludf.DUMMYFUNCTION("""COMPUTED_VALUE"""),44048.54166666667)</f>
        <v>44048.54167</v>
      </c>
      <c r="F653" s="26" t="str">
        <f>IFERROR(__xludf.DUMMYFUNCTION("""COMPUTED_VALUE"""),"5e95be7f18b8ed0c0f5adb36")</f>
        <v>5e95be7f18b8ed0c0f5adb36</v>
      </c>
      <c r="G653" s="26" t="str">
        <f>IFERROR(__xludf.DUMMYFUNCTION("""COMPUTED_VALUE"""),"Frantisek Trusa")</f>
        <v>Frantisek Trusa</v>
      </c>
      <c r="H653" s="26" t="b">
        <v>0</v>
      </c>
    </row>
    <row r="654" hidden="1">
      <c r="A654" s="26" t="str">
        <f>VLOOKUP(B654,'2020 SRED (JIRA) - Issues and l'!$B:$C,2,FALSE)</f>
        <v>portal-builder-SRED</v>
      </c>
      <c r="B654" s="27" t="str">
        <f>IFERROR(__xludf.DUMMYFUNCTION("""COMPUTED_VALUE"""),"ITP-1819")</f>
        <v>ITP-1819</v>
      </c>
      <c r="C654" s="26" t="str">
        <f>IFERROR(__xludf.DUMMYFUNCTION("""COMPUTED_VALUE"""),"Set up one-time login password creation process")</f>
        <v>Set up one-time login password creation process</v>
      </c>
      <c r="D654" s="28">
        <f>IFERROR(__xludf.DUMMYFUNCTION("""COMPUTED_VALUE"""),0.416666666666666)</f>
        <v>0.4166666667</v>
      </c>
      <c r="E654" s="29">
        <f>IFERROR(__xludf.DUMMYFUNCTION("""COMPUTED_VALUE"""),44048.68611111111)</f>
        <v>44048.68611</v>
      </c>
      <c r="F654" s="26" t="str">
        <f>IFERROR(__xludf.DUMMYFUNCTION("""COMPUTED_VALUE"""),"557058:f55c62b5-dc7e-41e5-b0f8-231ca9f23470")</f>
        <v>557058:f55c62b5-dc7e-41e5-b0f8-231ca9f23470</v>
      </c>
      <c r="G654" s="26" t="str">
        <f>IFERROR(__xludf.DUMMYFUNCTION("""COMPUTED_VALUE"""),"Holly Lam")</f>
        <v>Holly Lam</v>
      </c>
      <c r="H654" s="26" t="b">
        <v>0</v>
      </c>
    </row>
    <row r="655" hidden="1">
      <c r="A655" s="26" t="str">
        <f>VLOOKUP(B655,'2020 SRED (JIRA) - Issues and l'!$B:$C,2,FALSE)</f>
        <v>portal-builder-SRED</v>
      </c>
      <c r="B655" s="27" t="str">
        <f>IFERROR(__xludf.DUMMYFUNCTION("""COMPUTED_VALUE"""),"ITP-1819")</f>
        <v>ITP-1819</v>
      </c>
      <c r="C655" s="26" t="str">
        <f>IFERROR(__xludf.DUMMYFUNCTION("""COMPUTED_VALUE"""),"Set up one-time login password creation process")</f>
        <v>Set up one-time login password creation process</v>
      </c>
      <c r="D655" s="28">
        <f>IFERROR(__xludf.DUMMYFUNCTION("""COMPUTED_VALUE"""),0.65)</f>
        <v>0.65</v>
      </c>
      <c r="E655" s="29">
        <f>IFERROR(__xludf.DUMMYFUNCTION("""COMPUTED_VALUE"""),44049.0)</f>
        <v>44049</v>
      </c>
      <c r="F655" s="26" t="str">
        <f>IFERROR(__xludf.DUMMYFUNCTION("""COMPUTED_VALUE"""),"557058:3124a1f0-e92a-405c-93f2-c1d4e621bc77")</f>
        <v>557058:3124a1f0-e92a-405c-93f2-c1d4e621bc77</v>
      </c>
      <c r="G655" s="26" t="str">
        <f>IFERROR(__xludf.DUMMYFUNCTION("""COMPUTED_VALUE"""),"Trevor Coehoorn")</f>
        <v>Trevor Coehoorn</v>
      </c>
      <c r="H655" s="26" t="b">
        <v>0</v>
      </c>
    </row>
    <row r="656" hidden="1">
      <c r="A656" s="26" t="str">
        <f>VLOOKUP(B656,'2020 SRED (JIRA) - Issues and l'!$B:$C,2,FALSE)</f>
        <v>insite-event-SRED</v>
      </c>
      <c r="B656" s="27" t="str">
        <f>IFERROR(__xludf.DUMMYFUNCTION("""COMPUTED_VALUE"""),"ZAPI-6")</f>
        <v>ZAPI-6</v>
      </c>
      <c r="C656" s="26" t="str">
        <f>IFERROR(__xludf.DUMMYFUNCTION("""COMPUTED_VALUE"""),"Zoom API v2 (Registration Flow and Reporting)")</f>
        <v>Zoom API v2 (Registration Flow and Reporting)</v>
      </c>
      <c r="D656" s="28">
        <f>IFERROR(__xludf.DUMMYFUNCTION("""COMPUTED_VALUE"""),0.4)</f>
        <v>0.4</v>
      </c>
      <c r="E656" s="29">
        <f>IFERROR(__xludf.DUMMYFUNCTION("""COMPUTED_VALUE"""),44049.0)</f>
        <v>44049</v>
      </c>
      <c r="F656" s="26" t="str">
        <f>IFERROR(__xludf.DUMMYFUNCTION("""COMPUTED_VALUE"""),"557058:3124a1f0-e92a-405c-93f2-c1d4e621bc77")</f>
        <v>557058:3124a1f0-e92a-405c-93f2-c1d4e621bc77</v>
      </c>
      <c r="G656" s="26" t="str">
        <f>IFERROR(__xludf.DUMMYFUNCTION("""COMPUTED_VALUE"""),"Trevor Coehoorn")</f>
        <v>Trevor Coehoorn</v>
      </c>
      <c r="H656" s="26" t="b">
        <v>0</v>
      </c>
    </row>
    <row r="657" hidden="1">
      <c r="A657" s="26" t="str">
        <f>VLOOKUP(B657,'2020 SRED (JIRA) - Issues and l'!$B:$C,2,FALSE)</f>
        <v>insite-workflow-SRED</v>
      </c>
      <c r="B657" s="27" t="str">
        <f>IFERROR(__xludf.DUMMYFUNCTION("""COMPUTED_VALUE"""),"APPS-334")</f>
        <v>APPS-334</v>
      </c>
      <c r="C657" s="26" t="str">
        <f>IFERROR(__xludf.DUMMYFUNCTION("""COMPUTED_VALUE"""),"Complete validation screens")</f>
        <v>Complete validation screens</v>
      </c>
      <c r="D657" s="28">
        <f>IFERROR(__xludf.DUMMYFUNCTION("""COMPUTED_VALUE"""),5.0)</f>
        <v>5</v>
      </c>
      <c r="E657" s="29">
        <f>IFERROR(__xludf.DUMMYFUNCTION("""COMPUTED_VALUE"""),44049.0)</f>
        <v>44049</v>
      </c>
      <c r="F657" s="26" t="str">
        <f>IFERROR(__xludf.DUMMYFUNCTION("""COMPUTED_VALUE"""),"5ee7b6ce868ce30ac49e2521")</f>
        <v>5ee7b6ce868ce30ac49e2521</v>
      </c>
      <c r="G657" s="26" t="str">
        <f>IFERROR(__xludf.DUMMYFUNCTION("""COMPUTED_VALUE"""),"Bryan Le")</f>
        <v>Bryan Le</v>
      </c>
      <c r="H657" s="26" t="b">
        <v>0</v>
      </c>
    </row>
    <row r="658" hidden="1">
      <c r="A658" s="26" t="str">
        <f>VLOOKUP(B658,'2020 SRED (JIRA) - Issues and l'!$B:$C,2,FALSE)</f>
        <v>insite-workflow-SRED</v>
      </c>
      <c r="B658" s="27" t="str">
        <f>IFERROR(__xludf.DUMMYFUNCTION("""COMPUTED_VALUE"""),"APPS-337")</f>
        <v>APPS-337</v>
      </c>
      <c r="C658" s="26" t="str">
        <f>IFERROR(__xludf.DUMMYFUNCTION("""COMPUTED_VALUE"""),"Do research on ""App version""")</f>
        <v>Do research on "App version"</v>
      </c>
      <c r="D658" s="28">
        <f>IFERROR(__xludf.DUMMYFUNCTION("""COMPUTED_VALUE"""),2.0)</f>
        <v>2</v>
      </c>
      <c r="E658" s="29">
        <f>IFERROR(__xludf.DUMMYFUNCTION("""COMPUTED_VALUE"""),44049.0)</f>
        <v>44049</v>
      </c>
      <c r="F658" s="26" t="str">
        <f>IFERROR(__xludf.DUMMYFUNCTION("""COMPUTED_VALUE"""),"5ee7b6ce868ce30ac49e2521")</f>
        <v>5ee7b6ce868ce30ac49e2521</v>
      </c>
      <c r="G658" s="26" t="str">
        <f>IFERROR(__xludf.DUMMYFUNCTION("""COMPUTED_VALUE"""),"Bryan Le")</f>
        <v>Bryan Le</v>
      </c>
      <c r="H658" s="26" t="b">
        <v>0</v>
      </c>
    </row>
    <row r="659" hidden="1">
      <c r="A659" s="26" t="str">
        <f>VLOOKUP(B659,'2020 SRED (JIRA) - Issues and l'!$B:$C,2,FALSE)</f>
        <v>insite-workflow-SRED</v>
      </c>
      <c r="B659" s="27" t="str">
        <f>IFERROR(__xludf.DUMMYFUNCTION("""COMPUTED_VALUE"""),"APPS-341")</f>
        <v>APPS-341</v>
      </c>
      <c r="C659" s="26" t="str">
        <f>IFERROR(__xludf.DUMMYFUNCTION("""COMPUTED_VALUE"""),"As a salesperson, I can view the projects a contact is the client lead for")</f>
        <v>As a salesperson, I can view the projects a contact is the client lead for</v>
      </c>
      <c r="D659" s="28">
        <f>IFERROR(__xludf.DUMMYFUNCTION("""COMPUTED_VALUE"""),8.0)</f>
        <v>8</v>
      </c>
      <c r="E659" s="29">
        <f>IFERROR(__xludf.DUMMYFUNCTION("""COMPUTED_VALUE"""),44049.0)</f>
        <v>44049</v>
      </c>
      <c r="F659" s="26" t="str">
        <f>IFERROR(__xludf.DUMMYFUNCTION("""COMPUTED_VALUE"""),"5ee7b6cf02b4400ac4b65399")</f>
        <v>5ee7b6cf02b4400ac4b65399</v>
      </c>
      <c r="G659" s="26" t="str">
        <f>IFERROR(__xludf.DUMMYFUNCTION("""COMPUTED_VALUE"""),"Jessica Obando")</f>
        <v>Jessica Obando</v>
      </c>
      <c r="H659" s="26" t="b">
        <v>0</v>
      </c>
    </row>
    <row r="660" hidden="1">
      <c r="A660" s="26" t="str">
        <f>VLOOKUP(B660,'2020 SRED (JIRA) - Issues and l'!$B:$C,2,FALSE)</f>
        <v>insite-event-SRED</v>
      </c>
      <c r="B660" s="27" t="str">
        <f>IFERROR(__xludf.DUMMYFUNCTION("""COMPUTED_VALUE"""),"ZAPI-60")</f>
        <v>ZAPI-60</v>
      </c>
      <c r="C660" s="26" t="str">
        <f>IFERROR(__xludf.DUMMYFUNCTION("""COMPUTED_VALUE"""),"As a meeting administrator, I can designate meeting/webinar roles (e.g. co-hosts) and customize display names (e.g. Impetus Support [Fname Lname])")</f>
        <v>As a meeting administrator, I can designate meeting/webinar roles (e.g. co-hosts) and customize display names (e.g. Impetus Support [Fname Lname])</v>
      </c>
      <c r="D660" s="28">
        <f>IFERROR(__xludf.DUMMYFUNCTION("""COMPUTED_VALUE"""),4.0)</f>
        <v>4</v>
      </c>
      <c r="E660" s="29">
        <f>IFERROR(__xludf.DUMMYFUNCTION("""COMPUTED_VALUE"""),44049.33333333333)</f>
        <v>44049.33333</v>
      </c>
      <c r="F660" s="26" t="str">
        <f>IFERROR(__xludf.DUMMYFUNCTION("""COMPUTED_VALUE"""),"5e95be7f18b8ed0c0f5adb36")</f>
        <v>5e95be7f18b8ed0c0f5adb36</v>
      </c>
      <c r="G660" s="26" t="str">
        <f>IFERROR(__xludf.DUMMYFUNCTION("""COMPUTED_VALUE"""),"Frantisek Trusa")</f>
        <v>Frantisek Trusa</v>
      </c>
      <c r="H660" s="26" t="b">
        <v>0</v>
      </c>
    </row>
    <row r="661" hidden="1">
      <c r="A661" s="26" t="str">
        <f>VLOOKUP(B661,'2020 SRED (JIRA) - Issues and l'!$B:$C,2,FALSE)</f>
        <v>insite-event-SRED</v>
      </c>
      <c r="B661" s="27" t="str">
        <f>IFERROR(__xludf.DUMMYFUNCTION("""COMPUTED_VALUE"""),"ZAPI-60")</f>
        <v>ZAPI-60</v>
      </c>
      <c r="C661" s="26" t="str">
        <f>IFERROR(__xludf.DUMMYFUNCTION("""COMPUTED_VALUE"""),"As a meeting administrator, I can designate meeting/webinar roles (e.g. co-hosts) and customize display names (e.g. Impetus Support [Fname Lname])")</f>
        <v>As a meeting administrator, I can designate meeting/webinar roles (e.g. co-hosts) and customize display names (e.g. Impetus Support [Fname Lname])</v>
      </c>
      <c r="D661" s="28">
        <f>IFERROR(__xludf.DUMMYFUNCTION("""COMPUTED_VALUE"""),4.0)</f>
        <v>4</v>
      </c>
      <c r="E661" s="29">
        <f>IFERROR(__xludf.DUMMYFUNCTION("""COMPUTED_VALUE"""),44049.54166666667)</f>
        <v>44049.54167</v>
      </c>
      <c r="F661" s="26" t="str">
        <f>IFERROR(__xludf.DUMMYFUNCTION("""COMPUTED_VALUE"""),"5e95be7f18b8ed0c0f5adb36")</f>
        <v>5e95be7f18b8ed0c0f5adb36</v>
      </c>
      <c r="G661" s="26" t="str">
        <f>IFERROR(__xludf.DUMMYFUNCTION("""COMPUTED_VALUE"""),"Frantisek Trusa")</f>
        <v>Frantisek Trusa</v>
      </c>
      <c r="H661" s="26" t="b">
        <v>0</v>
      </c>
    </row>
    <row r="662" hidden="1">
      <c r="A662" s="26" t="str">
        <f>VLOOKUP(B662,'2020 SRED (JIRA) - Issues and l'!$B:$C,2,FALSE)</f>
        <v>portal-builder-SRED</v>
      </c>
      <c r="B662" s="27" t="str">
        <f>IFERROR(__xludf.DUMMYFUNCTION("""COMPUTED_VALUE"""),"ITP-1845")</f>
        <v>ITP-1845</v>
      </c>
      <c r="C662" s="26" t="str">
        <f>IFERROR(__xludf.DUMMYFUNCTION("""COMPUTED_VALUE"""),"Increase the rating and ranking option maximum length")</f>
        <v>Increase the rating and ranking option maximum length</v>
      </c>
      <c r="D662" s="28">
        <f>IFERROR(__xludf.DUMMYFUNCTION("""COMPUTED_VALUE"""),0.0833333333333333)</f>
        <v>0.08333333333</v>
      </c>
      <c r="E662" s="29">
        <f>IFERROR(__xludf.DUMMYFUNCTION("""COMPUTED_VALUE"""),44050.0)</f>
        <v>44050</v>
      </c>
      <c r="F662" s="26" t="str">
        <f>IFERROR(__xludf.DUMMYFUNCTION("""COMPUTED_VALUE"""),"557058:3124a1f0-e92a-405c-93f2-c1d4e621bc77")</f>
        <v>557058:3124a1f0-e92a-405c-93f2-c1d4e621bc77</v>
      </c>
      <c r="G662" s="26" t="str">
        <f>IFERROR(__xludf.DUMMYFUNCTION("""COMPUTED_VALUE"""),"Trevor Coehoorn")</f>
        <v>Trevor Coehoorn</v>
      </c>
      <c r="H662" s="26" t="b">
        <v>0</v>
      </c>
    </row>
    <row r="663" hidden="1">
      <c r="A663" s="26" t="str">
        <f>VLOOKUP(B663,'2020 SRED (JIRA) - Issues and l'!$B:$C,2,FALSE)</f>
        <v>portal-builder-SRED</v>
      </c>
      <c r="B663" s="27" t="str">
        <f>IFERROR(__xludf.DUMMYFUNCTION("""COMPUTED_VALUE"""),"ITP-1819")</f>
        <v>ITP-1819</v>
      </c>
      <c r="C663" s="26" t="str">
        <f>IFERROR(__xludf.DUMMYFUNCTION("""COMPUTED_VALUE"""),"Set up one-time login password creation process")</f>
        <v>Set up one-time login password creation process</v>
      </c>
      <c r="D663" s="28">
        <f>IFERROR(__xludf.DUMMYFUNCTION("""COMPUTED_VALUE"""),0.333333333333333)</f>
        <v>0.3333333333</v>
      </c>
      <c r="E663" s="29">
        <f>IFERROR(__xludf.DUMMYFUNCTION("""COMPUTED_VALUE"""),44050.0)</f>
        <v>44050</v>
      </c>
      <c r="F663" s="26" t="str">
        <f>IFERROR(__xludf.DUMMYFUNCTION("""COMPUTED_VALUE"""),"557058:73c9cac1-5a92-492c-86e8-838810ee0dde")</f>
        <v>557058:73c9cac1-5a92-492c-86e8-838810ee0dde</v>
      </c>
      <c r="G663" s="26" t="str">
        <f>IFERROR(__xludf.DUMMYFUNCTION("""COMPUTED_VALUE"""),"Dan Wells")</f>
        <v>Dan Wells</v>
      </c>
      <c r="H663" s="26" t="b">
        <v>0</v>
      </c>
    </row>
    <row r="664" hidden="1">
      <c r="A664" s="26" t="str">
        <f>VLOOKUP(B664,'2020 SRED (JIRA) - Issues and l'!$B:$C,2,FALSE)</f>
        <v>portal-builder-SRED</v>
      </c>
      <c r="B664" s="27" t="str">
        <f>IFERROR(__xludf.DUMMYFUNCTION("""COMPUTED_VALUE"""),"ITP-1845")</f>
        <v>ITP-1845</v>
      </c>
      <c r="C664" s="26" t="str">
        <f>IFERROR(__xludf.DUMMYFUNCTION("""COMPUTED_VALUE"""),"Increase the rating and ranking option maximum length")</f>
        <v>Increase the rating and ranking option maximum length</v>
      </c>
      <c r="D664" s="28">
        <f>IFERROR(__xludf.DUMMYFUNCTION("""COMPUTED_VALUE"""),0.833333333333333)</f>
        <v>0.8333333333</v>
      </c>
      <c r="E664" s="29">
        <f>IFERROR(__xludf.DUMMYFUNCTION("""COMPUTED_VALUE"""),44050.0)</f>
        <v>44050</v>
      </c>
      <c r="F664" s="26" t="str">
        <f>IFERROR(__xludf.DUMMYFUNCTION("""COMPUTED_VALUE"""),"557058:73c9cac1-5a92-492c-86e8-838810ee0dde")</f>
        <v>557058:73c9cac1-5a92-492c-86e8-838810ee0dde</v>
      </c>
      <c r="G664" s="26" t="str">
        <f>IFERROR(__xludf.DUMMYFUNCTION("""COMPUTED_VALUE"""),"Dan Wells")</f>
        <v>Dan Wells</v>
      </c>
      <c r="H664" s="26" t="b">
        <v>0</v>
      </c>
    </row>
    <row r="665" hidden="1">
      <c r="A665" s="26" t="str">
        <f>VLOOKUP(B665,'2020 SRED (JIRA) - Issues and l'!$B:$C,2,FALSE)</f>
        <v>insite-workflow-SRED</v>
      </c>
      <c r="B665" s="27" t="str">
        <f>IFERROR(__xludf.DUMMYFUNCTION("""COMPUTED_VALUE"""),"APPS-336")</f>
        <v>APPS-336</v>
      </c>
      <c r="C665" s="26" t="str">
        <f>IFERROR(__xludf.DUMMYFUNCTION("""COMPUTED_VALUE"""),"Apply security filter to SVT and AVT tables ")</f>
        <v>Apply security filter to SVT and AVT tables </v>
      </c>
      <c r="D665" s="28">
        <f>IFERROR(__xludf.DUMMYFUNCTION("""COMPUTED_VALUE"""),5.0)</f>
        <v>5</v>
      </c>
      <c r="E665" s="29">
        <f>IFERROR(__xludf.DUMMYFUNCTION("""COMPUTED_VALUE"""),44050.0)</f>
        <v>44050</v>
      </c>
      <c r="F665" s="26" t="str">
        <f>IFERROR(__xludf.DUMMYFUNCTION("""COMPUTED_VALUE"""),"5ee7b6ce868ce30ac49e2521")</f>
        <v>5ee7b6ce868ce30ac49e2521</v>
      </c>
      <c r="G665" s="26" t="str">
        <f>IFERROR(__xludf.DUMMYFUNCTION("""COMPUTED_VALUE"""),"Bryan Le")</f>
        <v>Bryan Le</v>
      </c>
      <c r="H665" s="26" t="b">
        <v>0</v>
      </c>
    </row>
    <row r="666" hidden="1">
      <c r="A666" s="26" t="str">
        <f>VLOOKUP(B666,'2020 SRED (JIRA) - Issues and l'!$B:$C,2,FALSE)</f>
        <v>insite-workflow-SRED</v>
      </c>
      <c r="B666" s="27" t="str">
        <f>IFERROR(__xludf.DUMMYFUNCTION("""COMPUTED_VALUE"""),"APPS-334")</f>
        <v>APPS-334</v>
      </c>
      <c r="C666" s="26" t="str">
        <f>IFERROR(__xludf.DUMMYFUNCTION("""COMPUTED_VALUE"""),"Complete validation screens")</f>
        <v>Complete validation screens</v>
      </c>
      <c r="D666" s="28">
        <f>IFERROR(__xludf.DUMMYFUNCTION("""COMPUTED_VALUE"""),2.0)</f>
        <v>2</v>
      </c>
      <c r="E666" s="29">
        <f>IFERROR(__xludf.DUMMYFUNCTION("""COMPUTED_VALUE"""),44050.0)</f>
        <v>44050</v>
      </c>
      <c r="F666" s="26" t="str">
        <f>IFERROR(__xludf.DUMMYFUNCTION("""COMPUTED_VALUE"""),"5ee7b6ce868ce30ac49e2521")</f>
        <v>5ee7b6ce868ce30ac49e2521</v>
      </c>
      <c r="G666" s="26" t="str">
        <f>IFERROR(__xludf.DUMMYFUNCTION("""COMPUTED_VALUE"""),"Bryan Le")</f>
        <v>Bryan Le</v>
      </c>
      <c r="H666" s="26" t="b">
        <v>0</v>
      </c>
    </row>
    <row r="667" hidden="1">
      <c r="A667" s="26" t="str">
        <f>VLOOKUP(B667,'2020 SRED (JIRA) - Issues and l'!$B:$C,2,FALSE)</f>
        <v>insite-workflow-SRED</v>
      </c>
      <c r="B667" s="27" t="str">
        <f>IFERROR(__xludf.DUMMYFUNCTION("""COMPUTED_VALUE"""),"APPS-341")</f>
        <v>APPS-341</v>
      </c>
      <c r="C667" s="26" t="str">
        <f>IFERROR(__xludf.DUMMYFUNCTION("""COMPUTED_VALUE"""),"As a salesperson, I can view the projects a contact is the client lead for")</f>
        <v>As a salesperson, I can view the projects a contact is the client lead for</v>
      </c>
      <c r="D667" s="28">
        <f>IFERROR(__xludf.DUMMYFUNCTION("""COMPUTED_VALUE"""),7.0)</f>
        <v>7</v>
      </c>
      <c r="E667" s="29">
        <f>IFERROR(__xludf.DUMMYFUNCTION("""COMPUTED_VALUE"""),44050.0)</f>
        <v>44050</v>
      </c>
      <c r="F667" s="26" t="str">
        <f>IFERROR(__xludf.DUMMYFUNCTION("""COMPUTED_VALUE"""),"5ee7b6cf02b4400ac4b65399")</f>
        <v>5ee7b6cf02b4400ac4b65399</v>
      </c>
      <c r="G667" s="26" t="str">
        <f>IFERROR(__xludf.DUMMYFUNCTION("""COMPUTED_VALUE"""),"Jessica Obando")</f>
        <v>Jessica Obando</v>
      </c>
      <c r="H667" s="26" t="b">
        <v>0</v>
      </c>
    </row>
    <row r="668" hidden="1">
      <c r="A668" s="26" t="str">
        <f>VLOOKUP(B668,'2020 SRED (JIRA) - Issues and l'!$B:$C,2,FALSE)</f>
        <v>insite-event-SRED</v>
      </c>
      <c r="B668" s="27" t="str">
        <f>IFERROR(__xludf.DUMMYFUNCTION("""COMPUTED_VALUE"""),"ZAPI-60")</f>
        <v>ZAPI-60</v>
      </c>
      <c r="C668" s="26" t="str">
        <f>IFERROR(__xludf.DUMMYFUNCTION("""COMPUTED_VALUE"""),"As a meeting administrator, I can designate meeting/webinar roles (e.g. co-hosts) and customize display names (e.g. Impetus Support [Fname Lname])")</f>
        <v>As a meeting administrator, I can designate meeting/webinar roles (e.g. co-hosts) and customize display names (e.g. Impetus Support [Fname Lname])</v>
      </c>
      <c r="D668" s="28">
        <f>IFERROR(__xludf.DUMMYFUNCTION("""COMPUTED_VALUE"""),4.0)</f>
        <v>4</v>
      </c>
      <c r="E668" s="29">
        <f>IFERROR(__xludf.DUMMYFUNCTION("""COMPUTED_VALUE"""),44050.33333333333)</f>
        <v>44050.33333</v>
      </c>
      <c r="F668" s="26" t="str">
        <f>IFERROR(__xludf.DUMMYFUNCTION("""COMPUTED_VALUE"""),"5e95be7f18b8ed0c0f5adb36")</f>
        <v>5e95be7f18b8ed0c0f5adb36</v>
      </c>
      <c r="G668" s="26" t="str">
        <f>IFERROR(__xludf.DUMMYFUNCTION("""COMPUTED_VALUE"""),"Frantisek Trusa")</f>
        <v>Frantisek Trusa</v>
      </c>
      <c r="H668" s="26" t="b">
        <v>0</v>
      </c>
    </row>
    <row r="669" hidden="1">
      <c r="A669" s="26" t="str">
        <f>VLOOKUP(B669,'2020 SRED (JIRA) - Issues and l'!$B:$C,2,FALSE)</f>
        <v>insite-event-SRED</v>
      </c>
      <c r="B669" s="27" t="str">
        <f>IFERROR(__xludf.DUMMYFUNCTION("""COMPUTED_VALUE"""),"ZAPI-60")</f>
        <v>ZAPI-60</v>
      </c>
      <c r="C669" s="26" t="str">
        <f>IFERROR(__xludf.DUMMYFUNCTION("""COMPUTED_VALUE"""),"As a meeting administrator, I can designate meeting/webinar roles (e.g. co-hosts) and customize display names (e.g. Impetus Support [Fname Lname])")</f>
        <v>As a meeting administrator, I can designate meeting/webinar roles (e.g. co-hosts) and customize display names (e.g. Impetus Support [Fname Lname])</v>
      </c>
      <c r="D669" s="28">
        <f>IFERROR(__xludf.DUMMYFUNCTION("""COMPUTED_VALUE"""),4.0)</f>
        <v>4</v>
      </c>
      <c r="E669" s="29">
        <f>IFERROR(__xludf.DUMMYFUNCTION("""COMPUTED_VALUE"""),44050.54166666667)</f>
        <v>44050.54167</v>
      </c>
      <c r="F669" s="26" t="str">
        <f>IFERROR(__xludf.DUMMYFUNCTION("""COMPUTED_VALUE"""),"5e95be7f18b8ed0c0f5adb36")</f>
        <v>5e95be7f18b8ed0c0f5adb36</v>
      </c>
      <c r="G669" s="26" t="str">
        <f>IFERROR(__xludf.DUMMYFUNCTION("""COMPUTED_VALUE"""),"Frantisek Trusa")</f>
        <v>Frantisek Trusa</v>
      </c>
      <c r="H669" s="26" t="b">
        <v>0</v>
      </c>
    </row>
    <row r="670" hidden="1">
      <c r="A670" s="26" t="str">
        <f>VLOOKUP(B670,'2020 SRED (JIRA) - Issues and l'!$B:$C,2,FALSE)</f>
        <v>insite-event-SRED</v>
      </c>
      <c r="B670" s="27" t="str">
        <f>IFERROR(__xludf.DUMMYFUNCTION("""COMPUTED_VALUE"""),"ZAPI-60")</f>
        <v>ZAPI-60</v>
      </c>
      <c r="C670" s="26" t="str">
        <f>IFERROR(__xludf.DUMMYFUNCTION("""COMPUTED_VALUE"""),"As a meeting administrator, I can designate meeting/webinar roles (e.g. co-hosts) and customize display names (e.g. Impetus Support [Fname Lname])")</f>
        <v>As a meeting administrator, I can designate meeting/webinar roles (e.g. co-hosts) and customize display names (e.g. Impetus Support [Fname Lname])</v>
      </c>
      <c r="D670" s="28">
        <f>IFERROR(__xludf.DUMMYFUNCTION("""COMPUTED_VALUE"""),0.266666666666666)</f>
        <v>0.2666666667</v>
      </c>
      <c r="E670" s="29">
        <f>IFERROR(__xludf.DUMMYFUNCTION("""COMPUTED_VALUE"""),44053.0)</f>
        <v>44053</v>
      </c>
      <c r="F670" s="26" t="str">
        <f>IFERROR(__xludf.DUMMYFUNCTION("""COMPUTED_VALUE"""),"557058:3124a1f0-e92a-405c-93f2-c1d4e621bc77")</f>
        <v>557058:3124a1f0-e92a-405c-93f2-c1d4e621bc77</v>
      </c>
      <c r="G670" s="26" t="str">
        <f>IFERROR(__xludf.DUMMYFUNCTION("""COMPUTED_VALUE"""),"Trevor Coehoorn")</f>
        <v>Trevor Coehoorn</v>
      </c>
      <c r="H670" s="26" t="b">
        <v>0</v>
      </c>
    </row>
    <row r="671" hidden="1">
      <c r="A671" s="26" t="str">
        <f>VLOOKUP(B671,'2020 SRED (JIRA) - Issues and l'!$B:$C,2,FALSE)</f>
        <v>portal-builder-SRED</v>
      </c>
      <c r="B671" s="27" t="str">
        <f>IFERROR(__xludf.DUMMYFUNCTION("""COMPUTED_VALUE"""),"ITP-1845")</f>
        <v>ITP-1845</v>
      </c>
      <c r="C671" s="26" t="str">
        <f>IFERROR(__xludf.DUMMYFUNCTION("""COMPUTED_VALUE"""),"Increase the rating and ranking option maximum length")</f>
        <v>Increase the rating and ranking option maximum length</v>
      </c>
      <c r="D671" s="28">
        <f>IFERROR(__xludf.DUMMYFUNCTION("""COMPUTED_VALUE"""),0.5)</f>
        <v>0.5</v>
      </c>
      <c r="E671" s="29">
        <f>IFERROR(__xludf.DUMMYFUNCTION("""COMPUTED_VALUE"""),44053.0)</f>
        <v>44053</v>
      </c>
      <c r="F671" s="26" t="str">
        <f>IFERROR(__xludf.DUMMYFUNCTION("""COMPUTED_VALUE"""),"557058:3124a1f0-e92a-405c-93f2-c1d4e621bc77")</f>
        <v>557058:3124a1f0-e92a-405c-93f2-c1d4e621bc77</v>
      </c>
      <c r="G671" s="26" t="str">
        <f>IFERROR(__xludf.DUMMYFUNCTION("""COMPUTED_VALUE"""),"Trevor Coehoorn")</f>
        <v>Trevor Coehoorn</v>
      </c>
      <c r="H671" s="26" t="b">
        <v>0</v>
      </c>
    </row>
    <row r="672" hidden="1">
      <c r="A672" s="26" t="str">
        <f>VLOOKUP(B672,'2020 SRED (JIRA) - Issues and l'!$B:$C,2,FALSE)</f>
        <v>insite-event-SRED</v>
      </c>
      <c r="B672" s="27" t="str">
        <f>IFERROR(__xludf.DUMMYFUNCTION("""COMPUTED_VALUE"""),"ZAPI-6")</f>
        <v>ZAPI-6</v>
      </c>
      <c r="C672" s="26" t="str">
        <f>IFERROR(__xludf.DUMMYFUNCTION("""COMPUTED_VALUE"""),"Zoom API v2 (Registration Flow and Reporting)")</f>
        <v>Zoom API v2 (Registration Flow and Reporting)</v>
      </c>
      <c r="D672" s="28">
        <f>IFERROR(__xludf.DUMMYFUNCTION("""COMPUTED_VALUE"""),0.5)</f>
        <v>0.5</v>
      </c>
      <c r="E672" s="29">
        <f>IFERROR(__xludf.DUMMYFUNCTION("""COMPUTED_VALUE"""),44053.0)</f>
        <v>44053</v>
      </c>
      <c r="F672" s="26" t="str">
        <f>IFERROR(__xludf.DUMMYFUNCTION("""COMPUTED_VALUE"""),"557058:3124a1f0-e92a-405c-93f2-c1d4e621bc77")</f>
        <v>557058:3124a1f0-e92a-405c-93f2-c1d4e621bc77</v>
      </c>
      <c r="G672" s="26" t="str">
        <f>IFERROR(__xludf.DUMMYFUNCTION("""COMPUTED_VALUE"""),"Trevor Coehoorn")</f>
        <v>Trevor Coehoorn</v>
      </c>
      <c r="H672" s="26" t="b">
        <v>0</v>
      </c>
    </row>
    <row r="673" hidden="1">
      <c r="A673" s="26" t="str">
        <f>VLOOKUP(B673,'2020 SRED (JIRA) - Issues and l'!$B:$C,2,FALSE)</f>
        <v>insite-workflow-SRED</v>
      </c>
      <c r="B673" s="27" t="str">
        <f>IFERROR(__xludf.DUMMYFUNCTION("""COMPUTED_VALUE"""),"APPS-331")</f>
        <v>APPS-331</v>
      </c>
      <c r="C673" s="26" t="str">
        <f>IFERROR(__xludf.DUMMYFUNCTION("""COMPUTED_VALUE"""),"As a client, I am prompted to enter my email before filling out my SVT/AVT intake form")</f>
        <v>As a client, I am prompted to enter my email before filling out my SVT/AVT intake form</v>
      </c>
      <c r="D673" s="28">
        <f>IFERROR(__xludf.DUMMYFUNCTION("""COMPUTED_VALUE"""),7.0)</f>
        <v>7</v>
      </c>
      <c r="E673" s="29">
        <f>IFERROR(__xludf.DUMMYFUNCTION("""COMPUTED_VALUE"""),44053.0)</f>
        <v>44053</v>
      </c>
      <c r="F673" s="26" t="str">
        <f>IFERROR(__xludf.DUMMYFUNCTION("""COMPUTED_VALUE"""),"5ee7b6ce868ce30ac49e2521")</f>
        <v>5ee7b6ce868ce30ac49e2521</v>
      </c>
      <c r="G673" s="26" t="str">
        <f>IFERROR(__xludf.DUMMYFUNCTION("""COMPUTED_VALUE"""),"Bryan Le")</f>
        <v>Bryan Le</v>
      </c>
      <c r="H673" s="26" t="b">
        <v>0</v>
      </c>
    </row>
    <row r="674" hidden="1">
      <c r="A674" s="26" t="str">
        <f>VLOOKUP(B674,'2020 SRED (JIRA) - Issues and l'!$B:$C,2,FALSE)</f>
        <v>insite-workflow-SRED</v>
      </c>
      <c r="B674" s="27" t="str">
        <f>IFERROR(__xludf.DUMMYFUNCTION("""COMPUTED_VALUE"""),"APPS-341")</f>
        <v>APPS-341</v>
      </c>
      <c r="C674" s="26" t="str">
        <f>IFERROR(__xludf.DUMMYFUNCTION("""COMPUTED_VALUE"""),"As a salesperson, I can view the projects a contact is the client lead for")</f>
        <v>As a salesperson, I can view the projects a contact is the client lead for</v>
      </c>
      <c r="D674" s="28">
        <f>IFERROR(__xludf.DUMMYFUNCTION("""COMPUTED_VALUE"""),7.0)</f>
        <v>7</v>
      </c>
      <c r="E674" s="29">
        <f>IFERROR(__xludf.DUMMYFUNCTION("""COMPUTED_VALUE"""),44053.0)</f>
        <v>44053</v>
      </c>
      <c r="F674" s="26" t="str">
        <f>IFERROR(__xludf.DUMMYFUNCTION("""COMPUTED_VALUE"""),"5ee7b6cf02b4400ac4b65399")</f>
        <v>5ee7b6cf02b4400ac4b65399</v>
      </c>
      <c r="G674" s="26" t="str">
        <f>IFERROR(__xludf.DUMMYFUNCTION("""COMPUTED_VALUE"""),"Jessica Obando")</f>
        <v>Jessica Obando</v>
      </c>
      <c r="H674" s="26" t="b">
        <v>0</v>
      </c>
    </row>
    <row r="675" hidden="1">
      <c r="A675" s="26" t="str">
        <f>VLOOKUP(B675,'2020 SRED (JIRA) - Issues and l'!$B:$C,2,FALSE)</f>
        <v>insite-event-SRED</v>
      </c>
      <c r="B675" s="27" t="str">
        <f>IFERROR(__xludf.DUMMYFUNCTION("""COMPUTED_VALUE"""),"ZAPI-9")</f>
        <v>ZAPI-9</v>
      </c>
      <c r="C675" s="26" t="str">
        <f>IFERROR(__xludf.DUMMYFUNCTION("""COMPUTED_VALUE"""),"As an attendee, I can register for a meeting/webinar via our new Events portal")</f>
        <v>As an attendee, I can register for a meeting/webinar via our new Events portal</v>
      </c>
      <c r="D675" s="28">
        <f>IFERROR(__xludf.DUMMYFUNCTION("""COMPUTED_VALUE"""),4.0)</f>
        <v>4</v>
      </c>
      <c r="E675" s="29">
        <f>IFERROR(__xludf.DUMMYFUNCTION("""COMPUTED_VALUE"""),44053.33333333333)</f>
        <v>44053.33333</v>
      </c>
      <c r="F675" s="26" t="str">
        <f>IFERROR(__xludf.DUMMYFUNCTION("""COMPUTED_VALUE"""),"5e95be7f18b8ed0c0f5adb36")</f>
        <v>5e95be7f18b8ed0c0f5adb36</v>
      </c>
      <c r="G675" s="26" t="str">
        <f>IFERROR(__xludf.DUMMYFUNCTION("""COMPUTED_VALUE"""),"Frantisek Trusa")</f>
        <v>Frantisek Trusa</v>
      </c>
      <c r="H675" s="26" t="b">
        <v>0</v>
      </c>
    </row>
    <row r="676" hidden="1">
      <c r="A676" s="26" t="str">
        <f>VLOOKUP(B676,'2020 SRED (JIRA) - Issues and l'!$B:$C,2,FALSE)</f>
        <v>insite-event-SRED</v>
      </c>
      <c r="B676" s="27" t="str">
        <f>IFERROR(__xludf.DUMMYFUNCTION("""COMPUTED_VALUE"""),"ZAPI-9")</f>
        <v>ZAPI-9</v>
      </c>
      <c r="C676" s="26" t="str">
        <f>IFERROR(__xludf.DUMMYFUNCTION("""COMPUTED_VALUE"""),"As an attendee, I can register for a meeting/webinar via our new Events portal")</f>
        <v>As an attendee, I can register for a meeting/webinar via our new Events portal</v>
      </c>
      <c r="D676" s="28">
        <f>IFERROR(__xludf.DUMMYFUNCTION("""COMPUTED_VALUE"""),4.0)</f>
        <v>4</v>
      </c>
      <c r="E676" s="29">
        <f>IFERROR(__xludf.DUMMYFUNCTION("""COMPUTED_VALUE"""),44053.54166666667)</f>
        <v>44053.54167</v>
      </c>
      <c r="F676" s="26" t="str">
        <f>IFERROR(__xludf.DUMMYFUNCTION("""COMPUTED_VALUE"""),"5e95be7f18b8ed0c0f5adb36")</f>
        <v>5e95be7f18b8ed0c0f5adb36</v>
      </c>
      <c r="G676" s="26" t="str">
        <f>IFERROR(__xludf.DUMMYFUNCTION("""COMPUTED_VALUE"""),"Frantisek Trusa")</f>
        <v>Frantisek Trusa</v>
      </c>
      <c r="H676" s="26" t="b">
        <v>0</v>
      </c>
    </row>
    <row r="677" hidden="1">
      <c r="A677" s="26" t="str">
        <f>VLOOKUP(B677,'2020 SRED (JIRA) - Issues and l'!$B:$C,2,FALSE)</f>
        <v>insite-workflow-SRED</v>
      </c>
      <c r="B677" s="30" t="str">
        <f>IFERROR(__xludf.DUMMYFUNCTION("""COMPUTED_VALUE"""),"APPS-331")</f>
        <v>APPS-331</v>
      </c>
      <c r="C677" s="26" t="str">
        <f>IFERROR(__xludf.DUMMYFUNCTION("""COMPUTED_VALUE"""),"As a client, I am prompted to enter my email before filling out my SVT/AVT intake form")</f>
        <v>As a client, I am prompted to enter my email before filling out my SVT/AVT intake form</v>
      </c>
      <c r="D677" s="28">
        <f>IFERROR(__xludf.DUMMYFUNCTION("""COMPUTED_VALUE"""),7.0)</f>
        <v>7</v>
      </c>
      <c r="E677" s="29">
        <f>IFERROR(__xludf.DUMMYFUNCTION("""COMPUTED_VALUE"""),44054.0)</f>
        <v>44054</v>
      </c>
      <c r="F677" s="26" t="str">
        <f>IFERROR(__xludf.DUMMYFUNCTION("""COMPUTED_VALUE"""),"5ee7b6ce868ce30ac49e2521")</f>
        <v>5ee7b6ce868ce30ac49e2521</v>
      </c>
      <c r="G677" s="26" t="str">
        <f>IFERROR(__xludf.DUMMYFUNCTION("""COMPUTED_VALUE"""),"Bryan Le")</f>
        <v>Bryan Le</v>
      </c>
      <c r="H677" s="26" t="b">
        <v>0</v>
      </c>
    </row>
    <row r="678" hidden="1">
      <c r="A678" s="26" t="str">
        <f>VLOOKUP(B678,'2020 SRED (JIRA) - Issues and l'!$B:$C,2,FALSE)</f>
        <v>insite-workflow-SRED</v>
      </c>
      <c r="B678" s="27" t="str">
        <f>IFERROR(__xludf.DUMMYFUNCTION("""COMPUTED_VALUE"""),"APPS-342")</f>
        <v>APPS-342</v>
      </c>
      <c r="C678" s="26" t="str">
        <f>IFERROR(__xludf.DUMMYFUNCTION("""COMPUTED_VALUE"""),"As a salesperson, I can add notes to contacts and see interactions from sales opportunities")</f>
        <v>As a salesperson, I can add notes to contacts and see interactions from sales opportunities</v>
      </c>
      <c r="D678" s="28">
        <f>IFERROR(__xludf.DUMMYFUNCTION("""COMPUTED_VALUE"""),5.0)</f>
        <v>5</v>
      </c>
      <c r="E678" s="29">
        <f>IFERROR(__xludf.DUMMYFUNCTION("""COMPUTED_VALUE"""),44054.0)</f>
        <v>44054</v>
      </c>
      <c r="F678" s="26" t="str">
        <f>IFERROR(__xludf.DUMMYFUNCTION("""COMPUTED_VALUE"""),"5ee7b6cf02b4400ac4b65399")</f>
        <v>5ee7b6cf02b4400ac4b65399</v>
      </c>
      <c r="G678" s="26" t="str">
        <f>IFERROR(__xludf.DUMMYFUNCTION("""COMPUTED_VALUE"""),"Jessica Obando")</f>
        <v>Jessica Obando</v>
      </c>
      <c r="H678" s="26" t="b">
        <v>0</v>
      </c>
    </row>
    <row r="679" hidden="1">
      <c r="A679" s="26" t="str">
        <f>VLOOKUP(B679,'2020 SRED (JIRA) - Issues and l'!$B:$C,2,FALSE)</f>
        <v>insite-event-SRED</v>
      </c>
      <c r="B679" s="27" t="str">
        <f>IFERROR(__xludf.DUMMYFUNCTION("""COMPUTED_VALUE"""),"ZAPI-9")</f>
        <v>ZAPI-9</v>
      </c>
      <c r="C679" s="26" t="str">
        <f>IFERROR(__xludf.DUMMYFUNCTION("""COMPUTED_VALUE"""),"As an attendee, I can register for a meeting/webinar via our new Events portal")</f>
        <v>As an attendee, I can register for a meeting/webinar via our new Events portal</v>
      </c>
      <c r="D679" s="28">
        <f>IFERROR(__xludf.DUMMYFUNCTION("""COMPUTED_VALUE"""),4.0)</f>
        <v>4</v>
      </c>
      <c r="E679" s="29">
        <f>IFERROR(__xludf.DUMMYFUNCTION("""COMPUTED_VALUE"""),44054.33333333333)</f>
        <v>44054.33333</v>
      </c>
      <c r="F679" s="26" t="str">
        <f>IFERROR(__xludf.DUMMYFUNCTION("""COMPUTED_VALUE"""),"5e95be7f18b8ed0c0f5adb36")</f>
        <v>5e95be7f18b8ed0c0f5adb36</v>
      </c>
      <c r="G679" s="26" t="str">
        <f>IFERROR(__xludf.DUMMYFUNCTION("""COMPUTED_VALUE"""),"Frantisek Trusa")</f>
        <v>Frantisek Trusa</v>
      </c>
      <c r="H679" s="26" t="b">
        <v>0</v>
      </c>
    </row>
    <row r="680" hidden="1">
      <c r="A680" s="26" t="str">
        <f>VLOOKUP(B680,'2020 SRED (JIRA) - Issues and l'!$B:$C,2,FALSE)</f>
        <v>portal-builder-SRED</v>
      </c>
      <c r="B680" s="27" t="str">
        <f>IFERROR(__xludf.DUMMYFUNCTION("""COMPUTED_VALUE"""),"ITP-1819")</f>
        <v>ITP-1819</v>
      </c>
      <c r="C680" s="26" t="str">
        <f>IFERROR(__xludf.DUMMYFUNCTION("""COMPUTED_VALUE"""),"Set up one-time login password creation process")</f>
        <v>Set up one-time login password creation process</v>
      </c>
      <c r="D680" s="28">
        <f>IFERROR(__xludf.DUMMYFUNCTION("""COMPUTED_VALUE"""),0.25)</f>
        <v>0.25</v>
      </c>
      <c r="E680" s="29">
        <f>IFERROR(__xludf.DUMMYFUNCTION("""COMPUTED_VALUE"""),44054.39583333333)</f>
        <v>44054.39583</v>
      </c>
      <c r="F680" s="26" t="str">
        <f>IFERROR(__xludf.DUMMYFUNCTION("""COMPUTED_VALUE"""),"5e98d69b272c6a0c0e88b806")</f>
        <v>5e98d69b272c6a0c0e88b806</v>
      </c>
      <c r="G680" s="26" t="str">
        <f>IFERROR(__xludf.DUMMYFUNCTION("""COMPUTED_VALUE"""),"Pauline Reyes")</f>
        <v>Pauline Reyes</v>
      </c>
      <c r="H680" s="26" t="b">
        <v>0</v>
      </c>
    </row>
    <row r="681" hidden="1">
      <c r="A681" s="26" t="str">
        <f>VLOOKUP(B681,'2020 SRED (JIRA) - Issues and l'!$B:$C,2,FALSE)</f>
        <v>insite-event-SRED</v>
      </c>
      <c r="B681" s="27" t="str">
        <f>IFERROR(__xludf.DUMMYFUNCTION("""COMPUTED_VALUE"""),"ZAPI-9")</f>
        <v>ZAPI-9</v>
      </c>
      <c r="C681" s="26" t="str">
        <f>IFERROR(__xludf.DUMMYFUNCTION("""COMPUTED_VALUE"""),"As an attendee, I can register for a meeting/webinar via our new Events portal")</f>
        <v>As an attendee, I can register for a meeting/webinar via our new Events portal</v>
      </c>
      <c r="D681" s="28">
        <f>IFERROR(__xludf.DUMMYFUNCTION("""COMPUTED_VALUE"""),4.0)</f>
        <v>4</v>
      </c>
      <c r="E681" s="29">
        <f>IFERROR(__xludf.DUMMYFUNCTION("""COMPUTED_VALUE"""),44054.54166666667)</f>
        <v>44054.54167</v>
      </c>
      <c r="F681" s="26" t="str">
        <f>IFERROR(__xludf.DUMMYFUNCTION("""COMPUTED_VALUE"""),"5e95be7f18b8ed0c0f5adb36")</f>
        <v>5e95be7f18b8ed0c0f5adb36</v>
      </c>
      <c r="G681" s="26" t="str">
        <f>IFERROR(__xludf.DUMMYFUNCTION("""COMPUTED_VALUE"""),"Frantisek Trusa")</f>
        <v>Frantisek Trusa</v>
      </c>
      <c r="H681" s="26" t="b">
        <v>0</v>
      </c>
    </row>
    <row r="682" hidden="1">
      <c r="A682" s="26" t="str">
        <f>VLOOKUP(B682,'2020 SRED (JIRA) - Issues and l'!$B:$C,2,FALSE)</f>
        <v>portal-builder-SRED</v>
      </c>
      <c r="B682" s="27" t="str">
        <f>IFERROR(__xludf.DUMMYFUNCTION("""COMPUTED_VALUE"""),"ITP-1819")</f>
        <v>ITP-1819</v>
      </c>
      <c r="C682" s="26" t="str">
        <f>IFERROR(__xludf.DUMMYFUNCTION("""COMPUTED_VALUE"""),"Set up one-time login password creation process")</f>
        <v>Set up one-time login password creation process</v>
      </c>
      <c r="D682" s="28">
        <f>IFERROR(__xludf.DUMMYFUNCTION("""COMPUTED_VALUE"""),0.55)</f>
        <v>0.55</v>
      </c>
      <c r="E682" s="29">
        <f>IFERROR(__xludf.DUMMYFUNCTION("""COMPUTED_VALUE"""),44055.0)</f>
        <v>44055</v>
      </c>
      <c r="F682" s="26" t="str">
        <f>IFERROR(__xludf.DUMMYFUNCTION("""COMPUTED_VALUE"""),"557058:3124a1f0-e92a-405c-93f2-c1d4e621bc77")</f>
        <v>557058:3124a1f0-e92a-405c-93f2-c1d4e621bc77</v>
      </c>
      <c r="G682" s="26" t="str">
        <f>IFERROR(__xludf.DUMMYFUNCTION("""COMPUTED_VALUE"""),"Trevor Coehoorn")</f>
        <v>Trevor Coehoorn</v>
      </c>
      <c r="H682" s="26" t="b">
        <v>0</v>
      </c>
    </row>
    <row r="683" hidden="1">
      <c r="A683" s="26" t="str">
        <f>VLOOKUP(B683,'2020 SRED (JIRA) - Issues and l'!$B:$C,2,FALSE)</f>
        <v>insite-event-SRED</v>
      </c>
      <c r="B683" s="27" t="str">
        <f>IFERROR(__xludf.DUMMYFUNCTION("""COMPUTED_VALUE"""),"ZAPI-6")</f>
        <v>ZAPI-6</v>
      </c>
      <c r="C683" s="26" t="str">
        <f>IFERROR(__xludf.DUMMYFUNCTION("""COMPUTED_VALUE"""),"Zoom API v2 (Registration Flow and Reporting)")</f>
        <v>Zoom API v2 (Registration Flow and Reporting)</v>
      </c>
      <c r="D683" s="28">
        <f>IFERROR(__xludf.DUMMYFUNCTION("""COMPUTED_VALUE"""),0.816666666666666)</f>
        <v>0.8166666667</v>
      </c>
      <c r="E683" s="29">
        <f>IFERROR(__xludf.DUMMYFUNCTION("""COMPUTED_VALUE"""),44055.0)</f>
        <v>44055</v>
      </c>
      <c r="F683" s="26" t="str">
        <f>IFERROR(__xludf.DUMMYFUNCTION("""COMPUTED_VALUE"""),"557058:3124a1f0-e92a-405c-93f2-c1d4e621bc77")</f>
        <v>557058:3124a1f0-e92a-405c-93f2-c1d4e621bc77</v>
      </c>
      <c r="G683" s="26" t="str">
        <f>IFERROR(__xludf.DUMMYFUNCTION("""COMPUTED_VALUE"""),"Trevor Coehoorn")</f>
        <v>Trevor Coehoorn</v>
      </c>
      <c r="H683" s="26" t="b">
        <v>0</v>
      </c>
    </row>
    <row r="684" hidden="1">
      <c r="A684" s="26" t="str">
        <f>VLOOKUP(B684,'2020 SRED (JIRA) - Issues and l'!$B:$C,2,FALSE)</f>
        <v>insite-workflow-SRED</v>
      </c>
      <c r="B684" s="27" t="str">
        <f>IFERROR(__xludf.DUMMYFUNCTION("""COMPUTED_VALUE"""),"APPS-331")</f>
        <v>APPS-331</v>
      </c>
      <c r="C684" s="26" t="str">
        <f>IFERROR(__xludf.DUMMYFUNCTION("""COMPUTED_VALUE"""),"As a client, I am prompted to enter my email before filling out my SVT/AVT intake form")</f>
        <v>As a client, I am prompted to enter my email before filling out my SVT/AVT intake form</v>
      </c>
      <c r="D684" s="28">
        <f>IFERROR(__xludf.DUMMYFUNCTION("""COMPUTED_VALUE"""),7.0)</f>
        <v>7</v>
      </c>
      <c r="E684" s="29">
        <f>IFERROR(__xludf.DUMMYFUNCTION("""COMPUTED_VALUE"""),44055.0)</f>
        <v>44055</v>
      </c>
      <c r="F684" s="26" t="str">
        <f>IFERROR(__xludf.DUMMYFUNCTION("""COMPUTED_VALUE"""),"5ee7b6ce868ce30ac49e2521")</f>
        <v>5ee7b6ce868ce30ac49e2521</v>
      </c>
      <c r="G684" s="26" t="str">
        <f>IFERROR(__xludf.DUMMYFUNCTION("""COMPUTED_VALUE"""),"Bryan Le")</f>
        <v>Bryan Le</v>
      </c>
      <c r="H684" s="26" t="b">
        <v>0</v>
      </c>
    </row>
    <row r="685" hidden="1">
      <c r="A685" s="26" t="str">
        <f>VLOOKUP(B685,'2020 SRED (JIRA) - Issues and l'!$B:$C,2,FALSE)</f>
        <v>insite-workflow-SRED</v>
      </c>
      <c r="B685" s="27" t="str">
        <f>IFERROR(__xludf.DUMMYFUNCTION("""COMPUTED_VALUE"""),"APPS-355")</f>
        <v>APPS-355</v>
      </c>
      <c r="C685" s="26" t="str">
        <f>IFERROR(__xludf.DUMMYFUNCTION("""COMPUTED_VALUE"""),"create a join table for the ""associated client stakeholders"" in order to link then to a proposals and show the linked ")</f>
        <v>create a join table for the "associated client stakeholders" in order to link then to a proposals and show the linked </v>
      </c>
      <c r="D685" s="28">
        <f>IFERROR(__xludf.DUMMYFUNCTION("""COMPUTED_VALUE"""),6.0)</f>
        <v>6</v>
      </c>
      <c r="E685" s="29">
        <f>IFERROR(__xludf.DUMMYFUNCTION("""COMPUTED_VALUE"""),44055.0)</f>
        <v>44055</v>
      </c>
      <c r="F685" s="26" t="str">
        <f>IFERROR(__xludf.DUMMYFUNCTION("""COMPUTED_VALUE"""),"5ee7b6cf02b4400ac4b65399")</f>
        <v>5ee7b6cf02b4400ac4b65399</v>
      </c>
      <c r="G685" s="26" t="str">
        <f>IFERROR(__xludf.DUMMYFUNCTION("""COMPUTED_VALUE"""),"Jessica Obando")</f>
        <v>Jessica Obando</v>
      </c>
      <c r="H685" s="26" t="b">
        <v>0</v>
      </c>
    </row>
    <row r="686" hidden="1">
      <c r="A686" s="26" t="str">
        <f>VLOOKUP(B686,'2020 SRED (JIRA) - Issues and l'!$B:$C,2,FALSE)</f>
        <v>portal-builder-SRED</v>
      </c>
      <c r="B686" s="27" t="str">
        <f>IFERROR(__xludf.DUMMYFUNCTION("""COMPUTED_VALUE"""),"ITP-1850")</f>
        <v>ITP-1850</v>
      </c>
      <c r="C686" s="26" t="str">
        <f>IFERROR(__xludf.DUMMYFUNCTION("""COMPUTED_VALUE"""),"Allow ""&lt;"" characters in Touchpoint Builder select options")</f>
        <v>Allow "&lt;" characters in Touchpoint Builder select options</v>
      </c>
      <c r="D686" s="28">
        <f>IFERROR(__xludf.DUMMYFUNCTION("""COMPUTED_VALUE"""),0.25)</f>
        <v>0.25</v>
      </c>
      <c r="E686" s="29">
        <f>IFERROR(__xludf.DUMMYFUNCTION("""COMPUTED_VALUE"""),44055.30208333333)</f>
        <v>44055.30208</v>
      </c>
      <c r="F686" s="26" t="str">
        <f>IFERROR(__xludf.DUMMYFUNCTION("""COMPUTED_VALUE"""),"5e98d69b272c6a0c0e88b806")</f>
        <v>5e98d69b272c6a0c0e88b806</v>
      </c>
      <c r="G686" s="26" t="str">
        <f>IFERROR(__xludf.DUMMYFUNCTION("""COMPUTED_VALUE"""),"Pauline Reyes")</f>
        <v>Pauline Reyes</v>
      </c>
      <c r="H686" s="26" t="b">
        <v>0</v>
      </c>
    </row>
    <row r="687" hidden="1">
      <c r="A687" s="26" t="str">
        <f>VLOOKUP(B687,'2020 SRED (JIRA) - Issues and l'!$B:$C,2,FALSE)</f>
        <v>insite-event-SRED</v>
      </c>
      <c r="B687" s="27" t="str">
        <f>IFERROR(__xludf.DUMMYFUNCTION("""COMPUTED_VALUE"""),"ZAPI-9")</f>
        <v>ZAPI-9</v>
      </c>
      <c r="C687" s="26" t="str">
        <f>IFERROR(__xludf.DUMMYFUNCTION("""COMPUTED_VALUE"""),"As an attendee, I can register for a meeting/webinar via our new Events portal")</f>
        <v>As an attendee, I can register for a meeting/webinar via our new Events portal</v>
      </c>
      <c r="D687" s="28">
        <f>IFERROR(__xludf.DUMMYFUNCTION("""COMPUTED_VALUE"""),4.0)</f>
        <v>4</v>
      </c>
      <c r="E687" s="29">
        <f>IFERROR(__xludf.DUMMYFUNCTION("""COMPUTED_VALUE"""),44055.33333333333)</f>
        <v>44055.33333</v>
      </c>
      <c r="F687" s="26" t="str">
        <f>IFERROR(__xludf.DUMMYFUNCTION("""COMPUTED_VALUE"""),"5e95be7f18b8ed0c0f5adb36")</f>
        <v>5e95be7f18b8ed0c0f5adb36</v>
      </c>
      <c r="G687" s="26" t="str">
        <f>IFERROR(__xludf.DUMMYFUNCTION("""COMPUTED_VALUE"""),"Frantisek Trusa")</f>
        <v>Frantisek Trusa</v>
      </c>
      <c r="H687" s="26" t="b">
        <v>0</v>
      </c>
    </row>
    <row r="688" hidden="1">
      <c r="A688" s="26" t="str">
        <f>VLOOKUP(B688,'2020 SRED (JIRA) - Issues and l'!$B:$C,2,FALSE)</f>
        <v>portal-builder-SRED</v>
      </c>
      <c r="B688" s="27" t="str">
        <f>IFERROR(__xludf.DUMMYFUNCTION("""COMPUTED_VALUE"""),"ITP-1819")</f>
        <v>ITP-1819</v>
      </c>
      <c r="C688" s="26" t="str">
        <f>IFERROR(__xludf.DUMMYFUNCTION("""COMPUTED_VALUE"""),"Set up one-time login password creation process")</f>
        <v>Set up one-time login password creation process</v>
      </c>
      <c r="D688" s="28">
        <f>IFERROR(__xludf.DUMMYFUNCTION("""COMPUTED_VALUE"""),0.5)</f>
        <v>0.5</v>
      </c>
      <c r="E688" s="29">
        <f>IFERROR(__xludf.DUMMYFUNCTION("""COMPUTED_VALUE"""),44055.46875)</f>
        <v>44055.46875</v>
      </c>
      <c r="F688" s="26" t="str">
        <f>IFERROR(__xludf.DUMMYFUNCTION("""COMPUTED_VALUE"""),"557058:9827514e-9c5e-4d9d-af37-340b82b8423b")</f>
        <v>557058:9827514e-9c5e-4d9d-af37-340b82b8423b</v>
      </c>
      <c r="G688" s="26" t="str">
        <f>IFERROR(__xludf.DUMMYFUNCTION("""COMPUTED_VALUE"""),"Alyssia Grant")</f>
        <v>Alyssia Grant</v>
      </c>
      <c r="H688" s="26" t="b">
        <v>0</v>
      </c>
    </row>
    <row r="689" hidden="1">
      <c r="A689" s="26" t="str">
        <f>VLOOKUP(B689,'2020 SRED (JIRA) - Issues and l'!$B:$C,2,FALSE)</f>
        <v>insite-event-SRED</v>
      </c>
      <c r="B689" s="27" t="str">
        <f>IFERROR(__xludf.DUMMYFUNCTION("""COMPUTED_VALUE"""),"ZAPI-9")</f>
        <v>ZAPI-9</v>
      </c>
      <c r="C689" s="26" t="str">
        <f>IFERROR(__xludf.DUMMYFUNCTION("""COMPUTED_VALUE"""),"As an attendee, I can register for a meeting/webinar via our new Events portal")</f>
        <v>As an attendee, I can register for a meeting/webinar via our new Events portal</v>
      </c>
      <c r="D689" s="28">
        <f>IFERROR(__xludf.DUMMYFUNCTION("""COMPUTED_VALUE"""),4.0)</f>
        <v>4</v>
      </c>
      <c r="E689" s="29">
        <f>IFERROR(__xludf.DUMMYFUNCTION("""COMPUTED_VALUE"""),44055.54166666667)</f>
        <v>44055.54167</v>
      </c>
      <c r="F689" s="26" t="str">
        <f>IFERROR(__xludf.DUMMYFUNCTION("""COMPUTED_VALUE"""),"5e95be7f18b8ed0c0f5adb36")</f>
        <v>5e95be7f18b8ed0c0f5adb36</v>
      </c>
      <c r="G689" s="26" t="str">
        <f>IFERROR(__xludf.DUMMYFUNCTION("""COMPUTED_VALUE"""),"Frantisek Trusa")</f>
        <v>Frantisek Trusa</v>
      </c>
      <c r="H689" s="26" t="b">
        <v>0</v>
      </c>
    </row>
    <row r="690" hidden="1">
      <c r="A690" s="26" t="str">
        <f>VLOOKUP(B690,'2020 SRED (JIRA) - Issues and l'!$B:$C,2,FALSE)</f>
        <v>portal-builder-SRED</v>
      </c>
      <c r="B690" s="27" t="str">
        <f>IFERROR(__xludf.DUMMYFUNCTION("""COMPUTED_VALUE"""),"ITP-1868")</f>
        <v>ITP-1868</v>
      </c>
      <c r="C690" s="26" t="str">
        <f>IFERROR(__xludf.DUMMYFUNCTION("""COMPUTED_VALUE"""),"Alternating line colours in annotated pdf reports")</f>
        <v>Alternating line colours in annotated pdf reports</v>
      </c>
      <c r="D690" s="28">
        <f>IFERROR(__xludf.DUMMYFUNCTION("""COMPUTED_VALUE"""),1.65)</f>
        <v>1.65</v>
      </c>
      <c r="E690" s="29">
        <f>IFERROR(__xludf.DUMMYFUNCTION("""COMPUTED_VALUE"""),44056.0)</f>
        <v>44056</v>
      </c>
      <c r="F690" s="26" t="str">
        <f>IFERROR(__xludf.DUMMYFUNCTION("""COMPUTED_VALUE"""),"557058:3124a1f0-e92a-405c-93f2-c1d4e621bc77")</f>
        <v>557058:3124a1f0-e92a-405c-93f2-c1d4e621bc77</v>
      </c>
      <c r="G690" s="26" t="str">
        <f>IFERROR(__xludf.DUMMYFUNCTION("""COMPUTED_VALUE"""),"Trevor Coehoorn")</f>
        <v>Trevor Coehoorn</v>
      </c>
      <c r="H690" s="26" t="b">
        <v>0</v>
      </c>
    </row>
    <row r="691" hidden="1">
      <c r="A691" s="26" t="str">
        <f>VLOOKUP(B691,'2020 SRED (JIRA) - Issues and l'!$B:$C,2,FALSE)</f>
        <v>portal-builder-SRED</v>
      </c>
      <c r="B691" s="27" t="str">
        <f>IFERROR(__xludf.DUMMYFUNCTION("""COMPUTED_VALUE"""),"IOP-1357")</f>
        <v>IOP-1357</v>
      </c>
      <c r="C691" s="26" t="str">
        <f>IFERROR(__xludf.DUMMYFUNCTION("""COMPUTED_VALUE"""),"Product development meetings")</f>
        <v>Product development meetings</v>
      </c>
      <c r="D691" s="28">
        <f>IFERROR(__xludf.DUMMYFUNCTION("""COMPUTED_VALUE"""),1.01666666666666)</f>
        <v>1.016666667</v>
      </c>
      <c r="E691" s="29">
        <f>IFERROR(__xludf.DUMMYFUNCTION("""COMPUTED_VALUE"""),44056.0)</f>
        <v>44056</v>
      </c>
      <c r="F691" s="26" t="str">
        <f>IFERROR(__xludf.DUMMYFUNCTION("""COMPUTED_VALUE"""),"557058:3124a1f0-e92a-405c-93f2-c1d4e621bc77")</f>
        <v>557058:3124a1f0-e92a-405c-93f2-c1d4e621bc77</v>
      </c>
      <c r="G691" s="26" t="str">
        <f>IFERROR(__xludf.DUMMYFUNCTION("""COMPUTED_VALUE"""),"Trevor Coehoorn")</f>
        <v>Trevor Coehoorn</v>
      </c>
      <c r="H691" s="26" t="b">
        <v>0</v>
      </c>
    </row>
    <row r="692" hidden="1">
      <c r="A692" s="26" t="str">
        <f>VLOOKUP(B692,'2020 SRED (JIRA) - Issues and l'!$B:$C,2,FALSE)</f>
        <v>insite-workflow-SRED</v>
      </c>
      <c r="B692" s="27" t="str">
        <f>IFERROR(__xludf.DUMMYFUNCTION("""COMPUTED_VALUE"""),"APPS-345")</f>
        <v>APPS-345</v>
      </c>
      <c r="C692" s="26" t="str">
        <f>IFERROR(__xludf.DUMMYFUNCTION("""COMPUTED_VALUE"""),"Apply security filter to smaller tables")</f>
        <v>Apply security filter to smaller tables</v>
      </c>
      <c r="D692" s="28">
        <f>IFERROR(__xludf.DUMMYFUNCTION("""COMPUTED_VALUE"""),5.0)</f>
        <v>5</v>
      </c>
      <c r="E692" s="29">
        <f>IFERROR(__xludf.DUMMYFUNCTION("""COMPUTED_VALUE"""),44056.0)</f>
        <v>44056</v>
      </c>
      <c r="F692" s="26" t="str">
        <f>IFERROR(__xludf.DUMMYFUNCTION("""COMPUTED_VALUE"""),"5ee7b6ce868ce30ac49e2521")</f>
        <v>5ee7b6ce868ce30ac49e2521</v>
      </c>
      <c r="G692" s="26" t="str">
        <f>IFERROR(__xludf.DUMMYFUNCTION("""COMPUTED_VALUE"""),"Bryan Le")</f>
        <v>Bryan Le</v>
      </c>
      <c r="H692" s="26" t="b">
        <v>0</v>
      </c>
    </row>
    <row r="693" hidden="1">
      <c r="A693" s="26" t="str">
        <f>VLOOKUP(B693,'2020 SRED (JIRA) - Issues and l'!$B:$C,2,FALSE)</f>
        <v>insite-workflow-SRED</v>
      </c>
      <c r="B693" s="27" t="str">
        <f>IFERROR(__xludf.DUMMYFUNCTION("""COMPUTED_VALUE"""),"APPS-350")</f>
        <v>APPS-350</v>
      </c>
      <c r="C693" s="26" t="str">
        <f>IFERROR(__xludf.DUMMYFUNCTION("""COMPUTED_VALUE"""),"Rename ""Project Requests"" app to ""Project Manager"" (including app folder name)")</f>
        <v>Rename "Project Requests" app to "Project Manager" (including app folder name)</v>
      </c>
      <c r="D693" s="28">
        <f>IFERROR(__xludf.DUMMYFUNCTION("""COMPUTED_VALUE"""),2.0)</f>
        <v>2</v>
      </c>
      <c r="E693" s="29">
        <f>IFERROR(__xludf.DUMMYFUNCTION("""COMPUTED_VALUE"""),44056.0)</f>
        <v>44056</v>
      </c>
      <c r="F693" s="26" t="str">
        <f>IFERROR(__xludf.DUMMYFUNCTION("""COMPUTED_VALUE"""),"5ee7b6ce868ce30ac49e2521")</f>
        <v>5ee7b6ce868ce30ac49e2521</v>
      </c>
      <c r="G693" s="26" t="str">
        <f>IFERROR(__xludf.DUMMYFUNCTION("""COMPUTED_VALUE"""),"Bryan Le")</f>
        <v>Bryan Le</v>
      </c>
      <c r="H693" s="26" t="b">
        <v>0</v>
      </c>
    </row>
    <row r="694" hidden="1">
      <c r="A694" s="26" t="str">
        <f>VLOOKUP(B694,'2020 SRED (JIRA) - Issues and l'!$B:$C,2,FALSE)</f>
        <v>insite-workflow-SRED</v>
      </c>
      <c r="B694" s="27" t="str">
        <f>IFERROR(__xludf.DUMMYFUNCTION("""COMPUTED_VALUE"""),"APPS-338")</f>
        <v>APPS-338</v>
      </c>
      <c r="C694" s="26" t="str">
        <f>IFERROR(__xludf.DUMMYFUNCTION("""COMPUTED_VALUE"""),"Hide ""Interactions"" and ""Planning documents"" from new sales opportunity form and move planning documents into interactions")</f>
        <v>Hide "Interactions" and "Planning documents" from new sales opportunity form and move planning documents into interactions</v>
      </c>
      <c r="D694" s="28">
        <f>IFERROR(__xludf.DUMMYFUNCTION("""COMPUTED_VALUE"""),8.0)</f>
        <v>8</v>
      </c>
      <c r="E694" s="29">
        <f>IFERROR(__xludf.DUMMYFUNCTION("""COMPUTED_VALUE"""),44056.0)</f>
        <v>44056</v>
      </c>
      <c r="F694" s="26" t="str">
        <f>IFERROR(__xludf.DUMMYFUNCTION("""COMPUTED_VALUE"""),"5ee7b6cf02b4400ac4b65399")</f>
        <v>5ee7b6cf02b4400ac4b65399</v>
      </c>
      <c r="G694" s="26" t="str">
        <f>IFERROR(__xludf.DUMMYFUNCTION("""COMPUTED_VALUE"""),"Jessica Obando")</f>
        <v>Jessica Obando</v>
      </c>
      <c r="H694" s="26" t="b">
        <v>0</v>
      </c>
    </row>
    <row r="695" hidden="1">
      <c r="A695" s="26" t="str">
        <f>VLOOKUP(B695,'2020 SRED (JIRA) - Issues and l'!$B:$C,2,FALSE)</f>
        <v>insite-workflow-SRED</v>
      </c>
      <c r="B695" s="27" t="str">
        <f>IFERROR(__xludf.DUMMYFUNCTION("""COMPUTED_VALUE"""),"APPS-331")</f>
        <v>APPS-331</v>
      </c>
      <c r="C695" s="26" t="str">
        <f>IFERROR(__xludf.DUMMYFUNCTION("""COMPUTED_VALUE"""),"As a client, I am prompted to enter my email before filling out my SVT/AVT intake form")</f>
        <v>As a client, I am prompted to enter my email before filling out my SVT/AVT intake form</v>
      </c>
      <c r="D695" s="28">
        <f>IFERROR(__xludf.DUMMYFUNCTION("""COMPUTED_VALUE"""),7.0)</f>
        <v>7</v>
      </c>
      <c r="E695" s="29">
        <f>IFERROR(__xludf.DUMMYFUNCTION("""COMPUTED_VALUE"""),44057.0)</f>
        <v>44057</v>
      </c>
      <c r="F695" s="26" t="str">
        <f>IFERROR(__xludf.DUMMYFUNCTION("""COMPUTED_VALUE"""),"5ee7b6ce868ce30ac49e2521")</f>
        <v>5ee7b6ce868ce30ac49e2521</v>
      </c>
      <c r="G695" s="26" t="str">
        <f>IFERROR(__xludf.DUMMYFUNCTION("""COMPUTED_VALUE"""),"Bryan Le")</f>
        <v>Bryan Le</v>
      </c>
      <c r="H695" s="26" t="b">
        <v>0</v>
      </c>
    </row>
    <row r="696" hidden="1">
      <c r="A696" s="26" t="str">
        <f>VLOOKUP(B696,'2020 SRED (JIRA) - Issues and l'!$B:$C,2,FALSE)</f>
        <v>insite-workflow-SRED</v>
      </c>
      <c r="B696" s="27" t="str">
        <f>IFERROR(__xludf.DUMMYFUNCTION("""COMPUTED_VALUE"""),"APPS-356")</f>
        <v>APPS-356</v>
      </c>
      <c r="C696" s="26" t="str">
        <f>IFERROR(__xludf.DUMMYFUNCTION("""COMPUTED_VALUE"""),"Refinements to Opportunity status field")</f>
        <v>Refinements to Opportunity status field</v>
      </c>
      <c r="D696" s="28">
        <f>IFERROR(__xludf.DUMMYFUNCTION("""COMPUTED_VALUE"""),7.0)</f>
        <v>7</v>
      </c>
      <c r="E696" s="29">
        <f>IFERROR(__xludf.DUMMYFUNCTION("""COMPUTED_VALUE"""),44057.0)</f>
        <v>44057</v>
      </c>
      <c r="F696" s="26" t="str">
        <f>IFERROR(__xludf.DUMMYFUNCTION("""COMPUTED_VALUE"""),"5ee7b6cf02b4400ac4b65399")</f>
        <v>5ee7b6cf02b4400ac4b65399</v>
      </c>
      <c r="G696" s="26" t="str">
        <f>IFERROR(__xludf.DUMMYFUNCTION("""COMPUTED_VALUE"""),"Jessica Obando")</f>
        <v>Jessica Obando</v>
      </c>
      <c r="H696" s="26" t="b">
        <v>0</v>
      </c>
    </row>
    <row r="697" hidden="1">
      <c r="A697" s="26" t="str">
        <f>VLOOKUP(B697,'2020 SRED (JIRA) - Issues and l'!$B:$C,2,FALSE)</f>
        <v>insite-workflow-SRED</v>
      </c>
      <c r="B697" s="27" t="str">
        <f>IFERROR(__xludf.DUMMYFUNCTION("""COMPUTED_VALUE"""),"APPS-331")</f>
        <v>APPS-331</v>
      </c>
      <c r="C697" s="26" t="str">
        <f>IFERROR(__xludf.DUMMYFUNCTION("""COMPUTED_VALUE"""),"As a client, I am prompted to enter my email before filling out my SVT/AVT intake form")</f>
        <v>As a client, I am prompted to enter my email before filling out my SVT/AVT intake form</v>
      </c>
      <c r="D697" s="28">
        <f>IFERROR(__xludf.DUMMYFUNCTION("""COMPUTED_VALUE"""),7.0)</f>
        <v>7</v>
      </c>
      <c r="E697" s="29">
        <f>IFERROR(__xludf.DUMMYFUNCTION("""COMPUTED_VALUE"""),44060.0)</f>
        <v>44060</v>
      </c>
      <c r="F697" s="26" t="str">
        <f>IFERROR(__xludf.DUMMYFUNCTION("""COMPUTED_VALUE"""),"5ee7b6ce868ce30ac49e2521")</f>
        <v>5ee7b6ce868ce30ac49e2521</v>
      </c>
      <c r="G697" s="26" t="str">
        <f>IFERROR(__xludf.DUMMYFUNCTION("""COMPUTED_VALUE"""),"Bryan Le")</f>
        <v>Bryan Le</v>
      </c>
      <c r="H697" s="26" t="b">
        <v>0</v>
      </c>
    </row>
    <row r="698" hidden="1">
      <c r="A698" s="26" t="str">
        <f>VLOOKUP(B698,'2020 SRED (JIRA) - Issues and l'!$B:$C,2,FALSE)</f>
        <v>insite-workflow-SRED</v>
      </c>
      <c r="B698" s="27" t="str">
        <f>IFERROR(__xludf.DUMMYFUNCTION("""COMPUTED_VALUE"""),"APPS-364")</f>
        <v>APPS-364</v>
      </c>
      <c r="C698" s="26" t="str">
        <f>IFERROR(__xludf.DUMMYFUNCTION("""COMPUTED_VALUE"""),"As a salesperson, I can indicate where project work will be conducted")</f>
        <v>As a salesperson, I can indicate where project work will be conducted</v>
      </c>
      <c r="D698" s="28">
        <f>IFERROR(__xludf.DUMMYFUNCTION("""COMPUTED_VALUE"""),7.0)</f>
        <v>7</v>
      </c>
      <c r="E698" s="29">
        <f>IFERROR(__xludf.DUMMYFUNCTION("""COMPUTED_VALUE"""),44060.0)</f>
        <v>44060</v>
      </c>
      <c r="F698" s="26" t="str">
        <f>IFERROR(__xludf.DUMMYFUNCTION("""COMPUTED_VALUE"""),"5ee7b6cf02b4400ac4b65399")</f>
        <v>5ee7b6cf02b4400ac4b65399</v>
      </c>
      <c r="G698" s="26" t="str">
        <f>IFERROR(__xludf.DUMMYFUNCTION("""COMPUTED_VALUE"""),"Jessica Obando")</f>
        <v>Jessica Obando</v>
      </c>
      <c r="H698" s="26" t="b">
        <v>0</v>
      </c>
    </row>
    <row r="699" hidden="1">
      <c r="A699" s="26" t="str">
        <f>VLOOKUP(B699,'2020 SRED (JIRA) - Issues and l'!$B:$C,2,FALSE)</f>
        <v>insite-event-SRED</v>
      </c>
      <c r="B699" s="27" t="str">
        <f>IFERROR(__xludf.DUMMYFUNCTION("""COMPUTED_VALUE"""),"ZAPI-9")</f>
        <v>ZAPI-9</v>
      </c>
      <c r="C699" s="26" t="str">
        <f>IFERROR(__xludf.DUMMYFUNCTION("""COMPUTED_VALUE"""),"As an attendee, I can register for a meeting/webinar via our new Events portal")</f>
        <v>As an attendee, I can register for a meeting/webinar via our new Events portal</v>
      </c>
      <c r="D699" s="28">
        <f>IFERROR(__xludf.DUMMYFUNCTION("""COMPUTED_VALUE"""),4.0)</f>
        <v>4</v>
      </c>
      <c r="E699" s="29">
        <f>IFERROR(__xludf.DUMMYFUNCTION("""COMPUTED_VALUE"""),44060.33333333333)</f>
        <v>44060.33333</v>
      </c>
      <c r="F699" s="26" t="str">
        <f>IFERROR(__xludf.DUMMYFUNCTION("""COMPUTED_VALUE"""),"5e95be7f18b8ed0c0f5adb36")</f>
        <v>5e95be7f18b8ed0c0f5adb36</v>
      </c>
      <c r="G699" s="26" t="str">
        <f>IFERROR(__xludf.DUMMYFUNCTION("""COMPUTED_VALUE"""),"Frantisek Trusa")</f>
        <v>Frantisek Trusa</v>
      </c>
      <c r="H699" s="26" t="b">
        <v>0</v>
      </c>
    </row>
    <row r="700" hidden="1">
      <c r="A700" s="26" t="str">
        <f>VLOOKUP(B700,'2020 SRED (JIRA) - Issues and l'!$B:$C,2,FALSE)</f>
        <v>insite-event-SRED</v>
      </c>
      <c r="B700" s="27" t="str">
        <f>IFERROR(__xludf.DUMMYFUNCTION("""COMPUTED_VALUE"""),"ZAPI-9")</f>
        <v>ZAPI-9</v>
      </c>
      <c r="C700" s="26" t="str">
        <f>IFERROR(__xludf.DUMMYFUNCTION("""COMPUTED_VALUE"""),"As an attendee, I can register for a meeting/webinar via our new Events portal")</f>
        <v>As an attendee, I can register for a meeting/webinar via our new Events portal</v>
      </c>
      <c r="D700" s="28">
        <f>IFERROR(__xludf.DUMMYFUNCTION("""COMPUTED_VALUE"""),4.0)</f>
        <v>4</v>
      </c>
      <c r="E700" s="29">
        <f>IFERROR(__xludf.DUMMYFUNCTION("""COMPUTED_VALUE"""),44060.54166666667)</f>
        <v>44060.54167</v>
      </c>
      <c r="F700" s="26" t="str">
        <f>IFERROR(__xludf.DUMMYFUNCTION("""COMPUTED_VALUE"""),"5e95be7f18b8ed0c0f5adb36")</f>
        <v>5e95be7f18b8ed0c0f5adb36</v>
      </c>
      <c r="G700" s="26" t="str">
        <f>IFERROR(__xludf.DUMMYFUNCTION("""COMPUTED_VALUE"""),"Frantisek Trusa")</f>
        <v>Frantisek Trusa</v>
      </c>
      <c r="H700" s="26" t="b">
        <v>0</v>
      </c>
    </row>
    <row r="701" hidden="1">
      <c r="A701" s="26" t="str">
        <f>VLOOKUP(B701,'2020 SRED (JIRA) - Issues and l'!$B:$C,2,FALSE)</f>
        <v>insite-workflow-SRED</v>
      </c>
      <c r="B701" s="27" t="str">
        <f>IFERROR(__xludf.DUMMYFUNCTION("""COMPUTED_VALUE"""),"APPS-79")</f>
        <v>APPS-79</v>
      </c>
      <c r="C701" s="26" t="str">
        <f>IFERROR(__xludf.DUMMYFUNCTION("""COMPUTED_VALUE"""),"Client Touchpoint Planner app (v1)")</f>
        <v>Client Touchpoint Planner app (v1)</v>
      </c>
      <c r="D701" s="28">
        <f>IFERROR(__xludf.DUMMYFUNCTION("""COMPUTED_VALUE"""),7.0)</f>
        <v>7</v>
      </c>
      <c r="E701" s="29">
        <f>IFERROR(__xludf.DUMMYFUNCTION("""COMPUTED_VALUE"""),44061.0)</f>
        <v>44061</v>
      </c>
      <c r="F701" s="26" t="str">
        <f>IFERROR(__xludf.DUMMYFUNCTION("""COMPUTED_VALUE"""),"5ee7b6ce868ce30ac49e2521")</f>
        <v>5ee7b6ce868ce30ac49e2521</v>
      </c>
      <c r="G701" s="26" t="str">
        <f>IFERROR(__xludf.DUMMYFUNCTION("""COMPUTED_VALUE"""),"Bryan Le")</f>
        <v>Bryan Le</v>
      </c>
      <c r="H701" s="26" t="b">
        <v>0</v>
      </c>
    </row>
    <row r="702" hidden="1">
      <c r="A702" s="26" t="str">
        <f>VLOOKUP(B702,'2020 SRED (JIRA) - Issues and l'!$B:$C,2,FALSE)</f>
        <v>insite-workflow-SRED</v>
      </c>
      <c r="B702" s="27" t="str">
        <f>IFERROR(__xludf.DUMMYFUNCTION("""COMPUTED_VALUE"""),"APPS-266")</f>
        <v>APPS-266</v>
      </c>
      <c r="C702" s="26" t="str">
        <f>IFERROR(__xludf.DUMMYFUNCTION("""COMPUTED_VALUE"""),"Data migration for contacts, orgs, sales opportunities, prospective clients, salesperson profiles, etc.")</f>
        <v>Data migration for contacts, orgs, sales opportunities, prospective clients, salesperson profiles, etc.</v>
      </c>
      <c r="D702" s="28">
        <f>IFERROR(__xludf.DUMMYFUNCTION("""COMPUTED_VALUE"""),7.0)</f>
        <v>7</v>
      </c>
      <c r="E702" s="29">
        <f>IFERROR(__xludf.DUMMYFUNCTION("""COMPUTED_VALUE"""),44061.0)</f>
        <v>44061</v>
      </c>
      <c r="F702" s="26" t="str">
        <f>IFERROR(__xludf.DUMMYFUNCTION("""COMPUTED_VALUE"""),"5ee7b6cf02b4400ac4b65399")</f>
        <v>5ee7b6cf02b4400ac4b65399</v>
      </c>
      <c r="G702" s="26" t="str">
        <f>IFERROR(__xludf.DUMMYFUNCTION("""COMPUTED_VALUE"""),"Jessica Obando")</f>
        <v>Jessica Obando</v>
      </c>
      <c r="H702" s="26" t="b">
        <v>0</v>
      </c>
    </row>
    <row r="703" hidden="1">
      <c r="A703" s="26" t="str">
        <f>VLOOKUP(B703,'2020 SRED (JIRA) - Issues and l'!$B:$C,2,FALSE)</f>
        <v>insite-workflow-SRED</v>
      </c>
      <c r="B703" s="27" t="str">
        <f>IFERROR(__xludf.DUMMYFUNCTION("""COMPUTED_VALUE"""),"APPS-79")</f>
        <v>APPS-79</v>
      </c>
      <c r="C703" s="26" t="str">
        <f>IFERROR(__xludf.DUMMYFUNCTION("""COMPUTED_VALUE"""),"Client Touchpoint Planner app (v1)")</f>
        <v>Client Touchpoint Planner app (v1)</v>
      </c>
      <c r="D703" s="28">
        <f>IFERROR(__xludf.DUMMYFUNCTION("""COMPUTED_VALUE"""),7.0)</f>
        <v>7</v>
      </c>
      <c r="E703" s="29">
        <f>IFERROR(__xludf.DUMMYFUNCTION("""COMPUTED_VALUE"""),44062.0)</f>
        <v>44062</v>
      </c>
      <c r="F703" s="26" t="str">
        <f>IFERROR(__xludf.DUMMYFUNCTION("""COMPUTED_VALUE"""),"5ee7b6ce868ce30ac49e2521")</f>
        <v>5ee7b6ce868ce30ac49e2521</v>
      </c>
      <c r="G703" s="26" t="str">
        <f>IFERROR(__xludf.DUMMYFUNCTION("""COMPUTED_VALUE"""),"Bryan Le")</f>
        <v>Bryan Le</v>
      </c>
      <c r="H703" s="26" t="b">
        <v>0</v>
      </c>
    </row>
    <row r="704" hidden="1">
      <c r="A704" s="26" t="str">
        <f>VLOOKUP(B704,'2020 SRED (JIRA) - Issues and l'!$B:$C,2,FALSE)</f>
        <v>insite-workflow-SRED</v>
      </c>
      <c r="B704" s="27" t="str">
        <f>IFERROR(__xludf.DUMMYFUNCTION("""COMPUTED_VALUE"""),"APPS-262")</f>
        <v>APPS-262</v>
      </c>
      <c r="C704" s="26" t="str">
        <f>IFERROR(__xludf.DUMMYFUNCTION("""COMPUTED_VALUE"""),"Cleanup tasks (due Aug 21)")</f>
        <v>Cleanup tasks (due Aug 21)</v>
      </c>
      <c r="D704" s="28">
        <f>IFERROR(__xludf.DUMMYFUNCTION("""COMPUTED_VALUE"""),7.0)</f>
        <v>7</v>
      </c>
      <c r="E704" s="29">
        <f>IFERROR(__xludf.DUMMYFUNCTION("""COMPUTED_VALUE"""),44062.0)</f>
        <v>44062</v>
      </c>
      <c r="F704" s="26" t="str">
        <f>IFERROR(__xludf.DUMMYFUNCTION("""COMPUTED_VALUE"""),"5ee7b6cf02b4400ac4b65399")</f>
        <v>5ee7b6cf02b4400ac4b65399</v>
      </c>
      <c r="G704" s="26" t="str">
        <f>IFERROR(__xludf.DUMMYFUNCTION("""COMPUTED_VALUE"""),"Jessica Obando")</f>
        <v>Jessica Obando</v>
      </c>
      <c r="H704" s="26" t="b">
        <v>0</v>
      </c>
    </row>
    <row r="705" hidden="1">
      <c r="A705" s="26" t="str">
        <f>VLOOKUP(B705,'2020 SRED (JIRA) - Issues and l'!$B:$C,2,FALSE)</f>
        <v>insite-event-SRED</v>
      </c>
      <c r="B705" s="27" t="str">
        <f>IFERROR(__xludf.DUMMYFUNCTION("""COMPUTED_VALUE"""),"ZAPI-9")</f>
        <v>ZAPI-9</v>
      </c>
      <c r="C705" s="26" t="str">
        <f>IFERROR(__xludf.DUMMYFUNCTION("""COMPUTED_VALUE"""),"As an attendee, I can register for a meeting/webinar via our new Events portal")</f>
        <v>As an attendee, I can register for a meeting/webinar via our new Events portal</v>
      </c>
      <c r="D705" s="28">
        <f>IFERROR(__xludf.DUMMYFUNCTION("""COMPUTED_VALUE"""),4.0)</f>
        <v>4</v>
      </c>
      <c r="E705" s="29">
        <f>IFERROR(__xludf.DUMMYFUNCTION("""COMPUTED_VALUE"""),44062.33333333333)</f>
        <v>44062.33333</v>
      </c>
      <c r="F705" s="26" t="str">
        <f>IFERROR(__xludf.DUMMYFUNCTION("""COMPUTED_VALUE"""),"5e95be7f18b8ed0c0f5adb36")</f>
        <v>5e95be7f18b8ed0c0f5adb36</v>
      </c>
      <c r="G705" s="26" t="str">
        <f>IFERROR(__xludf.DUMMYFUNCTION("""COMPUTED_VALUE"""),"Frantisek Trusa")</f>
        <v>Frantisek Trusa</v>
      </c>
      <c r="H705" s="26" t="b">
        <v>0</v>
      </c>
    </row>
    <row r="706" hidden="1">
      <c r="A706" s="26" t="str">
        <f>VLOOKUP(B706,'2020 SRED (JIRA) - Issues and l'!$B:$C,2,FALSE)</f>
        <v>insite-event-SRED</v>
      </c>
      <c r="B706" s="27" t="str">
        <f>IFERROR(__xludf.DUMMYFUNCTION("""COMPUTED_VALUE"""),"ZAPI-9")</f>
        <v>ZAPI-9</v>
      </c>
      <c r="C706" s="26" t="str">
        <f>IFERROR(__xludf.DUMMYFUNCTION("""COMPUTED_VALUE"""),"As an attendee, I can register for a meeting/webinar via our new Events portal")</f>
        <v>As an attendee, I can register for a meeting/webinar via our new Events portal</v>
      </c>
      <c r="D706" s="28">
        <f>IFERROR(__xludf.DUMMYFUNCTION("""COMPUTED_VALUE"""),4.0)</f>
        <v>4</v>
      </c>
      <c r="E706" s="29">
        <f>IFERROR(__xludf.DUMMYFUNCTION("""COMPUTED_VALUE"""),44062.54166666667)</f>
        <v>44062.54167</v>
      </c>
      <c r="F706" s="26" t="str">
        <f>IFERROR(__xludf.DUMMYFUNCTION("""COMPUTED_VALUE"""),"5e95be7f18b8ed0c0f5adb36")</f>
        <v>5e95be7f18b8ed0c0f5adb36</v>
      </c>
      <c r="G706" s="26" t="str">
        <f>IFERROR(__xludf.DUMMYFUNCTION("""COMPUTED_VALUE"""),"Frantisek Trusa")</f>
        <v>Frantisek Trusa</v>
      </c>
      <c r="H706" s="26" t="b">
        <v>0</v>
      </c>
    </row>
    <row r="707" hidden="1">
      <c r="A707" s="26" t="str">
        <f>VLOOKUP(B707,'2020 SRED (JIRA) - Issues and l'!$B:$C,2,FALSE)</f>
        <v>insite-workflow-SRED</v>
      </c>
      <c r="B707" s="27" t="str">
        <f>IFERROR(__xludf.DUMMYFUNCTION("""COMPUTED_VALUE"""),"APPS-264")</f>
        <v>APPS-264</v>
      </c>
      <c r="C707" s="26" t="str">
        <f>IFERROR(__xludf.DUMMYFUNCTION("""COMPUTED_VALUE"""),"Cleanup Tasks")</f>
        <v>Cleanup Tasks</v>
      </c>
      <c r="D707" s="28">
        <f>IFERROR(__xludf.DUMMYFUNCTION("""COMPUTED_VALUE"""),7.0)</f>
        <v>7</v>
      </c>
      <c r="E707" s="29">
        <f>IFERROR(__xludf.DUMMYFUNCTION("""COMPUTED_VALUE"""),44063.0)</f>
        <v>44063</v>
      </c>
      <c r="F707" s="26" t="str">
        <f>IFERROR(__xludf.DUMMYFUNCTION("""COMPUTED_VALUE"""),"5ee7b6ce868ce30ac49e2521")</f>
        <v>5ee7b6ce868ce30ac49e2521</v>
      </c>
      <c r="G707" s="26" t="str">
        <f>IFERROR(__xludf.DUMMYFUNCTION("""COMPUTED_VALUE"""),"Bryan Le")</f>
        <v>Bryan Le</v>
      </c>
      <c r="H707" s="26" t="b">
        <v>0</v>
      </c>
    </row>
    <row r="708" hidden="1">
      <c r="A708" s="26" t="str">
        <f>VLOOKUP(B708,'2020 SRED (JIRA) - Issues and l'!$B:$C,2,FALSE)</f>
        <v>insite-workflow-SRED</v>
      </c>
      <c r="B708" s="27" t="str">
        <f>IFERROR(__xludf.DUMMYFUNCTION("""COMPUTED_VALUE"""),"APPS-378")</f>
        <v>APPS-378</v>
      </c>
      <c r="C708" s="26" t="str">
        <f>IFERROR(__xludf.DUMMYFUNCTION("""COMPUTED_VALUE"""),"Update “Data Storage” of all relevant tables in the Sales Pipeline to use the version in the Product and Service Data sheet (and then delete the old tables in the Sales Pipeline Data sheet)")</f>
        <v>Update “Data Storage” of all relevant tables in the Sales Pipeline to use the version in the Product and Service Data sheet (and then delete the old tables in the Sales Pipeline Data sheet)</v>
      </c>
      <c r="D708" s="28">
        <f>IFERROR(__xludf.DUMMYFUNCTION("""COMPUTED_VALUE"""),8.0)</f>
        <v>8</v>
      </c>
      <c r="E708" s="29">
        <f>IFERROR(__xludf.DUMMYFUNCTION("""COMPUTED_VALUE"""),44063.0)</f>
        <v>44063</v>
      </c>
      <c r="F708" s="26" t="str">
        <f>IFERROR(__xludf.DUMMYFUNCTION("""COMPUTED_VALUE"""),"5ee7b6cf02b4400ac4b65399")</f>
        <v>5ee7b6cf02b4400ac4b65399</v>
      </c>
      <c r="G708" s="26" t="str">
        <f>IFERROR(__xludf.DUMMYFUNCTION("""COMPUTED_VALUE"""),"Jessica Obando")</f>
        <v>Jessica Obando</v>
      </c>
      <c r="H708" s="26" t="b">
        <v>0</v>
      </c>
    </row>
    <row r="709" hidden="1">
      <c r="A709" s="26" t="str">
        <f>VLOOKUP(B709,'2020 SRED (JIRA) - Issues and l'!$B:$C,2,FALSE)</f>
        <v>insite-workflow-SRED</v>
      </c>
      <c r="B709" s="27" t="str">
        <f>IFERROR(__xludf.DUMMYFUNCTION("""COMPUTED_VALUE"""),"APPS-264")</f>
        <v>APPS-264</v>
      </c>
      <c r="C709" s="26" t="str">
        <f>IFERROR(__xludf.DUMMYFUNCTION("""COMPUTED_VALUE"""),"Cleanup Tasks")</f>
        <v>Cleanup Tasks</v>
      </c>
      <c r="D709" s="28">
        <f>IFERROR(__xludf.DUMMYFUNCTION("""COMPUTED_VALUE"""),7.0)</f>
        <v>7</v>
      </c>
      <c r="E709" s="29">
        <f>IFERROR(__xludf.DUMMYFUNCTION("""COMPUTED_VALUE"""),44064.0)</f>
        <v>44064</v>
      </c>
      <c r="F709" s="26" t="str">
        <f>IFERROR(__xludf.DUMMYFUNCTION("""COMPUTED_VALUE"""),"5ee7b6ce868ce30ac49e2521")</f>
        <v>5ee7b6ce868ce30ac49e2521</v>
      </c>
      <c r="G709" s="26" t="str">
        <f>IFERROR(__xludf.DUMMYFUNCTION("""COMPUTED_VALUE"""),"Bryan Le")</f>
        <v>Bryan Le</v>
      </c>
      <c r="H709" s="26" t="b">
        <v>0</v>
      </c>
    </row>
    <row r="710" hidden="1">
      <c r="A710" s="26" t="str">
        <f>VLOOKUP(B710,'2020 SRED (JIRA) - Issues and l'!$B:$C,2,FALSE)</f>
        <v>insite-workflow-SRED</v>
      </c>
      <c r="B710" s="27" t="str">
        <f>IFERROR(__xludf.DUMMYFUNCTION("""COMPUTED_VALUE"""),"APPS-378")</f>
        <v>APPS-378</v>
      </c>
      <c r="C710" s="26" t="str">
        <f>IFERROR(__xludf.DUMMYFUNCTION("""COMPUTED_VALUE"""),"Update “Data Storage” of all relevant tables in the Sales Pipeline to use the version in the Product and Service Data sheet (and then delete the old tables in the Sales Pipeline Data sheet)")</f>
        <v>Update “Data Storage” of all relevant tables in the Sales Pipeline to use the version in the Product and Service Data sheet (and then delete the old tables in the Sales Pipeline Data sheet)</v>
      </c>
      <c r="D710" s="28">
        <f>IFERROR(__xludf.DUMMYFUNCTION("""COMPUTED_VALUE"""),7.0)</f>
        <v>7</v>
      </c>
      <c r="E710" s="29">
        <f>IFERROR(__xludf.DUMMYFUNCTION("""COMPUTED_VALUE"""),44064.0)</f>
        <v>44064</v>
      </c>
      <c r="F710" s="26" t="str">
        <f>IFERROR(__xludf.DUMMYFUNCTION("""COMPUTED_VALUE"""),"5ee7b6cf02b4400ac4b65399")</f>
        <v>5ee7b6cf02b4400ac4b65399</v>
      </c>
      <c r="G710" s="26" t="str">
        <f>IFERROR(__xludf.DUMMYFUNCTION("""COMPUTED_VALUE"""),"Jessica Obando")</f>
        <v>Jessica Obando</v>
      </c>
      <c r="H710" s="26" t="b">
        <v>0</v>
      </c>
    </row>
    <row r="711" hidden="1">
      <c r="A711" s="26" t="str">
        <f>VLOOKUP(B711,'2020 SRED (JIRA) - Issues and l'!$B:$C,2,FALSE)</f>
        <v>insite-event-SRED</v>
      </c>
      <c r="B711" s="27" t="str">
        <f>IFERROR(__xludf.DUMMYFUNCTION("""COMPUTED_VALUE"""),"ZAPI-111")</f>
        <v>ZAPI-111</v>
      </c>
      <c r="C711" s="26" t="str">
        <f>IFERROR(__xludf.DUMMYFUNCTION("""COMPUTED_VALUE"""),"Spin up events.impetusdigital.com portal to serve as a hub for SVTs")</f>
        <v>Spin up events.impetusdigital.com portal to serve as a hub for SVTs</v>
      </c>
      <c r="D711" s="28">
        <f>IFERROR(__xludf.DUMMYFUNCTION("""COMPUTED_VALUE"""),0.5)</f>
        <v>0.5</v>
      </c>
      <c r="E711" s="29">
        <f>IFERROR(__xludf.DUMMYFUNCTION("""COMPUTED_VALUE"""),44067.0)</f>
        <v>44067</v>
      </c>
      <c r="F711" s="26" t="str">
        <f>IFERROR(__xludf.DUMMYFUNCTION("""COMPUTED_VALUE"""),"557058:3124a1f0-e92a-405c-93f2-c1d4e621bc77")</f>
        <v>557058:3124a1f0-e92a-405c-93f2-c1d4e621bc77</v>
      </c>
      <c r="G711" s="26" t="str">
        <f>IFERROR(__xludf.DUMMYFUNCTION("""COMPUTED_VALUE"""),"Trevor Coehoorn")</f>
        <v>Trevor Coehoorn</v>
      </c>
      <c r="H711" s="26" t="b">
        <v>0</v>
      </c>
    </row>
    <row r="712" hidden="1">
      <c r="A712" s="26" t="str">
        <f>VLOOKUP(B712,'2020 SRED (JIRA) - Issues and l'!$B:$C,2,FALSE)</f>
        <v>portal-builder</v>
      </c>
      <c r="B712" s="27" t="str">
        <f>IFERROR(__xludf.DUMMYFUNCTION("""COMPUTED_VALUE"""),"IV2-31")</f>
        <v>IV2-31</v>
      </c>
      <c r="C712" s="26" t="str">
        <f>IFERROR(__xludf.DUMMYFUNCTION("""COMPUTED_VALUE"""),"V2 Status Meetings")</f>
        <v>V2 Status Meetings</v>
      </c>
      <c r="D712" s="28">
        <f>IFERROR(__xludf.DUMMYFUNCTION("""COMPUTED_VALUE"""),0.333333333333333)</f>
        <v>0.3333333333</v>
      </c>
      <c r="E712" s="29">
        <f>IFERROR(__xludf.DUMMYFUNCTION("""COMPUTED_VALUE"""),44067.0)</f>
        <v>44067</v>
      </c>
      <c r="F712" s="26" t="str">
        <f>IFERROR(__xludf.DUMMYFUNCTION("""COMPUTED_VALUE"""),"557058:3124a1f0-e92a-405c-93f2-c1d4e621bc77")</f>
        <v>557058:3124a1f0-e92a-405c-93f2-c1d4e621bc77</v>
      </c>
      <c r="G712" s="26" t="str">
        <f>IFERROR(__xludf.DUMMYFUNCTION("""COMPUTED_VALUE"""),"Trevor Coehoorn")</f>
        <v>Trevor Coehoorn</v>
      </c>
      <c r="H712" s="26" t="b">
        <v>0</v>
      </c>
    </row>
    <row r="713" hidden="1">
      <c r="A713" s="26" t="str">
        <f>VLOOKUP(B713,'2020 SRED (JIRA) - Issues and l'!$B:$C,2,FALSE)</f>
        <v>insite-event-SRED</v>
      </c>
      <c r="B713" s="27" t="str">
        <f>IFERROR(__xludf.DUMMYFUNCTION("""COMPUTED_VALUE"""),"ZAPI-6")</f>
        <v>ZAPI-6</v>
      </c>
      <c r="C713" s="26" t="str">
        <f>IFERROR(__xludf.DUMMYFUNCTION("""COMPUTED_VALUE"""),"Zoom API v2 (Registration Flow and Reporting)")</f>
        <v>Zoom API v2 (Registration Flow and Reporting)</v>
      </c>
      <c r="D713" s="28">
        <f>IFERROR(__xludf.DUMMYFUNCTION("""COMPUTED_VALUE"""),1.0)</f>
        <v>1</v>
      </c>
      <c r="E713" s="29">
        <f>IFERROR(__xludf.DUMMYFUNCTION("""COMPUTED_VALUE"""),44067.0)</f>
        <v>44067</v>
      </c>
      <c r="F713" s="26" t="str">
        <f>IFERROR(__xludf.DUMMYFUNCTION("""COMPUTED_VALUE"""),"557058:3124a1f0-e92a-405c-93f2-c1d4e621bc77")</f>
        <v>557058:3124a1f0-e92a-405c-93f2-c1d4e621bc77</v>
      </c>
      <c r="G713" s="26" t="str">
        <f>IFERROR(__xludf.DUMMYFUNCTION("""COMPUTED_VALUE"""),"Trevor Coehoorn")</f>
        <v>Trevor Coehoorn</v>
      </c>
      <c r="H713" s="26" t="b">
        <v>0</v>
      </c>
    </row>
    <row r="714" hidden="1">
      <c r="A714" s="26" t="str">
        <f>VLOOKUP(B714,'2020 SRED (JIRA) - Issues and l'!$B:$C,2,FALSE)</f>
        <v>insite-workflow-SRED</v>
      </c>
      <c r="B714" s="27" t="str">
        <f>IFERROR(__xludf.DUMMYFUNCTION("""COMPUTED_VALUE"""),"APPS-132")</f>
        <v>APPS-132</v>
      </c>
      <c r="C714" s="26" t="str">
        <f>IFERROR(__xludf.DUMMYFUNCTION("""COMPUTED_VALUE"""),"[Old] As a project manager, I can set up a new project based on a final proposal")</f>
        <v>[Old] As a project manager, I can set up a new project based on a final proposal</v>
      </c>
      <c r="D714" s="28">
        <f>IFERROR(__xludf.DUMMYFUNCTION("""COMPUTED_VALUE"""),7.0)</f>
        <v>7</v>
      </c>
      <c r="E714" s="29">
        <f>IFERROR(__xludf.DUMMYFUNCTION("""COMPUTED_VALUE"""),44067.0)</f>
        <v>44067</v>
      </c>
      <c r="F714" s="26" t="str">
        <f>IFERROR(__xludf.DUMMYFUNCTION("""COMPUTED_VALUE"""),"5ee7b6ce868ce30ac49e2521")</f>
        <v>5ee7b6ce868ce30ac49e2521</v>
      </c>
      <c r="G714" s="26" t="str">
        <f>IFERROR(__xludf.DUMMYFUNCTION("""COMPUTED_VALUE"""),"Bryan Le")</f>
        <v>Bryan Le</v>
      </c>
      <c r="H714" s="26" t="b">
        <v>0</v>
      </c>
    </row>
    <row r="715" hidden="1">
      <c r="A715" s="26" t="str">
        <f>VLOOKUP(B715,'2020 SRED (JIRA) - Issues and l'!$B:$C,2,FALSE)</f>
        <v>insite-workflow-SRED</v>
      </c>
      <c r="B715" s="27" t="str">
        <f>IFERROR(__xludf.DUMMYFUNCTION("""COMPUTED_VALUE"""),"APPS-388")</f>
        <v>APPS-388</v>
      </c>
      <c r="C715" s="26" t="str">
        <f>IFERROR(__xludf.DUMMYFUNCTION("""COMPUTED_VALUE"""),"Cleanup tasks")</f>
        <v>Cleanup tasks</v>
      </c>
      <c r="D715" s="28">
        <f>IFERROR(__xludf.DUMMYFUNCTION("""COMPUTED_VALUE"""),8.0)</f>
        <v>8</v>
      </c>
      <c r="E715" s="29">
        <f>IFERROR(__xludf.DUMMYFUNCTION("""COMPUTED_VALUE"""),44067.0)</f>
        <v>44067</v>
      </c>
      <c r="F715" s="26" t="str">
        <f>IFERROR(__xludf.DUMMYFUNCTION("""COMPUTED_VALUE"""),"5ee7b6cf02b4400ac4b65399")</f>
        <v>5ee7b6cf02b4400ac4b65399</v>
      </c>
      <c r="G715" s="26" t="str">
        <f>IFERROR(__xludf.DUMMYFUNCTION("""COMPUTED_VALUE"""),"Jessica Obando")</f>
        <v>Jessica Obando</v>
      </c>
      <c r="H715" s="26" t="b">
        <v>0</v>
      </c>
    </row>
    <row r="716" hidden="1">
      <c r="A716" s="26" t="str">
        <f>VLOOKUP(B716,'2020 SRED (JIRA) - Issues and l'!$B:$C,2,FALSE)</f>
        <v>insite-event-SRED</v>
      </c>
      <c r="B716" s="27" t="str">
        <f>IFERROR(__xludf.DUMMYFUNCTION("""COMPUTED_VALUE"""),"ZAPI-9")</f>
        <v>ZAPI-9</v>
      </c>
      <c r="C716" s="26" t="str">
        <f>IFERROR(__xludf.DUMMYFUNCTION("""COMPUTED_VALUE"""),"As an attendee, I can register for a meeting/webinar via our new Events portal")</f>
        <v>As an attendee, I can register for a meeting/webinar via our new Events portal</v>
      </c>
      <c r="D716" s="28">
        <f>IFERROR(__xludf.DUMMYFUNCTION("""COMPUTED_VALUE"""),4.0)</f>
        <v>4</v>
      </c>
      <c r="E716" s="29">
        <f>IFERROR(__xludf.DUMMYFUNCTION("""COMPUTED_VALUE"""),44067.33333333333)</f>
        <v>44067.33333</v>
      </c>
      <c r="F716" s="26" t="str">
        <f>IFERROR(__xludf.DUMMYFUNCTION("""COMPUTED_VALUE"""),"5e95be7f18b8ed0c0f5adb36")</f>
        <v>5e95be7f18b8ed0c0f5adb36</v>
      </c>
      <c r="G716" s="26" t="str">
        <f>IFERROR(__xludf.DUMMYFUNCTION("""COMPUTED_VALUE"""),"Frantisek Trusa")</f>
        <v>Frantisek Trusa</v>
      </c>
      <c r="H716" s="26" t="b">
        <v>0</v>
      </c>
    </row>
    <row r="717" hidden="1">
      <c r="A717" s="26" t="str">
        <f>VLOOKUP(B717,'2020 SRED (JIRA) - Issues and l'!$B:$C,2,FALSE)</f>
        <v>insite-event-SRED</v>
      </c>
      <c r="B717" s="27" t="str">
        <f>IFERROR(__xludf.DUMMYFUNCTION("""COMPUTED_VALUE"""),"ZAPI-9")</f>
        <v>ZAPI-9</v>
      </c>
      <c r="C717" s="26" t="str">
        <f>IFERROR(__xludf.DUMMYFUNCTION("""COMPUTED_VALUE"""),"As an attendee, I can register for a meeting/webinar via our new Events portal")</f>
        <v>As an attendee, I can register for a meeting/webinar via our new Events portal</v>
      </c>
      <c r="D717" s="28">
        <f>IFERROR(__xludf.DUMMYFUNCTION("""COMPUTED_VALUE"""),4.0)</f>
        <v>4</v>
      </c>
      <c r="E717" s="29">
        <f>IFERROR(__xludf.DUMMYFUNCTION("""COMPUTED_VALUE"""),44067.54166666667)</f>
        <v>44067.54167</v>
      </c>
      <c r="F717" s="26" t="str">
        <f>IFERROR(__xludf.DUMMYFUNCTION("""COMPUTED_VALUE"""),"5e95be7f18b8ed0c0f5adb36")</f>
        <v>5e95be7f18b8ed0c0f5adb36</v>
      </c>
      <c r="G717" s="26" t="str">
        <f>IFERROR(__xludf.DUMMYFUNCTION("""COMPUTED_VALUE"""),"Frantisek Trusa")</f>
        <v>Frantisek Trusa</v>
      </c>
      <c r="H717" s="26" t="b">
        <v>0</v>
      </c>
    </row>
    <row r="718" hidden="1">
      <c r="A718" s="26" t="str">
        <f>VLOOKUP(B718,'2020 SRED (JIRA) - Issues and l'!$B:$C,2,FALSE)</f>
        <v>portal-builder-SRED</v>
      </c>
      <c r="B718" s="27" t="str">
        <f>IFERROR(__xludf.DUMMYFUNCTION("""COMPUTED_VALUE"""),"ITP-1868")</f>
        <v>ITP-1868</v>
      </c>
      <c r="C718" s="26" t="str">
        <f>IFERROR(__xludf.DUMMYFUNCTION("""COMPUTED_VALUE"""),"Alternating line colours in annotated pdf reports")</f>
        <v>Alternating line colours in annotated pdf reports</v>
      </c>
      <c r="D718" s="28">
        <f>IFERROR(__xludf.DUMMYFUNCTION("""COMPUTED_VALUE"""),0.283333333333333)</f>
        <v>0.2833333333</v>
      </c>
      <c r="E718" s="29">
        <f>IFERROR(__xludf.DUMMYFUNCTION("""COMPUTED_VALUE"""),44068.0)</f>
        <v>44068</v>
      </c>
      <c r="F718" s="26" t="str">
        <f>IFERROR(__xludf.DUMMYFUNCTION("""COMPUTED_VALUE"""),"557058:3124a1f0-e92a-405c-93f2-c1d4e621bc77")</f>
        <v>557058:3124a1f0-e92a-405c-93f2-c1d4e621bc77</v>
      </c>
      <c r="G718" s="26" t="str">
        <f>IFERROR(__xludf.DUMMYFUNCTION("""COMPUTED_VALUE"""),"Trevor Coehoorn")</f>
        <v>Trevor Coehoorn</v>
      </c>
      <c r="H718" s="26" t="b">
        <v>0</v>
      </c>
    </row>
    <row r="719" hidden="1">
      <c r="A719" s="26" t="str">
        <f>VLOOKUP(B719,'2020 SRED (JIRA) - Issues and l'!$B:$C,2,FALSE)</f>
        <v>insite-event-SRED</v>
      </c>
      <c r="B719" s="27" t="str">
        <f>IFERROR(__xludf.DUMMYFUNCTION("""COMPUTED_VALUE"""),"ZAPI-81")</f>
        <v>ZAPI-81</v>
      </c>
      <c r="C719" s="26" t="str">
        <f>IFERROR(__xludf.DUMMYFUNCTION("""COMPUTED_VALUE"""),"Prevent meeting deletion on development/test portals")</f>
        <v>Prevent meeting deletion on development/test portals</v>
      </c>
      <c r="D719" s="28">
        <f>IFERROR(__xludf.DUMMYFUNCTION("""COMPUTED_VALUE"""),0.0333333333333333)</f>
        <v>0.03333333333</v>
      </c>
      <c r="E719" s="29">
        <f>IFERROR(__xludf.DUMMYFUNCTION("""COMPUTED_VALUE"""),44068.0)</f>
        <v>44068</v>
      </c>
      <c r="F719" s="26" t="str">
        <f>IFERROR(__xludf.DUMMYFUNCTION("""COMPUTED_VALUE"""),"557058:3124a1f0-e92a-405c-93f2-c1d4e621bc77")</f>
        <v>557058:3124a1f0-e92a-405c-93f2-c1d4e621bc77</v>
      </c>
      <c r="G719" s="26" t="str">
        <f>IFERROR(__xludf.DUMMYFUNCTION("""COMPUTED_VALUE"""),"Trevor Coehoorn")</f>
        <v>Trevor Coehoorn</v>
      </c>
      <c r="H719" s="26" t="b">
        <v>0</v>
      </c>
    </row>
    <row r="720" hidden="1">
      <c r="A720" s="26" t="str">
        <f>VLOOKUP(B720,'2020 SRED (JIRA) - Issues and l'!$B:$C,2,FALSE)</f>
        <v>insite-event-SRED</v>
      </c>
      <c r="B720" s="27" t="str">
        <f>IFERROR(__xludf.DUMMYFUNCTION("""COMPUTED_VALUE"""),"ZAPI-6")</f>
        <v>ZAPI-6</v>
      </c>
      <c r="C720" s="26" t="str">
        <f>IFERROR(__xludf.DUMMYFUNCTION("""COMPUTED_VALUE"""),"Zoom API v2 (Registration Flow and Reporting)")</f>
        <v>Zoom API v2 (Registration Flow and Reporting)</v>
      </c>
      <c r="D720" s="28">
        <f>IFERROR(__xludf.DUMMYFUNCTION("""COMPUTED_VALUE"""),0.45)</f>
        <v>0.45</v>
      </c>
      <c r="E720" s="29">
        <f>IFERROR(__xludf.DUMMYFUNCTION("""COMPUTED_VALUE"""),44068.0)</f>
        <v>44068</v>
      </c>
      <c r="F720" s="26" t="str">
        <f>IFERROR(__xludf.DUMMYFUNCTION("""COMPUTED_VALUE"""),"557058:3124a1f0-e92a-405c-93f2-c1d4e621bc77")</f>
        <v>557058:3124a1f0-e92a-405c-93f2-c1d4e621bc77</v>
      </c>
      <c r="G720" s="26" t="str">
        <f>IFERROR(__xludf.DUMMYFUNCTION("""COMPUTED_VALUE"""),"Trevor Coehoorn")</f>
        <v>Trevor Coehoorn</v>
      </c>
      <c r="H720" s="26" t="b">
        <v>0</v>
      </c>
    </row>
    <row r="721" hidden="1">
      <c r="A721" s="26" t="str">
        <f>VLOOKUP(B721,'2020 SRED (JIRA) - Issues and l'!$B:$C,2,FALSE)</f>
        <v>insite-workflow-SRED</v>
      </c>
      <c r="B721" s="27" t="str">
        <f>IFERROR(__xludf.DUMMYFUNCTION("""COMPUTED_VALUE"""),"APPS-351")</f>
        <v>APPS-351</v>
      </c>
      <c r="C721" s="26" t="str">
        <f>IFERROR(__xludf.DUMMYFUNCTION("""COMPUTED_VALUE"""),"As a CST user, I can log my time on applicable task types")</f>
        <v>As a CST user, I can log my time on applicable task types</v>
      </c>
      <c r="D721" s="28">
        <f>IFERROR(__xludf.DUMMYFUNCTION("""COMPUTED_VALUE"""),7.0)</f>
        <v>7</v>
      </c>
      <c r="E721" s="29">
        <f>IFERROR(__xludf.DUMMYFUNCTION("""COMPUTED_VALUE"""),44068.0)</f>
        <v>44068</v>
      </c>
      <c r="F721" s="26" t="str">
        <f>IFERROR(__xludf.DUMMYFUNCTION("""COMPUTED_VALUE"""),"5ee7b6ce868ce30ac49e2521")</f>
        <v>5ee7b6ce868ce30ac49e2521</v>
      </c>
      <c r="G721" s="26" t="str">
        <f>IFERROR(__xludf.DUMMYFUNCTION("""COMPUTED_VALUE"""),"Bryan Le")</f>
        <v>Bryan Le</v>
      </c>
      <c r="H721" s="26" t="b">
        <v>0</v>
      </c>
    </row>
    <row r="722" hidden="1">
      <c r="A722" s="26" t="str">
        <f>VLOOKUP(B722,'2020 SRED (JIRA) - Issues and l'!$B:$C,2,FALSE)</f>
        <v>insite-workflow-SRED</v>
      </c>
      <c r="B722" s="27" t="str">
        <f>IFERROR(__xludf.DUMMYFUNCTION("""COMPUTED_VALUE"""),"APPS-360")</f>
        <v>APPS-360</v>
      </c>
      <c r="C722" s="26" t="str">
        <f>IFERROR(__xludf.DUMMYFUNCTION("""COMPUTED_VALUE"""),"Migrate from test app to Follow-Up Manager app")</f>
        <v>Migrate from test app to Follow-Up Manager app</v>
      </c>
      <c r="D722" s="28">
        <f>IFERROR(__xludf.DUMMYFUNCTION("""COMPUTED_VALUE"""),7.0)</f>
        <v>7</v>
      </c>
      <c r="E722" s="29">
        <f>IFERROR(__xludf.DUMMYFUNCTION("""COMPUTED_VALUE"""),44068.0)</f>
        <v>44068</v>
      </c>
      <c r="F722" s="26" t="str">
        <f>IFERROR(__xludf.DUMMYFUNCTION("""COMPUTED_VALUE"""),"5ee7b6cf02b4400ac4b65399")</f>
        <v>5ee7b6cf02b4400ac4b65399</v>
      </c>
      <c r="G722" s="26" t="str">
        <f>IFERROR(__xludf.DUMMYFUNCTION("""COMPUTED_VALUE"""),"Jessica Obando")</f>
        <v>Jessica Obando</v>
      </c>
      <c r="H722" s="26" t="b">
        <v>0</v>
      </c>
    </row>
    <row r="723" hidden="1">
      <c r="A723" s="26" t="str">
        <f>VLOOKUP(B723,'2020 SRED (JIRA) - Issues and l'!$B:$C,2,FALSE)</f>
        <v>insite-event-SRED</v>
      </c>
      <c r="B723" s="27" t="str">
        <f>IFERROR(__xludf.DUMMYFUNCTION("""COMPUTED_VALUE"""),"ZAPI-9")</f>
        <v>ZAPI-9</v>
      </c>
      <c r="C723" s="26" t="str">
        <f>IFERROR(__xludf.DUMMYFUNCTION("""COMPUTED_VALUE"""),"As an attendee, I can register for a meeting/webinar via our new Events portal")</f>
        <v>As an attendee, I can register for a meeting/webinar via our new Events portal</v>
      </c>
      <c r="D723" s="28">
        <f>IFERROR(__xludf.DUMMYFUNCTION("""COMPUTED_VALUE"""),4.0)</f>
        <v>4</v>
      </c>
      <c r="E723" s="29">
        <f>IFERROR(__xludf.DUMMYFUNCTION("""COMPUTED_VALUE"""),44068.33333333333)</f>
        <v>44068.33333</v>
      </c>
      <c r="F723" s="26" t="str">
        <f>IFERROR(__xludf.DUMMYFUNCTION("""COMPUTED_VALUE"""),"5e95be7f18b8ed0c0f5adb36")</f>
        <v>5e95be7f18b8ed0c0f5adb36</v>
      </c>
      <c r="G723" s="26" t="str">
        <f>IFERROR(__xludf.DUMMYFUNCTION("""COMPUTED_VALUE"""),"Frantisek Trusa")</f>
        <v>Frantisek Trusa</v>
      </c>
      <c r="H723" s="26" t="b">
        <v>0</v>
      </c>
    </row>
    <row r="724" hidden="1">
      <c r="A724" s="26" t="str">
        <f>VLOOKUP(B724,'2020 SRED (JIRA) - Issues and l'!$B:$C,2,FALSE)</f>
        <v>insite-event-SRED</v>
      </c>
      <c r="B724" s="27" t="str">
        <f>IFERROR(__xludf.DUMMYFUNCTION("""COMPUTED_VALUE"""),"ZAPI-9")</f>
        <v>ZAPI-9</v>
      </c>
      <c r="C724" s="26" t="str">
        <f>IFERROR(__xludf.DUMMYFUNCTION("""COMPUTED_VALUE"""),"As an attendee, I can register for a meeting/webinar via our new Events portal")</f>
        <v>As an attendee, I can register for a meeting/webinar via our new Events portal</v>
      </c>
      <c r="D724" s="28">
        <f>IFERROR(__xludf.DUMMYFUNCTION("""COMPUTED_VALUE"""),4.0)</f>
        <v>4</v>
      </c>
      <c r="E724" s="29">
        <f>IFERROR(__xludf.DUMMYFUNCTION("""COMPUTED_VALUE"""),44068.54166666667)</f>
        <v>44068.54167</v>
      </c>
      <c r="F724" s="26" t="str">
        <f>IFERROR(__xludf.DUMMYFUNCTION("""COMPUTED_VALUE"""),"5e95be7f18b8ed0c0f5adb36")</f>
        <v>5e95be7f18b8ed0c0f5adb36</v>
      </c>
      <c r="G724" s="26" t="str">
        <f>IFERROR(__xludf.DUMMYFUNCTION("""COMPUTED_VALUE"""),"Frantisek Trusa")</f>
        <v>Frantisek Trusa</v>
      </c>
      <c r="H724" s="26" t="b">
        <v>0</v>
      </c>
    </row>
    <row r="725" hidden="1">
      <c r="A725" s="26" t="str">
        <f>VLOOKUP(B725,'2020 SRED (JIRA) - Issues and l'!$B:$C,2,FALSE)</f>
        <v>insite-event-SRED</v>
      </c>
      <c r="B725" s="27" t="str">
        <f>IFERROR(__xludf.DUMMYFUNCTION("""COMPUTED_VALUE"""),"ZAPI-113")</f>
        <v>ZAPI-113</v>
      </c>
      <c r="C725" s="26" t="str">
        <f>IFERROR(__xludf.DUMMYFUNCTION("""COMPUTED_VALUE"""),"Fix table display in panel for participants report")</f>
        <v>Fix table display in panel for participants report</v>
      </c>
      <c r="D725" s="28">
        <f>IFERROR(__xludf.DUMMYFUNCTION("""COMPUTED_VALUE"""),0.216666666666666)</f>
        <v>0.2166666667</v>
      </c>
      <c r="E725" s="29">
        <f>IFERROR(__xludf.DUMMYFUNCTION("""COMPUTED_VALUE"""),44069.0)</f>
        <v>44069</v>
      </c>
      <c r="F725" s="26" t="str">
        <f>IFERROR(__xludf.DUMMYFUNCTION("""COMPUTED_VALUE"""),"557058:3124a1f0-e92a-405c-93f2-c1d4e621bc77")</f>
        <v>557058:3124a1f0-e92a-405c-93f2-c1d4e621bc77</v>
      </c>
      <c r="G725" s="26" t="str">
        <f>IFERROR(__xludf.DUMMYFUNCTION("""COMPUTED_VALUE"""),"Trevor Coehoorn")</f>
        <v>Trevor Coehoorn</v>
      </c>
      <c r="H725" s="26" t="b">
        <v>0</v>
      </c>
    </row>
    <row r="726" hidden="1">
      <c r="A726" s="26" t="str">
        <f>VLOOKUP(B726,'2020 SRED (JIRA) - Issues and l'!$B:$C,2,FALSE)</f>
        <v>insite-event-SRED</v>
      </c>
      <c r="B726" s="27" t="str">
        <f>IFERROR(__xludf.DUMMYFUNCTION("""COMPUTED_VALUE"""),"ZAPI-95")</f>
        <v>ZAPI-95</v>
      </c>
      <c r="C726" s="26" t="str">
        <f>IFERROR(__xludf.DUMMYFUNCTION("""COMPUTED_VALUE"""),"When transfer from Zoom to S3 is in progress, show progress updates using AJAX and then prompt user to refresh the page when complete")</f>
        <v>When transfer from Zoom to S3 is in progress, show progress updates using AJAX and then prompt user to refresh the page when complete</v>
      </c>
      <c r="D726" s="28">
        <f>IFERROR(__xludf.DUMMYFUNCTION("""COMPUTED_VALUE"""),0.0333333333333333)</f>
        <v>0.03333333333</v>
      </c>
      <c r="E726" s="29">
        <f>IFERROR(__xludf.DUMMYFUNCTION("""COMPUTED_VALUE"""),44069.0)</f>
        <v>44069</v>
      </c>
      <c r="F726" s="26" t="str">
        <f>IFERROR(__xludf.DUMMYFUNCTION("""COMPUTED_VALUE"""),"557058:3124a1f0-e92a-405c-93f2-c1d4e621bc77")</f>
        <v>557058:3124a1f0-e92a-405c-93f2-c1d4e621bc77</v>
      </c>
      <c r="G726" s="26" t="str">
        <f>IFERROR(__xludf.DUMMYFUNCTION("""COMPUTED_VALUE"""),"Trevor Coehoorn")</f>
        <v>Trevor Coehoorn</v>
      </c>
      <c r="H726" s="26" t="b">
        <v>0</v>
      </c>
    </row>
    <row r="727" hidden="1">
      <c r="A727" s="26" t="str">
        <f>VLOOKUP(B727,'2020 SRED (JIRA) - Issues and l'!$B:$C,2,FALSE)</f>
        <v>insite-event-SRED</v>
      </c>
      <c r="B727" s="27" t="str">
        <f>IFERROR(__xludf.DUMMYFUNCTION("""COMPUTED_VALUE"""),"ZAPI-90")</f>
        <v>ZAPI-90</v>
      </c>
      <c r="C727" s="26" t="str">
        <f>IFERROR(__xludf.DUMMYFUNCTION("""COMPUTED_VALUE"""),"When 'Show reports in the meeting pane' is checked on the meeting panel, show a list of checkboxes to enable/disable the display of available report sections (recordings, Q&amp;A, polling, participants, etc.) — the options will depend on the meeting type")</f>
        <v>When 'Show reports in the meeting pane' is checked on the meeting panel, show a list of checkboxes to enable/disable the display of available report sections (recordings, Q&amp;A, polling, participants, etc.) — the options will depend on the meeting type</v>
      </c>
      <c r="D727" s="28">
        <f>IFERROR(__xludf.DUMMYFUNCTION("""COMPUTED_VALUE"""),0.183333333333333)</f>
        <v>0.1833333333</v>
      </c>
      <c r="E727" s="29">
        <f>IFERROR(__xludf.DUMMYFUNCTION("""COMPUTED_VALUE"""),44069.0)</f>
        <v>44069</v>
      </c>
      <c r="F727" s="26" t="str">
        <f>IFERROR(__xludf.DUMMYFUNCTION("""COMPUTED_VALUE"""),"557058:3124a1f0-e92a-405c-93f2-c1d4e621bc77")</f>
        <v>557058:3124a1f0-e92a-405c-93f2-c1d4e621bc77</v>
      </c>
      <c r="G727" s="26" t="str">
        <f>IFERROR(__xludf.DUMMYFUNCTION("""COMPUTED_VALUE"""),"Trevor Coehoorn")</f>
        <v>Trevor Coehoorn</v>
      </c>
      <c r="H727" s="26" t="b">
        <v>0</v>
      </c>
    </row>
    <row r="728" hidden="1">
      <c r="A728" s="26" t="str">
        <f>VLOOKUP(B728,'2020 SRED (JIRA) - Issues and l'!$B:$C,2,FALSE)</f>
        <v>insite-event-SRED</v>
      </c>
      <c r="B728" s="27" t="str">
        <f>IFERROR(__xludf.DUMMYFUNCTION("""COMPUTED_VALUE"""),"ZAPI-13")</f>
        <v>ZAPI-13</v>
      </c>
      <c r="C728" s="26" t="str">
        <f>IFERROR(__xludf.DUMMYFUNCTION("""COMPUTED_VALUE"""),"As an attendee, I can access meeting/webinar recordings via the portal")</f>
        <v>As an attendee, I can access meeting/webinar recordings via the portal</v>
      </c>
      <c r="D728" s="28">
        <f>IFERROR(__xludf.DUMMYFUNCTION("""COMPUTED_VALUE"""),0.0833333333333333)</f>
        <v>0.08333333333</v>
      </c>
      <c r="E728" s="29">
        <f>IFERROR(__xludf.DUMMYFUNCTION("""COMPUTED_VALUE"""),44069.0)</f>
        <v>44069</v>
      </c>
      <c r="F728" s="26" t="str">
        <f>IFERROR(__xludf.DUMMYFUNCTION("""COMPUTED_VALUE"""),"557058:3124a1f0-e92a-405c-93f2-c1d4e621bc77")</f>
        <v>557058:3124a1f0-e92a-405c-93f2-c1d4e621bc77</v>
      </c>
      <c r="G728" s="26" t="str">
        <f>IFERROR(__xludf.DUMMYFUNCTION("""COMPUTED_VALUE"""),"Trevor Coehoorn")</f>
        <v>Trevor Coehoorn</v>
      </c>
      <c r="H728" s="26" t="b">
        <v>0</v>
      </c>
    </row>
    <row r="729" hidden="1">
      <c r="A729" s="26" t="str">
        <f>VLOOKUP(B729,'2020 SRED (JIRA) - Issues and l'!$B:$C,2,FALSE)</f>
        <v>insite-event-SRED</v>
      </c>
      <c r="B729" s="27" t="str">
        <f>IFERROR(__xludf.DUMMYFUNCTION("""COMPUTED_VALUE"""),"ZAPI-111")</f>
        <v>ZAPI-111</v>
      </c>
      <c r="C729" s="26" t="str">
        <f>IFERROR(__xludf.DUMMYFUNCTION("""COMPUTED_VALUE"""),"Spin up events.impetusdigital.com portal to serve as a hub for SVTs")</f>
        <v>Spin up events.impetusdigital.com portal to serve as a hub for SVTs</v>
      </c>
      <c r="D729" s="28">
        <f>IFERROR(__xludf.DUMMYFUNCTION("""COMPUTED_VALUE"""),1.88333333333333)</f>
        <v>1.883333333</v>
      </c>
      <c r="E729" s="29">
        <f>IFERROR(__xludf.DUMMYFUNCTION("""COMPUTED_VALUE"""),44069.0)</f>
        <v>44069</v>
      </c>
      <c r="F729" s="26" t="str">
        <f>IFERROR(__xludf.DUMMYFUNCTION("""COMPUTED_VALUE"""),"557058:3124a1f0-e92a-405c-93f2-c1d4e621bc77")</f>
        <v>557058:3124a1f0-e92a-405c-93f2-c1d4e621bc77</v>
      </c>
      <c r="G729" s="26" t="str">
        <f>IFERROR(__xludf.DUMMYFUNCTION("""COMPUTED_VALUE"""),"Trevor Coehoorn")</f>
        <v>Trevor Coehoorn</v>
      </c>
      <c r="H729" s="26" t="b">
        <v>0</v>
      </c>
    </row>
    <row r="730" hidden="1">
      <c r="A730" s="26" t="str">
        <f>VLOOKUP(B730,'2020 SRED (JIRA) - Issues and l'!$B:$C,2,FALSE)</f>
        <v>insite-event-SRED</v>
      </c>
      <c r="B730" s="27" t="str">
        <f>IFERROR(__xludf.DUMMYFUNCTION("""COMPUTED_VALUE"""),"ZAPI-65")</f>
        <v>ZAPI-65</v>
      </c>
      <c r="C730" s="26" t="str">
        <f>IFERROR(__xludf.DUMMYFUNCTION("""COMPUTED_VALUE"""),"Prevent users from trying to add more than 25 polls")</f>
        <v>Prevent users from trying to add more than 25 polls</v>
      </c>
      <c r="D730" s="28">
        <f>IFERROR(__xludf.DUMMYFUNCTION("""COMPUTED_VALUE"""),0.183333333333333)</f>
        <v>0.1833333333</v>
      </c>
      <c r="E730" s="29">
        <f>IFERROR(__xludf.DUMMYFUNCTION("""COMPUTED_VALUE"""),44069.0)</f>
        <v>44069</v>
      </c>
      <c r="F730" s="26" t="str">
        <f>IFERROR(__xludf.DUMMYFUNCTION("""COMPUTED_VALUE"""),"557058:3124a1f0-e92a-405c-93f2-c1d4e621bc77")</f>
        <v>557058:3124a1f0-e92a-405c-93f2-c1d4e621bc77</v>
      </c>
      <c r="G730" s="26" t="str">
        <f>IFERROR(__xludf.DUMMYFUNCTION("""COMPUTED_VALUE"""),"Trevor Coehoorn")</f>
        <v>Trevor Coehoorn</v>
      </c>
      <c r="H730" s="26" t="b">
        <v>0</v>
      </c>
    </row>
    <row r="731" hidden="1">
      <c r="A731" s="26" t="str">
        <f>VLOOKUP(B731,'2020 SRED (JIRA) - Issues and l'!$B:$C,2,FALSE)</f>
        <v>insite-event-SRED</v>
      </c>
      <c r="B731" s="27" t="str">
        <f>IFERROR(__xludf.DUMMYFUNCTION("""COMPUTED_VALUE"""),"ZAPI-6")</f>
        <v>ZAPI-6</v>
      </c>
      <c r="C731" s="26" t="str">
        <f>IFERROR(__xludf.DUMMYFUNCTION("""COMPUTED_VALUE"""),"Zoom API v2 (Registration Flow and Reporting)")</f>
        <v>Zoom API v2 (Registration Flow and Reporting)</v>
      </c>
      <c r="D731" s="28">
        <f>IFERROR(__xludf.DUMMYFUNCTION("""COMPUTED_VALUE"""),0.65)</f>
        <v>0.65</v>
      </c>
      <c r="E731" s="29">
        <f>IFERROR(__xludf.DUMMYFUNCTION("""COMPUTED_VALUE"""),44069.0)</f>
        <v>44069</v>
      </c>
      <c r="F731" s="26" t="str">
        <f>IFERROR(__xludf.DUMMYFUNCTION("""COMPUTED_VALUE"""),"557058:3124a1f0-e92a-405c-93f2-c1d4e621bc77")</f>
        <v>557058:3124a1f0-e92a-405c-93f2-c1d4e621bc77</v>
      </c>
      <c r="G731" s="26" t="str">
        <f>IFERROR(__xludf.DUMMYFUNCTION("""COMPUTED_VALUE"""),"Trevor Coehoorn")</f>
        <v>Trevor Coehoorn</v>
      </c>
      <c r="H731" s="26" t="b">
        <v>0</v>
      </c>
    </row>
    <row r="732" hidden="1">
      <c r="A732" s="26" t="str">
        <f>VLOOKUP(B732,'2020 SRED (JIRA) - Issues and l'!$B:$C,2,FALSE)</f>
        <v>insite-workflow-SRED</v>
      </c>
      <c r="B732" s="27" t="str">
        <f>IFERROR(__xludf.DUMMYFUNCTION("""COMPUTED_VALUE"""),"APPS-414")</f>
        <v>APPS-414</v>
      </c>
      <c r="C732" s="26" t="str">
        <f>IFERROR(__xludf.DUMMYFUNCTION("""COMPUTED_VALUE"""),"Create a predetermined task list table for SVT requests.")</f>
        <v>Create a predetermined task list table for SVT requests.</v>
      </c>
      <c r="D732" s="28">
        <f>IFERROR(__xludf.DUMMYFUNCTION("""COMPUTED_VALUE"""),7.0)</f>
        <v>7</v>
      </c>
      <c r="E732" s="29">
        <f>IFERROR(__xludf.DUMMYFUNCTION("""COMPUTED_VALUE"""),44069.0)</f>
        <v>44069</v>
      </c>
      <c r="F732" s="26" t="str">
        <f>IFERROR(__xludf.DUMMYFUNCTION("""COMPUTED_VALUE"""),"5ee7b6ce868ce30ac49e2521")</f>
        <v>5ee7b6ce868ce30ac49e2521</v>
      </c>
      <c r="G732" s="26" t="str">
        <f>IFERROR(__xludf.DUMMYFUNCTION("""COMPUTED_VALUE"""),"Bryan Le")</f>
        <v>Bryan Le</v>
      </c>
      <c r="H732" s="26" t="b">
        <v>0</v>
      </c>
    </row>
    <row r="733" hidden="1">
      <c r="A733" s="26" t="str">
        <f>VLOOKUP(B733,'2020 SRED (JIRA) - Issues and l'!$B:$C,2,FALSE)</f>
        <v>insite-workflow-SRED</v>
      </c>
      <c r="B733" s="27" t="str">
        <f>IFERROR(__xludf.DUMMYFUNCTION("""COMPUTED_VALUE"""),"APPS-413")</f>
        <v>APPS-413</v>
      </c>
      <c r="C733" s="26" t="str">
        <f>IFERROR(__xludf.DUMMYFUNCTION("""COMPUTED_VALUE"""),"Create a relation between the sales pipeline and the follow up manager ")</f>
        <v>Create a relation between the sales pipeline and the follow up manager </v>
      </c>
      <c r="D733" s="28">
        <f>IFERROR(__xludf.DUMMYFUNCTION("""COMPUTED_VALUE"""),7.0)</f>
        <v>7</v>
      </c>
      <c r="E733" s="29">
        <f>IFERROR(__xludf.DUMMYFUNCTION("""COMPUTED_VALUE"""),44069.0)</f>
        <v>44069</v>
      </c>
      <c r="F733" s="26" t="str">
        <f>IFERROR(__xludf.DUMMYFUNCTION("""COMPUTED_VALUE"""),"5ee7b6cf02b4400ac4b65399")</f>
        <v>5ee7b6cf02b4400ac4b65399</v>
      </c>
      <c r="G733" s="26" t="str">
        <f>IFERROR(__xludf.DUMMYFUNCTION("""COMPUTED_VALUE"""),"Jessica Obando")</f>
        <v>Jessica Obando</v>
      </c>
      <c r="H733" s="26" t="b">
        <v>0</v>
      </c>
    </row>
    <row r="734" hidden="1">
      <c r="A734" s="26" t="str">
        <f>VLOOKUP(B734,'2020 SRED (JIRA) - Issues and l'!$B:$C,2,FALSE)</f>
        <v>insite-event-SRED</v>
      </c>
      <c r="B734" s="27" t="str">
        <f>IFERROR(__xludf.DUMMYFUNCTION("""COMPUTED_VALUE"""),"ZAPI-63")</f>
        <v>ZAPI-63</v>
      </c>
      <c r="C734" s="26" t="str">
        <f>IFERROR(__xludf.DUMMYFUNCTION("""COMPUTED_VALUE"""),"Zoom API v1.1 (Cleanup) 🧹")</f>
        <v>Zoom API v1.1 (Cleanup) 🧹</v>
      </c>
      <c r="D734" s="28">
        <f>IFERROR(__xludf.DUMMYFUNCTION("""COMPUTED_VALUE"""),4.0)</f>
        <v>4</v>
      </c>
      <c r="E734" s="29">
        <f>IFERROR(__xludf.DUMMYFUNCTION("""COMPUTED_VALUE"""),44069.33333333333)</f>
        <v>44069.33333</v>
      </c>
      <c r="F734" s="26" t="str">
        <f>IFERROR(__xludf.DUMMYFUNCTION("""COMPUTED_VALUE"""),"5e95be7f18b8ed0c0f5adb36")</f>
        <v>5e95be7f18b8ed0c0f5adb36</v>
      </c>
      <c r="G734" s="26" t="str">
        <f>IFERROR(__xludf.DUMMYFUNCTION("""COMPUTED_VALUE"""),"Frantisek Trusa")</f>
        <v>Frantisek Trusa</v>
      </c>
      <c r="H734" s="26" t="b">
        <v>0</v>
      </c>
    </row>
    <row r="735" hidden="1">
      <c r="A735" s="26" t="str">
        <f>VLOOKUP(B735,'2020 SRED (JIRA) - Issues and l'!$B:$C,2,FALSE)</f>
        <v>insite-event-SRED</v>
      </c>
      <c r="B735" s="27" t="str">
        <f>IFERROR(__xludf.DUMMYFUNCTION("""COMPUTED_VALUE"""),"ZAPI-18")</f>
        <v>ZAPI-18</v>
      </c>
      <c r="C735" s="26" t="str">
        <f>IFERROR(__xludf.DUMMYFUNCTION("""COMPUTED_VALUE"""),"As a client, I can access a meeting report with webinar attendance, meeting/webinar polling, Q&amp;A, and other webinar reports via Reports API")</f>
        <v>As a client, I can access a meeting report with webinar attendance, meeting/webinar polling, Q&amp;A, and other webinar reports via Reports API</v>
      </c>
      <c r="D735" s="28">
        <f>IFERROR(__xludf.DUMMYFUNCTION("""COMPUTED_VALUE"""),4.0)</f>
        <v>4</v>
      </c>
      <c r="E735" s="29">
        <f>IFERROR(__xludf.DUMMYFUNCTION("""COMPUTED_VALUE"""),44069.54166666667)</f>
        <v>44069.54167</v>
      </c>
      <c r="F735" s="26" t="str">
        <f>IFERROR(__xludf.DUMMYFUNCTION("""COMPUTED_VALUE"""),"5e95be7f18b8ed0c0f5adb36")</f>
        <v>5e95be7f18b8ed0c0f5adb36</v>
      </c>
      <c r="G735" s="26" t="str">
        <f>IFERROR(__xludf.DUMMYFUNCTION("""COMPUTED_VALUE"""),"Frantisek Trusa")</f>
        <v>Frantisek Trusa</v>
      </c>
      <c r="H735" s="26" t="b">
        <v>0</v>
      </c>
    </row>
    <row r="736" hidden="1">
      <c r="A736" s="26" t="str">
        <f>VLOOKUP(B736,'2020 SRED (JIRA) - Issues and l'!$B:$C,2,FALSE)</f>
        <v>insite-event-SRED</v>
      </c>
      <c r="B736" s="27" t="str">
        <f>IFERROR(__xludf.DUMMYFUNCTION("""COMPUTED_VALUE"""),"ZAPI-6")</f>
        <v>ZAPI-6</v>
      </c>
      <c r="C736" s="26" t="str">
        <f>IFERROR(__xludf.DUMMYFUNCTION("""COMPUTED_VALUE"""),"Zoom API v2 (Registration Flow and Reporting)")</f>
        <v>Zoom API v2 (Registration Flow and Reporting)</v>
      </c>
      <c r="D736" s="28">
        <f>IFERROR(__xludf.DUMMYFUNCTION("""COMPUTED_VALUE"""),0.45)</f>
        <v>0.45</v>
      </c>
      <c r="E736" s="29">
        <f>IFERROR(__xludf.DUMMYFUNCTION("""COMPUTED_VALUE"""),44070.0)</f>
        <v>44070</v>
      </c>
      <c r="F736" s="26" t="str">
        <f>IFERROR(__xludf.DUMMYFUNCTION("""COMPUTED_VALUE"""),"557058:3124a1f0-e92a-405c-93f2-c1d4e621bc77")</f>
        <v>557058:3124a1f0-e92a-405c-93f2-c1d4e621bc77</v>
      </c>
      <c r="G736" s="26" t="str">
        <f>IFERROR(__xludf.DUMMYFUNCTION("""COMPUTED_VALUE"""),"Trevor Coehoorn")</f>
        <v>Trevor Coehoorn</v>
      </c>
      <c r="H736" s="26" t="b">
        <v>0</v>
      </c>
    </row>
    <row r="737" hidden="1">
      <c r="A737" s="26" t="str">
        <f>VLOOKUP(B737,'2020 SRED (JIRA) - Issues and l'!$B:$C,2,FALSE)</f>
        <v>insite-workflow-SRED</v>
      </c>
      <c r="B737" s="27" t="str">
        <f>IFERROR(__xludf.DUMMYFUNCTION("""COMPUTED_VALUE"""),"APPS-80")</f>
        <v>APPS-80</v>
      </c>
      <c r="C737" s="26" t="str">
        <f>IFERROR(__xludf.DUMMYFUNCTION("""COMPUTED_VALUE"""),"Projects app (v1)")</f>
        <v>Projects app (v1)</v>
      </c>
      <c r="D737" s="28">
        <f>IFERROR(__xludf.DUMMYFUNCTION("""COMPUTED_VALUE"""),7.0)</f>
        <v>7</v>
      </c>
      <c r="E737" s="29">
        <f>IFERROR(__xludf.DUMMYFUNCTION("""COMPUTED_VALUE"""),44070.0)</f>
        <v>44070</v>
      </c>
      <c r="F737" s="26" t="str">
        <f>IFERROR(__xludf.DUMMYFUNCTION("""COMPUTED_VALUE"""),"5ee7b6ce868ce30ac49e2521")</f>
        <v>5ee7b6ce868ce30ac49e2521</v>
      </c>
      <c r="G737" s="26" t="str">
        <f>IFERROR(__xludf.DUMMYFUNCTION("""COMPUTED_VALUE"""),"Bryan Le")</f>
        <v>Bryan Le</v>
      </c>
      <c r="H737" s="26" t="b">
        <v>0</v>
      </c>
    </row>
    <row r="738" hidden="1">
      <c r="A738" s="26" t="str">
        <f>VLOOKUP(B738,'2020 SRED (JIRA) - Issues and l'!$B:$C,2,FALSE)</f>
        <v>insite-workflow-SRED</v>
      </c>
      <c r="B738" s="27" t="str">
        <f>IFERROR(__xludf.DUMMYFUNCTION("""COMPUTED_VALUE"""),"APPS-57")</f>
        <v>APPS-57</v>
      </c>
      <c r="C738" s="26" t="str">
        <f>IFERROR(__xludf.DUMMYFUNCTION("""COMPUTED_VALUE"""),"As a marketer, I can create website download demo request forms with processing queues and automatic follow-ups")</f>
        <v>As a marketer, I can create website download demo request forms with processing queues and automatic follow-ups</v>
      </c>
      <c r="D738" s="28">
        <f>IFERROR(__xludf.DUMMYFUNCTION("""COMPUTED_VALUE"""),7.0)</f>
        <v>7</v>
      </c>
      <c r="E738" s="29">
        <f>IFERROR(__xludf.DUMMYFUNCTION("""COMPUTED_VALUE"""),44070.0)</f>
        <v>44070</v>
      </c>
      <c r="F738" s="26" t="str">
        <f>IFERROR(__xludf.DUMMYFUNCTION("""COMPUTED_VALUE"""),"5ee7b6cf02b4400ac4b65399")</f>
        <v>5ee7b6cf02b4400ac4b65399</v>
      </c>
      <c r="G738" s="26" t="str">
        <f>IFERROR(__xludf.DUMMYFUNCTION("""COMPUTED_VALUE"""),"Jessica Obando")</f>
        <v>Jessica Obando</v>
      </c>
      <c r="H738" s="26" t="b">
        <v>0</v>
      </c>
    </row>
    <row r="739" hidden="1">
      <c r="A739" s="26" t="str">
        <f>VLOOKUP(B739,'2020 SRED (JIRA) - Issues and l'!$B:$C,2,FALSE)</f>
        <v>insite-event-SRED</v>
      </c>
      <c r="B739" s="27" t="str">
        <f>IFERROR(__xludf.DUMMYFUNCTION("""COMPUTED_VALUE"""),"ZAPI-13")</f>
        <v>ZAPI-13</v>
      </c>
      <c r="C739" s="26" t="str">
        <f>IFERROR(__xludf.DUMMYFUNCTION("""COMPUTED_VALUE"""),"As an attendee, I can access meeting/webinar recordings via the portal")</f>
        <v>As an attendee, I can access meeting/webinar recordings via the portal</v>
      </c>
      <c r="D739" s="28">
        <f>IFERROR(__xludf.DUMMYFUNCTION("""COMPUTED_VALUE"""),4.0)</f>
        <v>4</v>
      </c>
      <c r="E739" s="29">
        <f>IFERROR(__xludf.DUMMYFUNCTION("""COMPUTED_VALUE"""),44070.33333333333)</f>
        <v>44070.33333</v>
      </c>
      <c r="F739" s="26" t="str">
        <f>IFERROR(__xludf.DUMMYFUNCTION("""COMPUTED_VALUE"""),"5e95be7f18b8ed0c0f5adb36")</f>
        <v>5e95be7f18b8ed0c0f5adb36</v>
      </c>
      <c r="G739" s="26" t="str">
        <f>IFERROR(__xludf.DUMMYFUNCTION("""COMPUTED_VALUE"""),"Frantisek Trusa")</f>
        <v>Frantisek Trusa</v>
      </c>
      <c r="H739" s="26" t="b">
        <v>0</v>
      </c>
    </row>
    <row r="740" hidden="1">
      <c r="A740" s="26" t="str">
        <f>VLOOKUP(B740,'2020 SRED (JIRA) - Issues and l'!$B:$C,2,FALSE)</f>
        <v>insite-event-SRED</v>
      </c>
      <c r="B740" s="27" t="str">
        <f>IFERROR(__xludf.DUMMYFUNCTION("""COMPUTED_VALUE"""),"ZAPI-25")</f>
        <v>ZAPI-25</v>
      </c>
      <c r="C740" s="26" t="str">
        <f>IFERROR(__xludf.DUMMYFUNCTION("""COMPUTED_VALUE"""),"As a meeting administrator, I can trim the meeting recording")</f>
        <v>As a meeting administrator, I can trim the meeting recording</v>
      </c>
      <c r="D740" s="28">
        <f>IFERROR(__xludf.DUMMYFUNCTION("""COMPUTED_VALUE"""),4.0)</f>
        <v>4</v>
      </c>
      <c r="E740" s="29">
        <f>IFERROR(__xludf.DUMMYFUNCTION("""COMPUTED_VALUE"""),44070.54166666667)</f>
        <v>44070.54167</v>
      </c>
      <c r="F740" s="26" t="str">
        <f>IFERROR(__xludf.DUMMYFUNCTION("""COMPUTED_VALUE"""),"5e95be7f18b8ed0c0f5adb36")</f>
        <v>5e95be7f18b8ed0c0f5adb36</v>
      </c>
      <c r="G740" s="26" t="str">
        <f>IFERROR(__xludf.DUMMYFUNCTION("""COMPUTED_VALUE"""),"Frantisek Trusa")</f>
        <v>Frantisek Trusa</v>
      </c>
      <c r="H740" s="26" t="b">
        <v>0</v>
      </c>
    </row>
    <row r="741" hidden="1">
      <c r="A741" s="26" t="str">
        <f>VLOOKUP(B741,'2020 SRED (JIRA) - Issues and l'!$B:$C,2,FALSE)</f>
        <v>insite-workflow-SRED</v>
      </c>
      <c r="B741" s="27" t="str">
        <f>IFERROR(__xludf.DUMMYFUNCTION("""COMPUTED_VALUE"""),"APPS-132")</f>
        <v>APPS-132</v>
      </c>
      <c r="C741" s="26" t="str">
        <f>IFERROR(__xludf.DUMMYFUNCTION("""COMPUTED_VALUE"""),"[Old] As a project manager, I can set up a new project based on a final proposal")</f>
        <v>[Old] As a project manager, I can set up a new project based on a final proposal</v>
      </c>
      <c r="D741" s="28">
        <f>IFERROR(__xludf.DUMMYFUNCTION("""COMPUTED_VALUE"""),0.5)</f>
        <v>0.5</v>
      </c>
      <c r="E741" s="29">
        <f>IFERROR(__xludf.DUMMYFUNCTION("""COMPUTED_VALUE"""),44071.0)</f>
        <v>44071</v>
      </c>
      <c r="F741" s="26" t="str">
        <f>IFERROR(__xludf.DUMMYFUNCTION("""COMPUTED_VALUE"""),"5ee7b6ce868ce30ac49e2521")</f>
        <v>5ee7b6ce868ce30ac49e2521</v>
      </c>
      <c r="G741" s="26" t="str">
        <f>IFERROR(__xludf.DUMMYFUNCTION("""COMPUTED_VALUE"""),"Bryan Le")</f>
        <v>Bryan Le</v>
      </c>
      <c r="H741" s="26" t="b">
        <v>0</v>
      </c>
    </row>
    <row r="742" hidden="1">
      <c r="A742" s="26" t="str">
        <f>VLOOKUP(B742,'2020 SRED (JIRA) - Issues and l'!$B:$C,2,FALSE)</f>
        <v>insite-workflow-SRED</v>
      </c>
      <c r="B742" s="27" t="str">
        <f>IFERROR(__xludf.DUMMYFUNCTION("""COMPUTED_VALUE"""),"APPS-414")</f>
        <v>APPS-414</v>
      </c>
      <c r="C742" s="26" t="str">
        <f>IFERROR(__xludf.DUMMYFUNCTION("""COMPUTED_VALUE"""),"Create a predetermined task list table for SVT requests.")</f>
        <v>Create a predetermined task list table for SVT requests.</v>
      </c>
      <c r="D742" s="28">
        <f>IFERROR(__xludf.DUMMYFUNCTION("""COMPUTED_VALUE"""),3.0)</f>
        <v>3</v>
      </c>
      <c r="E742" s="29">
        <f>IFERROR(__xludf.DUMMYFUNCTION("""COMPUTED_VALUE"""),44071.0)</f>
        <v>44071</v>
      </c>
      <c r="F742" s="26" t="str">
        <f>IFERROR(__xludf.DUMMYFUNCTION("""COMPUTED_VALUE"""),"5ee7b6ce868ce30ac49e2521")</f>
        <v>5ee7b6ce868ce30ac49e2521</v>
      </c>
      <c r="G742" s="26" t="str">
        <f>IFERROR(__xludf.DUMMYFUNCTION("""COMPUTED_VALUE"""),"Bryan Le")</f>
        <v>Bryan Le</v>
      </c>
      <c r="H742" s="26" t="b">
        <v>0</v>
      </c>
    </row>
    <row r="743" hidden="1">
      <c r="A743" s="26" t="str">
        <f>VLOOKUP(B743,'2020 SRED (JIRA) - Issues and l'!$B:$C,2,FALSE)</f>
        <v>insite-workflow-SRED</v>
      </c>
      <c r="B743" s="27" t="str">
        <f>IFERROR(__xludf.DUMMYFUNCTION("""COMPUTED_VALUE"""),"APPS-410")</f>
        <v>APPS-410</v>
      </c>
      <c r="C743" s="26" t="str">
        <f>IFERROR(__xludf.DUMMYFUNCTION("""COMPUTED_VALUE"""),"Add more search options (date, status, organization, email) to ""Search"" form")</f>
        <v>Add more search options (date, status, organization, email) to "Search" form</v>
      </c>
      <c r="D743" s="28">
        <f>IFERROR(__xludf.DUMMYFUNCTION("""COMPUTED_VALUE"""),3.5)</f>
        <v>3.5</v>
      </c>
      <c r="E743" s="29">
        <f>IFERROR(__xludf.DUMMYFUNCTION("""COMPUTED_VALUE"""),44071.0)</f>
        <v>44071</v>
      </c>
      <c r="F743" s="26" t="str">
        <f>IFERROR(__xludf.DUMMYFUNCTION("""COMPUTED_VALUE"""),"5ee7b6ce868ce30ac49e2521")</f>
        <v>5ee7b6ce868ce30ac49e2521</v>
      </c>
      <c r="G743" s="26" t="str">
        <f>IFERROR(__xludf.DUMMYFUNCTION("""COMPUTED_VALUE"""),"Bryan Le")</f>
        <v>Bryan Le</v>
      </c>
      <c r="H743" s="26" t="b">
        <v>0</v>
      </c>
    </row>
    <row r="744" hidden="1">
      <c r="A744" s="26" t="str">
        <f>VLOOKUP(B744,'2020 SRED (JIRA) - Issues and l'!$B:$C,2,FALSE)</f>
        <v>insite-workflow-SRED</v>
      </c>
      <c r="B744" s="27" t="str">
        <f>IFERROR(__xludf.DUMMYFUNCTION("""COMPUTED_VALUE"""),"APPS-388")</f>
        <v>APPS-388</v>
      </c>
      <c r="C744" s="26" t="str">
        <f>IFERROR(__xludf.DUMMYFUNCTION("""COMPUTED_VALUE"""),"Cleanup tasks")</f>
        <v>Cleanup tasks</v>
      </c>
      <c r="D744" s="28">
        <f>IFERROR(__xludf.DUMMYFUNCTION("""COMPUTED_VALUE"""),3.0)</f>
        <v>3</v>
      </c>
      <c r="E744" s="29">
        <f>IFERROR(__xludf.DUMMYFUNCTION("""COMPUTED_VALUE"""),44071.0)</f>
        <v>44071</v>
      </c>
      <c r="F744" s="26" t="str">
        <f>IFERROR(__xludf.DUMMYFUNCTION("""COMPUTED_VALUE"""),"5ee7b6cf02b4400ac4b65399")</f>
        <v>5ee7b6cf02b4400ac4b65399</v>
      </c>
      <c r="G744" s="26" t="str">
        <f>IFERROR(__xludf.DUMMYFUNCTION("""COMPUTED_VALUE"""),"Jessica Obando")</f>
        <v>Jessica Obando</v>
      </c>
      <c r="H744" s="26" t="b">
        <v>0</v>
      </c>
    </row>
    <row r="745" hidden="1">
      <c r="A745" s="26" t="str">
        <f>VLOOKUP(B745,'2020 SRED (JIRA) - Issues and l'!$B:$C,2,FALSE)</f>
        <v>insite-event-SRED</v>
      </c>
      <c r="B745" s="27" t="str">
        <f>IFERROR(__xludf.DUMMYFUNCTION("""COMPUTED_VALUE"""),"ZAPI-25")</f>
        <v>ZAPI-25</v>
      </c>
      <c r="C745" s="26" t="str">
        <f>IFERROR(__xludf.DUMMYFUNCTION("""COMPUTED_VALUE"""),"As a meeting administrator, I can trim the meeting recording")</f>
        <v>As a meeting administrator, I can trim the meeting recording</v>
      </c>
      <c r="D745" s="28">
        <f>IFERROR(__xludf.DUMMYFUNCTION("""COMPUTED_VALUE"""),4.0)</f>
        <v>4</v>
      </c>
      <c r="E745" s="29">
        <f>IFERROR(__xludf.DUMMYFUNCTION("""COMPUTED_VALUE"""),44071.33333333333)</f>
        <v>44071.33333</v>
      </c>
      <c r="F745" s="26" t="str">
        <f>IFERROR(__xludf.DUMMYFUNCTION("""COMPUTED_VALUE"""),"5e95be7f18b8ed0c0f5adb36")</f>
        <v>5e95be7f18b8ed0c0f5adb36</v>
      </c>
      <c r="G745" s="26" t="str">
        <f>IFERROR(__xludf.DUMMYFUNCTION("""COMPUTED_VALUE"""),"Frantisek Trusa")</f>
        <v>Frantisek Trusa</v>
      </c>
      <c r="H745" s="26" t="b">
        <v>0</v>
      </c>
    </row>
    <row r="746" hidden="1">
      <c r="A746" s="26" t="str">
        <f>VLOOKUP(B746,'2020 SRED (JIRA) - Issues and l'!$B:$C,2,FALSE)</f>
        <v>insite-event-SRED</v>
      </c>
      <c r="B746" s="27" t="str">
        <f>IFERROR(__xludf.DUMMYFUNCTION("""COMPUTED_VALUE"""),"ZAPI-60")</f>
        <v>ZAPI-60</v>
      </c>
      <c r="C746" s="26" t="str">
        <f>IFERROR(__xludf.DUMMYFUNCTION("""COMPUTED_VALUE"""),"As a meeting administrator, I can designate meeting/webinar roles (e.g. co-hosts) and customize display names (e.g. Impetus Support [Fname Lname])")</f>
        <v>As a meeting administrator, I can designate meeting/webinar roles (e.g. co-hosts) and customize display names (e.g. Impetus Support [Fname Lname])</v>
      </c>
      <c r="D746" s="28">
        <f>IFERROR(__xludf.DUMMYFUNCTION("""COMPUTED_VALUE"""),4.0)</f>
        <v>4</v>
      </c>
      <c r="E746" s="29">
        <f>IFERROR(__xludf.DUMMYFUNCTION("""COMPUTED_VALUE"""),44071.54166666667)</f>
        <v>44071.54167</v>
      </c>
      <c r="F746" s="26" t="str">
        <f>IFERROR(__xludf.DUMMYFUNCTION("""COMPUTED_VALUE"""),"5e95be7f18b8ed0c0f5adb36")</f>
        <v>5e95be7f18b8ed0c0f5adb36</v>
      </c>
      <c r="G746" s="26" t="str">
        <f>IFERROR(__xludf.DUMMYFUNCTION("""COMPUTED_VALUE"""),"Frantisek Trusa")</f>
        <v>Frantisek Trusa</v>
      </c>
      <c r="H746" s="26" t="b">
        <v>0</v>
      </c>
    </row>
    <row r="747" hidden="1">
      <c r="A747" s="26" t="str">
        <f>VLOOKUP(B747,'2020 SRED (JIRA) - Issues and l'!$B:$C,2,FALSE)</f>
        <v>insite-workflow-SRED</v>
      </c>
      <c r="B747" s="27" t="str">
        <f>IFERROR(__xludf.DUMMYFUNCTION("""COMPUTED_VALUE"""),"APPS-388")</f>
        <v>APPS-388</v>
      </c>
      <c r="C747" s="26" t="str">
        <f>IFERROR(__xludf.DUMMYFUNCTION("""COMPUTED_VALUE"""),"Cleanup tasks")</f>
        <v>Cleanup tasks</v>
      </c>
      <c r="D747" s="28">
        <f>IFERROR(__xludf.DUMMYFUNCTION("""COMPUTED_VALUE"""),2.0)</f>
        <v>2</v>
      </c>
      <c r="E747" s="29">
        <f>IFERROR(__xludf.DUMMYFUNCTION("""COMPUTED_VALUE"""),44073.0)</f>
        <v>44073</v>
      </c>
      <c r="F747" s="26" t="str">
        <f>IFERROR(__xludf.DUMMYFUNCTION("""COMPUTED_VALUE"""),"5ee7b6cf02b4400ac4b65399")</f>
        <v>5ee7b6cf02b4400ac4b65399</v>
      </c>
      <c r="G747" s="26" t="str">
        <f>IFERROR(__xludf.DUMMYFUNCTION("""COMPUTED_VALUE"""),"Jessica Obando")</f>
        <v>Jessica Obando</v>
      </c>
      <c r="H747" s="26" t="b">
        <v>0</v>
      </c>
    </row>
    <row r="748" hidden="1">
      <c r="A748" s="26" t="str">
        <f>VLOOKUP(B748,'2020 SRED (JIRA) - Issues and l'!$B:$C,2,FALSE)</f>
        <v>portal-builder-SRED</v>
      </c>
      <c r="B748" s="27" t="str">
        <f>IFERROR(__xludf.DUMMYFUNCTION("""COMPUTED_VALUE"""),"ITP-1810")</f>
        <v>ITP-1810</v>
      </c>
      <c r="C748" s="26" t="str">
        <f>IFERROR(__xludf.DUMMYFUNCTION("""COMPUTED_VALUE"""),"Add empty icons to the menu for incomplete touchpoint activities")</f>
        <v>Add empty icons to the menu for incomplete touchpoint activities</v>
      </c>
      <c r="D748" s="28">
        <f>IFERROR(__xludf.DUMMYFUNCTION("""COMPUTED_VALUE"""),0.183333333333333)</f>
        <v>0.1833333333</v>
      </c>
      <c r="E748" s="29">
        <f>IFERROR(__xludf.DUMMYFUNCTION("""COMPUTED_VALUE"""),44074.0)</f>
        <v>44074</v>
      </c>
      <c r="F748" s="26" t="str">
        <f>IFERROR(__xludf.DUMMYFUNCTION("""COMPUTED_VALUE"""),"557058:3124a1f0-e92a-405c-93f2-c1d4e621bc77")</f>
        <v>557058:3124a1f0-e92a-405c-93f2-c1d4e621bc77</v>
      </c>
      <c r="G748" s="26" t="str">
        <f>IFERROR(__xludf.DUMMYFUNCTION("""COMPUTED_VALUE"""),"Trevor Coehoorn")</f>
        <v>Trevor Coehoorn</v>
      </c>
      <c r="H748" s="26" t="b">
        <v>0</v>
      </c>
    </row>
    <row r="749" hidden="1">
      <c r="A749" s="26" t="str">
        <f>VLOOKUP(B749,'2020 SRED (JIRA) - Issues and l'!$B:$C,2,FALSE)</f>
        <v>insite-workflow-SRED</v>
      </c>
      <c r="B749" s="27" t="str">
        <f>IFERROR(__xludf.DUMMYFUNCTION("""COMPUTED_VALUE"""),"APPS-366")</f>
        <v>APPS-366</v>
      </c>
      <c r="C749" s="26" t="str">
        <f>IFERROR(__xludf.DUMMYFUNCTION("""COMPUTED_VALUE"""),"Spin up pm.impetusdigital.com portal to serve as project management hub for CST")</f>
        <v>Spin up pm.impetusdigital.com portal to serve as project management hub for CST</v>
      </c>
      <c r="D749" s="28">
        <f>IFERROR(__xludf.DUMMYFUNCTION("""COMPUTED_VALUE"""),0.116666666666666)</f>
        <v>0.1166666667</v>
      </c>
      <c r="E749" s="29">
        <f>IFERROR(__xludf.DUMMYFUNCTION("""COMPUTED_VALUE"""),44074.0)</f>
        <v>44074</v>
      </c>
      <c r="F749" s="26" t="str">
        <f>IFERROR(__xludf.DUMMYFUNCTION("""COMPUTED_VALUE"""),"557058:3124a1f0-e92a-405c-93f2-c1d4e621bc77")</f>
        <v>557058:3124a1f0-e92a-405c-93f2-c1d4e621bc77</v>
      </c>
      <c r="G749" s="26" t="str">
        <f>IFERROR(__xludf.DUMMYFUNCTION("""COMPUTED_VALUE"""),"Trevor Coehoorn")</f>
        <v>Trevor Coehoorn</v>
      </c>
      <c r="H749" s="26" t="b">
        <v>0</v>
      </c>
    </row>
    <row r="750" hidden="1">
      <c r="A750" s="26" t="str">
        <f>VLOOKUP(B750,'2020 SRED (JIRA) - Issues and l'!$B:$C,2,FALSE)</f>
        <v>insite-event-SRED</v>
      </c>
      <c r="B750" s="27" t="str">
        <f>IFERROR(__xludf.DUMMYFUNCTION("""COMPUTED_VALUE"""),"ZAPI-6")</f>
        <v>ZAPI-6</v>
      </c>
      <c r="C750" s="26" t="str">
        <f>IFERROR(__xludf.DUMMYFUNCTION("""COMPUTED_VALUE"""),"Zoom API v2 (Registration Flow and Reporting)")</f>
        <v>Zoom API v2 (Registration Flow and Reporting)</v>
      </c>
      <c r="D750" s="28">
        <f>IFERROR(__xludf.DUMMYFUNCTION("""COMPUTED_VALUE"""),0.216666666666666)</f>
        <v>0.2166666667</v>
      </c>
      <c r="E750" s="29">
        <f>IFERROR(__xludf.DUMMYFUNCTION("""COMPUTED_VALUE"""),44074.0)</f>
        <v>44074</v>
      </c>
      <c r="F750" s="26" t="str">
        <f>IFERROR(__xludf.DUMMYFUNCTION("""COMPUTED_VALUE"""),"557058:3124a1f0-e92a-405c-93f2-c1d4e621bc77")</f>
        <v>557058:3124a1f0-e92a-405c-93f2-c1d4e621bc77</v>
      </c>
      <c r="G750" s="26" t="str">
        <f>IFERROR(__xludf.DUMMYFUNCTION("""COMPUTED_VALUE"""),"Trevor Coehoorn")</f>
        <v>Trevor Coehoorn</v>
      </c>
      <c r="H750" s="26" t="b">
        <v>0</v>
      </c>
    </row>
    <row r="751" hidden="1">
      <c r="A751" s="26" t="str">
        <f>VLOOKUP(B751,'2020 SRED (JIRA) - Issues and l'!$B:$C,2,FALSE)</f>
        <v>insite-workflow-SRED</v>
      </c>
      <c r="B751" s="27" t="str">
        <f>IFERROR(__xludf.DUMMYFUNCTION("""COMPUTED_VALUE"""),"APPS-414")</f>
        <v>APPS-414</v>
      </c>
      <c r="C751" s="26" t="str">
        <f>IFERROR(__xludf.DUMMYFUNCTION("""COMPUTED_VALUE"""),"Create a predetermined task list table for SVT requests.")</f>
        <v>Create a predetermined task list table for SVT requests.</v>
      </c>
      <c r="D751" s="28">
        <f>IFERROR(__xludf.DUMMYFUNCTION("""COMPUTED_VALUE"""),4.0)</f>
        <v>4</v>
      </c>
      <c r="E751" s="29">
        <f>IFERROR(__xludf.DUMMYFUNCTION("""COMPUTED_VALUE"""),44074.0)</f>
        <v>44074</v>
      </c>
      <c r="F751" s="26" t="str">
        <f>IFERROR(__xludf.DUMMYFUNCTION("""COMPUTED_VALUE"""),"5ee7b6ce868ce30ac49e2521")</f>
        <v>5ee7b6ce868ce30ac49e2521</v>
      </c>
      <c r="G751" s="26" t="str">
        <f>IFERROR(__xludf.DUMMYFUNCTION("""COMPUTED_VALUE"""),"Bryan Le")</f>
        <v>Bryan Le</v>
      </c>
      <c r="H751" s="26" t="b">
        <v>0</v>
      </c>
    </row>
    <row r="752" hidden="1">
      <c r="A752" s="26" t="str">
        <f>VLOOKUP(B752,'2020 SRED (JIRA) - Issues and l'!$B:$C,2,FALSE)</f>
        <v>insite-workflow-SRED</v>
      </c>
      <c r="B752" s="27" t="str">
        <f>IFERROR(__xludf.DUMMYFUNCTION("""COMPUTED_VALUE"""),"APPS-410")</f>
        <v>APPS-410</v>
      </c>
      <c r="C752" s="26" t="str">
        <f>IFERROR(__xludf.DUMMYFUNCTION("""COMPUTED_VALUE"""),"Add more search options (date, status, organization, email) to ""Search"" form")</f>
        <v>Add more search options (date, status, organization, email) to "Search" form</v>
      </c>
      <c r="D752" s="28">
        <f>IFERROR(__xludf.DUMMYFUNCTION("""COMPUTED_VALUE"""),3.0)</f>
        <v>3</v>
      </c>
      <c r="E752" s="29">
        <f>IFERROR(__xludf.DUMMYFUNCTION("""COMPUTED_VALUE"""),44074.0)</f>
        <v>44074</v>
      </c>
      <c r="F752" s="26" t="str">
        <f>IFERROR(__xludf.DUMMYFUNCTION("""COMPUTED_VALUE"""),"5ee7b6ce868ce30ac49e2521")</f>
        <v>5ee7b6ce868ce30ac49e2521</v>
      </c>
      <c r="G752" s="26" t="str">
        <f>IFERROR(__xludf.DUMMYFUNCTION("""COMPUTED_VALUE"""),"Bryan Le")</f>
        <v>Bryan Le</v>
      </c>
      <c r="H752" s="26" t="b">
        <v>0</v>
      </c>
    </row>
    <row r="753" hidden="1">
      <c r="A753" s="26" t="str">
        <f>VLOOKUP(B753,'2020 SRED (JIRA) - Issues and l'!$B:$C,2,FALSE)</f>
        <v>insite-workflow-SRED</v>
      </c>
      <c r="B753" s="27" t="str">
        <f>IFERROR(__xludf.DUMMYFUNCTION("""COMPUTED_VALUE"""),"APPS-57")</f>
        <v>APPS-57</v>
      </c>
      <c r="C753" s="26" t="str">
        <f>IFERROR(__xludf.DUMMYFUNCTION("""COMPUTED_VALUE"""),"As a marketer, I can create website download demo request forms with processing queues and automatic follow-ups")</f>
        <v>As a marketer, I can create website download demo request forms with processing queues and automatic follow-ups</v>
      </c>
      <c r="D753" s="28">
        <f>IFERROR(__xludf.DUMMYFUNCTION("""COMPUTED_VALUE"""),7.0)</f>
        <v>7</v>
      </c>
      <c r="E753" s="29">
        <f>IFERROR(__xludf.DUMMYFUNCTION("""COMPUTED_VALUE"""),44074.0)</f>
        <v>44074</v>
      </c>
      <c r="F753" s="26" t="str">
        <f>IFERROR(__xludf.DUMMYFUNCTION("""COMPUTED_VALUE"""),"5ee7b6cf02b4400ac4b65399")</f>
        <v>5ee7b6cf02b4400ac4b65399</v>
      </c>
      <c r="G753" s="26" t="str">
        <f>IFERROR(__xludf.DUMMYFUNCTION("""COMPUTED_VALUE"""),"Jessica Obando")</f>
        <v>Jessica Obando</v>
      </c>
      <c r="H753" s="26" t="b">
        <v>0</v>
      </c>
    </row>
    <row r="754" hidden="1">
      <c r="A754" s="26" t="str">
        <f>VLOOKUP(B754,'2020 SRED (JIRA) - Issues and l'!$B:$C,2,FALSE)</f>
        <v>insite-event-SRED</v>
      </c>
      <c r="B754" s="27" t="str">
        <f>IFERROR(__xludf.DUMMYFUNCTION("""COMPUTED_VALUE"""),"ZAPI-9")</f>
        <v>ZAPI-9</v>
      </c>
      <c r="C754" s="26" t="str">
        <f>IFERROR(__xludf.DUMMYFUNCTION("""COMPUTED_VALUE"""),"As an attendee, I can register for a meeting/webinar via our new Events portal")</f>
        <v>As an attendee, I can register for a meeting/webinar via our new Events portal</v>
      </c>
      <c r="D754" s="28">
        <f>IFERROR(__xludf.DUMMYFUNCTION("""COMPUTED_VALUE"""),4.0)</f>
        <v>4</v>
      </c>
      <c r="E754" s="29">
        <f>IFERROR(__xludf.DUMMYFUNCTION("""COMPUTED_VALUE"""),44074.33333333333)</f>
        <v>44074.33333</v>
      </c>
      <c r="F754" s="26" t="str">
        <f>IFERROR(__xludf.DUMMYFUNCTION("""COMPUTED_VALUE"""),"5e95be7f18b8ed0c0f5adb36")</f>
        <v>5e95be7f18b8ed0c0f5adb36</v>
      </c>
      <c r="G754" s="26" t="str">
        <f>IFERROR(__xludf.DUMMYFUNCTION("""COMPUTED_VALUE"""),"Frantisek Trusa")</f>
        <v>Frantisek Trusa</v>
      </c>
      <c r="H754" s="26" t="b">
        <v>0</v>
      </c>
    </row>
    <row r="755" hidden="1">
      <c r="A755" s="26" t="str">
        <f>VLOOKUP(B755,'2020 SRED (JIRA) - Issues and l'!$B:$C,2,FALSE)</f>
        <v>insite-event-SRED</v>
      </c>
      <c r="B755" s="27" t="str">
        <f>IFERROR(__xludf.DUMMYFUNCTION("""COMPUTED_VALUE"""),"ZAPI-9")</f>
        <v>ZAPI-9</v>
      </c>
      <c r="C755" s="26" t="str">
        <f>IFERROR(__xludf.DUMMYFUNCTION("""COMPUTED_VALUE"""),"As an attendee, I can register for a meeting/webinar via our new Events portal")</f>
        <v>As an attendee, I can register for a meeting/webinar via our new Events portal</v>
      </c>
      <c r="D755" s="28">
        <f>IFERROR(__xludf.DUMMYFUNCTION("""COMPUTED_VALUE"""),4.0)</f>
        <v>4</v>
      </c>
      <c r="E755" s="29">
        <f>IFERROR(__xludf.DUMMYFUNCTION("""COMPUTED_VALUE"""),44074.54166666667)</f>
        <v>44074.54167</v>
      </c>
      <c r="F755" s="26" t="str">
        <f>IFERROR(__xludf.DUMMYFUNCTION("""COMPUTED_VALUE"""),"5e95be7f18b8ed0c0f5adb36")</f>
        <v>5e95be7f18b8ed0c0f5adb36</v>
      </c>
      <c r="G755" s="26" t="str">
        <f>IFERROR(__xludf.DUMMYFUNCTION("""COMPUTED_VALUE"""),"Frantisek Trusa")</f>
        <v>Frantisek Trusa</v>
      </c>
      <c r="H755" s="26" t="b">
        <v>0</v>
      </c>
    </row>
    <row r="756" hidden="1">
      <c r="A756" s="26" t="str">
        <f>VLOOKUP(B756,'2020 SRED (JIRA) - Issues and l'!$B:$C,2,FALSE)</f>
        <v>insite-event-SRED</v>
      </c>
      <c r="B756" s="27" t="str">
        <f>IFERROR(__xludf.DUMMYFUNCTION("""COMPUTED_VALUE"""),"ZAPI-104")</f>
        <v>ZAPI-104</v>
      </c>
      <c r="C756" s="26" t="str">
        <f>IFERROR(__xludf.DUMMYFUNCTION("""COMPUTED_VALUE"""),"Add actions column to the list of recordings table with the action ""Copy and edit"" (copies raw video to streaming service file type)")</f>
        <v>Add actions column to the list of recordings table with the action "Copy and edit" (copies raw video to streaming service file type)</v>
      </c>
      <c r="D756" s="28">
        <f>IFERROR(__xludf.DUMMYFUNCTION("""COMPUTED_VALUE"""),0.683333333333333)</f>
        <v>0.6833333333</v>
      </c>
      <c r="E756" s="29">
        <f>IFERROR(__xludf.DUMMYFUNCTION("""COMPUTED_VALUE"""),44075.0)</f>
        <v>44075</v>
      </c>
      <c r="F756" s="26" t="str">
        <f>IFERROR(__xludf.DUMMYFUNCTION("""COMPUTED_VALUE"""),"557058:3124a1f0-e92a-405c-93f2-c1d4e621bc77")</f>
        <v>557058:3124a1f0-e92a-405c-93f2-c1d4e621bc77</v>
      </c>
      <c r="G756" s="26" t="str">
        <f>IFERROR(__xludf.DUMMYFUNCTION("""COMPUTED_VALUE"""),"Trevor Coehoorn")</f>
        <v>Trevor Coehoorn</v>
      </c>
      <c r="H756" s="26" t="b">
        <v>0</v>
      </c>
    </row>
    <row r="757" hidden="1">
      <c r="A757" s="26" t="str">
        <f>VLOOKUP(B757,'2020 SRED (JIRA) - Issues and l'!$B:$C,2,FALSE)</f>
        <v>insite-event-SRED</v>
      </c>
      <c r="B757" s="27" t="str">
        <f>IFERROR(__xludf.DUMMYFUNCTION("""COMPUTED_VALUE"""),"ZAPI-103")</f>
        <v>ZAPI-103</v>
      </c>
      <c r="C757" s="26" t="str">
        <f>IFERROR(__xludf.DUMMYFUNCTION("""COMPUTED_VALUE"""),"Rename ""Recordings"" section to ""Recording management"" and place the table in a collapsible fieldset")</f>
        <v>Rename "Recordings" section to "Recording management" and place the table in a collapsible fieldset</v>
      </c>
      <c r="D757" s="28">
        <f>IFERROR(__xludf.DUMMYFUNCTION("""COMPUTED_VALUE"""),0.116666666666666)</f>
        <v>0.1166666667</v>
      </c>
      <c r="E757" s="29">
        <f>IFERROR(__xludf.DUMMYFUNCTION("""COMPUTED_VALUE"""),44075.0)</f>
        <v>44075</v>
      </c>
      <c r="F757" s="26" t="str">
        <f>IFERROR(__xludf.DUMMYFUNCTION("""COMPUTED_VALUE"""),"557058:3124a1f0-e92a-405c-93f2-c1d4e621bc77")</f>
        <v>557058:3124a1f0-e92a-405c-93f2-c1d4e621bc77</v>
      </c>
      <c r="G757" s="26" t="str">
        <f>IFERROR(__xludf.DUMMYFUNCTION("""COMPUTED_VALUE"""),"Trevor Coehoorn")</f>
        <v>Trevor Coehoorn</v>
      </c>
      <c r="H757" s="26" t="b">
        <v>0</v>
      </c>
    </row>
    <row r="758" hidden="1">
      <c r="A758" s="26" t="str">
        <f>VLOOKUP(B758,'2020 SRED (JIRA) - Issues and l'!$B:$C,2,FALSE)</f>
        <v>portal-builder-SRED</v>
      </c>
      <c r="B758" s="27" t="str">
        <f>IFERROR(__xludf.DUMMYFUNCTION("""COMPUTED_VALUE"""),"ITP-1850")</f>
        <v>ITP-1850</v>
      </c>
      <c r="C758" s="26" t="str">
        <f>IFERROR(__xludf.DUMMYFUNCTION("""COMPUTED_VALUE"""),"Allow ""&lt;"" characters in Touchpoint Builder select options")</f>
        <v>Allow "&lt;" characters in Touchpoint Builder select options</v>
      </c>
      <c r="D758" s="28">
        <f>IFERROR(__xludf.DUMMYFUNCTION("""COMPUTED_VALUE"""),0.733333333333333)</f>
        <v>0.7333333333</v>
      </c>
      <c r="E758" s="29">
        <f>IFERROR(__xludf.DUMMYFUNCTION("""COMPUTED_VALUE"""),44075.0)</f>
        <v>44075</v>
      </c>
      <c r="F758" s="26" t="str">
        <f>IFERROR(__xludf.DUMMYFUNCTION("""COMPUTED_VALUE"""),"557058:3124a1f0-e92a-405c-93f2-c1d4e621bc77")</f>
        <v>557058:3124a1f0-e92a-405c-93f2-c1d4e621bc77</v>
      </c>
      <c r="G758" s="26" t="str">
        <f>IFERROR(__xludf.DUMMYFUNCTION("""COMPUTED_VALUE"""),"Trevor Coehoorn")</f>
        <v>Trevor Coehoorn</v>
      </c>
      <c r="H758" s="26" t="b">
        <v>0</v>
      </c>
    </row>
    <row r="759" hidden="1">
      <c r="A759" s="26" t="str">
        <f>VLOOKUP(B759,'2020 SRED (JIRA) - Issues and l'!$B:$C,2,FALSE)</f>
        <v>insite-event-SRED</v>
      </c>
      <c r="B759" s="27" t="str">
        <f>IFERROR(__xludf.DUMMYFUNCTION("""COMPUTED_VALUE"""),"ZAPI-6")</f>
        <v>ZAPI-6</v>
      </c>
      <c r="C759" s="26" t="str">
        <f>IFERROR(__xludf.DUMMYFUNCTION("""COMPUTED_VALUE"""),"Zoom API v2 (Registration Flow and Reporting)")</f>
        <v>Zoom API v2 (Registration Flow and Reporting)</v>
      </c>
      <c r="D759" s="28">
        <f>IFERROR(__xludf.DUMMYFUNCTION("""COMPUTED_VALUE"""),0.75)</f>
        <v>0.75</v>
      </c>
      <c r="E759" s="29">
        <f>IFERROR(__xludf.DUMMYFUNCTION("""COMPUTED_VALUE"""),44075.0)</f>
        <v>44075</v>
      </c>
      <c r="F759" s="26" t="str">
        <f>IFERROR(__xludf.DUMMYFUNCTION("""COMPUTED_VALUE"""),"557058:3124a1f0-e92a-405c-93f2-c1d4e621bc77")</f>
        <v>557058:3124a1f0-e92a-405c-93f2-c1d4e621bc77</v>
      </c>
      <c r="G759" s="26" t="str">
        <f>IFERROR(__xludf.DUMMYFUNCTION("""COMPUTED_VALUE"""),"Trevor Coehoorn")</f>
        <v>Trevor Coehoorn</v>
      </c>
      <c r="H759" s="26" t="b">
        <v>0</v>
      </c>
    </row>
    <row r="760" hidden="1">
      <c r="A760" s="26" t="str">
        <f>VLOOKUP(B760,'2020 SRED (JIRA) - Issues and l'!$B:$C,2,FALSE)</f>
        <v>insite-workflow-SRED</v>
      </c>
      <c r="B760" s="27" t="str">
        <f>IFERROR(__xludf.DUMMYFUNCTION("""COMPUTED_VALUE"""),"APPS-132")</f>
        <v>APPS-132</v>
      </c>
      <c r="C760" s="26" t="str">
        <f>IFERROR(__xludf.DUMMYFUNCTION("""COMPUTED_VALUE"""),"[Old] As a project manager, I can set up a new project based on a final proposal")</f>
        <v>[Old] As a project manager, I can set up a new project based on a final proposal</v>
      </c>
      <c r="D760" s="28">
        <f>IFERROR(__xludf.DUMMYFUNCTION("""COMPUTED_VALUE"""),4.0)</f>
        <v>4</v>
      </c>
      <c r="E760" s="29">
        <f>IFERROR(__xludf.DUMMYFUNCTION("""COMPUTED_VALUE"""),44075.0)</f>
        <v>44075</v>
      </c>
      <c r="F760" s="26" t="str">
        <f>IFERROR(__xludf.DUMMYFUNCTION("""COMPUTED_VALUE"""),"5ee7b6ce868ce30ac49e2521")</f>
        <v>5ee7b6ce868ce30ac49e2521</v>
      </c>
      <c r="G760" s="26" t="str">
        <f>IFERROR(__xludf.DUMMYFUNCTION("""COMPUTED_VALUE"""),"Bryan Le")</f>
        <v>Bryan Le</v>
      </c>
      <c r="H760" s="26" t="b">
        <v>0</v>
      </c>
    </row>
    <row r="761" hidden="1">
      <c r="A761" s="26" t="str">
        <f>VLOOKUP(B761,'2020 SRED (JIRA) - Issues and l'!$B:$C,2,FALSE)</f>
        <v>insite-workflow-SRED</v>
      </c>
      <c r="B761" s="27" t="str">
        <f>IFERROR(__xludf.DUMMYFUNCTION("""COMPUTED_VALUE"""),"APPS-351")</f>
        <v>APPS-351</v>
      </c>
      <c r="C761" s="26" t="str">
        <f>IFERROR(__xludf.DUMMYFUNCTION("""COMPUTED_VALUE"""),"As a CST user, I can log my time on applicable task types")</f>
        <v>As a CST user, I can log my time on applicable task types</v>
      </c>
      <c r="D761" s="28">
        <f>IFERROR(__xludf.DUMMYFUNCTION("""COMPUTED_VALUE"""),3.0)</f>
        <v>3</v>
      </c>
      <c r="E761" s="29">
        <f>IFERROR(__xludf.DUMMYFUNCTION("""COMPUTED_VALUE"""),44075.0)</f>
        <v>44075</v>
      </c>
      <c r="F761" s="26" t="str">
        <f>IFERROR(__xludf.DUMMYFUNCTION("""COMPUTED_VALUE"""),"5ee7b6ce868ce30ac49e2521")</f>
        <v>5ee7b6ce868ce30ac49e2521</v>
      </c>
      <c r="G761" s="26" t="str">
        <f>IFERROR(__xludf.DUMMYFUNCTION("""COMPUTED_VALUE"""),"Bryan Le")</f>
        <v>Bryan Le</v>
      </c>
      <c r="H761" s="26" t="b">
        <v>0</v>
      </c>
    </row>
    <row r="762" hidden="1">
      <c r="A762" s="26" t="str">
        <f>VLOOKUP(B762,'2020 SRED (JIRA) - Issues and l'!$B:$C,2,FALSE)</f>
        <v>insite-workflow-SRED</v>
      </c>
      <c r="B762" s="27" t="str">
        <f>IFERROR(__xludf.DUMMYFUNCTION("""COMPUTED_VALUE"""),"APPS-406")</f>
        <v>APPS-406</v>
      </c>
      <c r="C762" s="26" t="str">
        <f>IFERROR(__xludf.DUMMYFUNCTION("""COMPUTED_VALUE"""),"All sales opportunities have start date of 07/01/2020 regardless of what dates are entered in the TP.")</f>
        <v>All sales opportunities have start date of 07/01/2020 regardless of what dates are entered in the TP.</v>
      </c>
      <c r="D762" s="28">
        <f>IFERROR(__xludf.DUMMYFUNCTION("""COMPUTED_VALUE"""),7.0)</f>
        <v>7</v>
      </c>
      <c r="E762" s="29">
        <f>IFERROR(__xludf.DUMMYFUNCTION("""COMPUTED_VALUE"""),44075.0)</f>
        <v>44075</v>
      </c>
      <c r="F762" s="26" t="str">
        <f>IFERROR(__xludf.DUMMYFUNCTION("""COMPUTED_VALUE"""),"5ee7b6cf02b4400ac4b65399")</f>
        <v>5ee7b6cf02b4400ac4b65399</v>
      </c>
      <c r="G762" s="26" t="str">
        <f>IFERROR(__xludf.DUMMYFUNCTION("""COMPUTED_VALUE"""),"Jessica Obando")</f>
        <v>Jessica Obando</v>
      </c>
      <c r="H762" s="26" t="b">
        <v>0</v>
      </c>
    </row>
    <row r="763" hidden="1">
      <c r="A763" s="26" t="str">
        <f>VLOOKUP(B763,'2020 SRED (JIRA) - Issues and l'!$B:$C,2,FALSE)</f>
        <v>insite-event-SRED</v>
      </c>
      <c r="B763" s="27" t="str">
        <f>IFERROR(__xludf.DUMMYFUNCTION("""COMPUTED_VALUE"""),"ZAPI-61")</f>
        <v>ZAPI-61</v>
      </c>
      <c r="C763" s="26" t="str">
        <f>IFERROR(__xludf.DUMMYFUNCTION("""COMPUTED_VALUE"""),"As an Impetus staff member, I can view all scheduled client meetings, dry runs, etc. and their meeting IDs, portal links to join, Impetus resources, etc.")</f>
        <v>As an Impetus staff member, I can view all scheduled client meetings, dry runs, etc. and their meeting IDs, portal links to join, Impetus resources, etc.</v>
      </c>
      <c r="D763" s="28">
        <f>IFERROR(__xludf.DUMMYFUNCTION("""COMPUTED_VALUE"""),2.0)</f>
        <v>2</v>
      </c>
      <c r="E763" s="29">
        <f>IFERROR(__xludf.DUMMYFUNCTION("""COMPUTED_VALUE"""),44075.625)</f>
        <v>44075.625</v>
      </c>
      <c r="F763" s="26" t="str">
        <f>IFERROR(__xludf.DUMMYFUNCTION("""COMPUTED_VALUE"""),"5e95be7f18b8ed0c0f5adb36")</f>
        <v>5e95be7f18b8ed0c0f5adb36</v>
      </c>
      <c r="G763" s="26" t="str">
        <f>IFERROR(__xludf.DUMMYFUNCTION("""COMPUTED_VALUE"""),"Frantisek Trusa")</f>
        <v>Frantisek Trusa</v>
      </c>
      <c r="H763" s="26" t="b">
        <v>0</v>
      </c>
    </row>
    <row r="764" hidden="1">
      <c r="A764" s="26" t="str">
        <f>VLOOKUP(B764,'2020 SRED (JIRA) - Issues and l'!$B:$C,2,FALSE)</f>
        <v>insite-event-SRED</v>
      </c>
      <c r="B764" s="27" t="str">
        <f>IFERROR(__xludf.DUMMYFUNCTION("""COMPUTED_VALUE"""),"ZAPI-122")</f>
        <v>ZAPI-122</v>
      </c>
      <c r="C764" s="26" t="str">
        <f>IFERROR(__xludf.DUMMYFUNCTION("""COMPUTED_VALUE"""),"if ""custom url"" is selected, add email address parameter to URL for registrants who need to be manually approved ")</f>
        <v>if "custom url" is selected, add email address parameter to URL for registrants who need to be manually approved </v>
      </c>
      <c r="D764" s="28">
        <f>IFERROR(__xludf.DUMMYFUNCTION("""COMPUTED_VALUE"""),0.183333333333333)</f>
        <v>0.1833333333</v>
      </c>
      <c r="E764" s="29">
        <f>IFERROR(__xludf.DUMMYFUNCTION("""COMPUTED_VALUE"""),44076.0)</f>
        <v>44076</v>
      </c>
      <c r="F764" s="26" t="str">
        <f>IFERROR(__xludf.DUMMYFUNCTION("""COMPUTED_VALUE"""),"557058:3124a1f0-e92a-405c-93f2-c1d4e621bc77")</f>
        <v>557058:3124a1f0-e92a-405c-93f2-c1d4e621bc77</v>
      </c>
      <c r="G764" s="26" t="str">
        <f>IFERROR(__xludf.DUMMYFUNCTION("""COMPUTED_VALUE"""),"Trevor Coehoorn")</f>
        <v>Trevor Coehoorn</v>
      </c>
      <c r="H764" s="26" t="b">
        <v>0</v>
      </c>
    </row>
    <row r="765" hidden="1">
      <c r="A765" s="26" t="str">
        <f>VLOOKUP(B765,'2020 SRED (JIRA) - Issues and l'!$B:$C,2,FALSE)</f>
        <v>insite-event-SRED</v>
      </c>
      <c r="B765" s="27" t="str">
        <f>IFERROR(__xludf.DUMMYFUNCTION("""COMPUTED_VALUE"""),"ZAPI-6")</f>
        <v>ZAPI-6</v>
      </c>
      <c r="C765" s="26" t="str">
        <f>IFERROR(__xludf.DUMMYFUNCTION("""COMPUTED_VALUE"""),"Zoom API v2 (Registration Flow and Reporting)")</f>
        <v>Zoom API v2 (Registration Flow and Reporting)</v>
      </c>
      <c r="D765" s="28">
        <f>IFERROR(__xludf.DUMMYFUNCTION("""COMPUTED_VALUE"""),0.766666666666666)</f>
        <v>0.7666666667</v>
      </c>
      <c r="E765" s="29">
        <f>IFERROR(__xludf.DUMMYFUNCTION("""COMPUTED_VALUE"""),44076.0)</f>
        <v>44076</v>
      </c>
      <c r="F765" s="26" t="str">
        <f>IFERROR(__xludf.DUMMYFUNCTION("""COMPUTED_VALUE"""),"557058:3124a1f0-e92a-405c-93f2-c1d4e621bc77")</f>
        <v>557058:3124a1f0-e92a-405c-93f2-c1d4e621bc77</v>
      </c>
      <c r="G765" s="26" t="str">
        <f>IFERROR(__xludf.DUMMYFUNCTION("""COMPUTED_VALUE"""),"Trevor Coehoorn")</f>
        <v>Trevor Coehoorn</v>
      </c>
      <c r="H765" s="26" t="b">
        <v>0</v>
      </c>
    </row>
    <row r="766" hidden="1">
      <c r="A766" s="26" t="str">
        <f>VLOOKUP(B766,'2020 SRED (JIRA) - Issues and l'!$B:$C,2,FALSE)</f>
        <v>insite-workflow-SRED</v>
      </c>
      <c r="B766" s="27" t="str">
        <f>IFERROR(__xludf.DUMMYFUNCTION("""COMPUTED_VALUE"""),"APPS-423")</f>
        <v>APPS-423</v>
      </c>
      <c r="C766" s="26" t="str">
        <f>IFERROR(__xludf.DUMMYFUNCTION("""COMPUTED_VALUE"""),"As a CST user, I can comment on a task and reply, and receive email notification for both.")</f>
        <v>As a CST user, I can comment on a task and reply, and receive email notification for both.</v>
      </c>
      <c r="D766" s="28">
        <f>IFERROR(__xludf.DUMMYFUNCTION("""COMPUTED_VALUE"""),7.0)</f>
        <v>7</v>
      </c>
      <c r="E766" s="29">
        <f>IFERROR(__xludf.DUMMYFUNCTION("""COMPUTED_VALUE"""),44076.0)</f>
        <v>44076</v>
      </c>
      <c r="F766" s="26" t="str">
        <f>IFERROR(__xludf.DUMMYFUNCTION("""COMPUTED_VALUE"""),"5ee7b6ce868ce30ac49e2521")</f>
        <v>5ee7b6ce868ce30ac49e2521</v>
      </c>
      <c r="G766" s="26" t="str">
        <f>IFERROR(__xludf.DUMMYFUNCTION("""COMPUTED_VALUE"""),"Bryan Le")</f>
        <v>Bryan Le</v>
      </c>
      <c r="H766" s="26" t="b">
        <v>0</v>
      </c>
    </row>
    <row r="767" hidden="1">
      <c r="A767" s="26" t="str">
        <f>VLOOKUP(B767,'2020 SRED (JIRA) - Issues and l'!$B:$C,2,FALSE)</f>
        <v>insite-workflow-SRED</v>
      </c>
      <c r="B767" s="27" t="str">
        <f>IFERROR(__xludf.DUMMYFUNCTION("""COMPUTED_VALUE"""),"APPS-420")</f>
        <v>APPS-420</v>
      </c>
      <c r="C767" s="26" t="str">
        <f>IFERROR(__xludf.DUMMYFUNCTION("""COMPUTED_VALUE"""),"On scheduled email form, allow ""Follow-up date"" to be editable, add validation after now(), set initial value")</f>
        <v>On scheduled email form, allow "Follow-up date" to be editable, add validation after now(), set initial value</v>
      </c>
      <c r="D767" s="28">
        <f>IFERROR(__xludf.DUMMYFUNCTION("""COMPUTED_VALUE"""),7.0)</f>
        <v>7</v>
      </c>
      <c r="E767" s="29">
        <f>IFERROR(__xludf.DUMMYFUNCTION("""COMPUTED_VALUE"""),44076.0)</f>
        <v>44076</v>
      </c>
      <c r="F767" s="26" t="str">
        <f>IFERROR(__xludf.DUMMYFUNCTION("""COMPUTED_VALUE"""),"5ee7b6cf02b4400ac4b65399")</f>
        <v>5ee7b6cf02b4400ac4b65399</v>
      </c>
      <c r="G767" s="26" t="str">
        <f>IFERROR(__xludf.DUMMYFUNCTION("""COMPUTED_VALUE"""),"Jessica Obando")</f>
        <v>Jessica Obando</v>
      </c>
      <c r="H767" s="26" t="b">
        <v>0</v>
      </c>
    </row>
    <row r="768" hidden="1">
      <c r="A768" s="26" t="str">
        <f>VLOOKUP(B768,'2020 SRED (JIRA) - Issues and l'!$B:$C,2,FALSE)</f>
        <v>insite-event-SRED</v>
      </c>
      <c r="B768" s="27" t="str">
        <f>IFERROR(__xludf.DUMMYFUNCTION("""COMPUTED_VALUE"""),"ZAPI-61")</f>
        <v>ZAPI-61</v>
      </c>
      <c r="C768" s="26" t="str">
        <f>IFERROR(__xludf.DUMMYFUNCTION("""COMPUTED_VALUE"""),"As an Impetus staff member, I can view all scheduled client meetings, dry runs, etc. and their meeting IDs, portal links to join, Impetus resources, etc.")</f>
        <v>As an Impetus staff member, I can view all scheduled client meetings, dry runs, etc. and their meeting IDs, portal links to join, Impetus resources, etc.</v>
      </c>
      <c r="D768" s="28">
        <f>IFERROR(__xludf.DUMMYFUNCTION("""COMPUTED_VALUE"""),4.0)</f>
        <v>4</v>
      </c>
      <c r="E768" s="29">
        <f>IFERROR(__xludf.DUMMYFUNCTION("""COMPUTED_VALUE"""),44076.33333333333)</f>
        <v>44076.33333</v>
      </c>
      <c r="F768" s="26" t="str">
        <f>IFERROR(__xludf.DUMMYFUNCTION("""COMPUTED_VALUE"""),"5e95be7f18b8ed0c0f5adb36")</f>
        <v>5e95be7f18b8ed0c0f5adb36</v>
      </c>
      <c r="G768" s="26" t="str">
        <f>IFERROR(__xludf.DUMMYFUNCTION("""COMPUTED_VALUE"""),"Frantisek Trusa")</f>
        <v>Frantisek Trusa</v>
      </c>
      <c r="H768" s="26" t="b">
        <v>0</v>
      </c>
    </row>
    <row r="769" hidden="1">
      <c r="A769" s="26" t="str">
        <f>VLOOKUP(B769,'2020 SRED (JIRA) - Issues and l'!$B:$C,2,FALSE)</f>
        <v>insite-event-SRED</v>
      </c>
      <c r="B769" s="27" t="str">
        <f>IFERROR(__xludf.DUMMYFUNCTION("""COMPUTED_VALUE"""),"ZAPI-61")</f>
        <v>ZAPI-61</v>
      </c>
      <c r="C769" s="26" t="str">
        <f>IFERROR(__xludf.DUMMYFUNCTION("""COMPUTED_VALUE"""),"As an Impetus staff member, I can view all scheduled client meetings, dry runs, etc. and their meeting IDs, portal links to join, Impetus resources, etc.")</f>
        <v>As an Impetus staff member, I can view all scheduled client meetings, dry runs, etc. and their meeting IDs, portal links to join, Impetus resources, etc.</v>
      </c>
      <c r="D769" s="28">
        <f>IFERROR(__xludf.DUMMYFUNCTION("""COMPUTED_VALUE"""),4.0)</f>
        <v>4</v>
      </c>
      <c r="E769" s="29">
        <f>IFERROR(__xludf.DUMMYFUNCTION("""COMPUTED_VALUE"""),44076.54166666667)</f>
        <v>44076.54167</v>
      </c>
      <c r="F769" s="26" t="str">
        <f>IFERROR(__xludf.DUMMYFUNCTION("""COMPUTED_VALUE"""),"5e95be7f18b8ed0c0f5adb36")</f>
        <v>5e95be7f18b8ed0c0f5adb36</v>
      </c>
      <c r="G769" s="26" t="str">
        <f>IFERROR(__xludf.DUMMYFUNCTION("""COMPUTED_VALUE"""),"Frantisek Trusa")</f>
        <v>Frantisek Trusa</v>
      </c>
      <c r="H769" s="26" t="b">
        <v>0</v>
      </c>
    </row>
    <row r="770" hidden="1">
      <c r="A770" s="26" t="str">
        <f>VLOOKUP(B770,'2020 SRED (JIRA) - Issues and l'!$B:$C,2,FALSE)</f>
        <v>insite-event-SRED</v>
      </c>
      <c r="B770" s="27" t="str">
        <f>IFERROR(__xludf.DUMMYFUNCTION("""COMPUTED_VALUE"""),"ZAPI-81")</f>
        <v>ZAPI-81</v>
      </c>
      <c r="C770" s="26" t="str">
        <f>IFERROR(__xludf.DUMMYFUNCTION("""COMPUTED_VALUE"""),"Prevent meeting deletion on development/test portals")</f>
        <v>Prevent meeting deletion on development/test portals</v>
      </c>
      <c r="D770" s="28">
        <f>IFERROR(__xludf.DUMMYFUNCTION("""COMPUTED_VALUE"""),2.43333333333333)</f>
        <v>2.433333333</v>
      </c>
      <c r="E770" s="29">
        <f>IFERROR(__xludf.DUMMYFUNCTION("""COMPUTED_VALUE"""),44077.0)</f>
        <v>44077</v>
      </c>
      <c r="F770" s="26" t="str">
        <f>IFERROR(__xludf.DUMMYFUNCTION("""COMPUTED_VALUE"""),"557058:3124a1f0-e92a-405c-93f2-c1d4e621bc77")</f>
        <v>557058:3124a1f0-e92a-405c-93f2-c1d4e621bc77</v>
      </c>
      <c r="G770" s="26" t="str">
        <f>IFERROR(__xludf.DUMMYFUNCTION("""COMPUTED_VALUE"""),"Trevor Coehoorn")</f>
        <v>Trevor Coehoorn</v>
      </c>
      <c r="H770" s="26" t="b">
        <v>0</v>
      </c>
    </row>
    <row r="771" hidden="1">
      <c r="A771" s="26" t="str">
        <f>VLOOKUP(B771,'2020 SRED (JIRA) - Issues and l'!$B:$C,2,FALSE)</f>
        <v>portal-builder-SRED</v>
      </c>
      <c r="B771" s="27" t="str">
        <f>IFERROR(__xludf.DUMMYFUNCTION("""COMPUTED_VALUE"""),"IOP-1357")</f>
        <v>IOP-1357</v>
      </c>
      <c r="C771" s="26" t="str">
        <f>IFERROR(__xludf.DUMMYFUNCTION("""COMPUTED_VALUE"""),"Product development meetings")</f>
        <v>Product development meetings</v>
      </c>
      <c r="D771" s="28">
        <f>IFERROR(__xludf.DUMMYFUNCTION("""COMPUTED_VALUE"""),0.516666666666666)</f>
        <v>0.5166666667</v>
      </c>
      <c r="E771" s="29">
        <f>IFERROR(__xludf.DUMMYFUNCTION("""COMPUTED_VALUE"""),44077.0)</f>
        <v>44077</v>
      </c>
      <c r="F771" s="26" t="str">
        <f>IFERROR(__xludf.DUMMYFUNCTION("""COMPUTED_VALUE"""),"557058:3124a1f0-e92a-405c-93f2-c1d4e621bc77")</f>
        <v>557058:3124a1f0-e92a-405c-93f2-c1d4e621bc77</v>
      </c>
      <c r="G771" s="26" t="str">
        <f>IFERROR(__xludf.DUMMYFUNCTION("""COMPUTED_VALUE"""),"Trevor Coehoorn")</f>
        <v>Trevor Coehoorn</v>
      </c>
      <c r="H771" s="26" t="b">
        <v>0</v>
      </c>
    </row>
    <row r="772" hidden="1">
      <c r="A772" s="26" t="str">
        <f>VLOOKUP(B772,'2020 SRED (JIRA) - Issues and l'!$B:$C,2,FALSE)</f>
        <v>insite-workflow-SRED</v>
      </c>
      <c r="B772" s="27" t="str">
        <f>IFERROR(__xludf.DUMMYFUNCTION("""COMPUTED_VALUE"""),"APPS-423")</f>
        <v>APPS-423</v>
      </c>
      <c r="C772" s="26" t="str">
        <f>IFERROR(__xludf.DUMMYFUNCTION("""COMPUTED_VALUE"""),"As a CST user, I can comment on a task and reply, and receive email notification for both.")</f>
        <v>As a CST user, I can comment on a task and reply, and receive email notification for both.</v>
      </c>
      <c r="D772" s="28">
        <f>IFERROR(__xludf.DUMMYFUNCTION("""COMPUTED_VALUE"""),7.0)</f>
        <v>7</v>
      </c>
      <c r="E772" s="29">
        <f>IFERROR(__xludf.DUMMYFUNCTION("""COMPUTED_VALUE"""),44077.0)</f>
        <v>44077</v>
      </c>
      <c r="F772" s="26" t="str">
        <f>IFERROR(__xludf.DUMMYFUNCTION("""COMPUTED_VALUE"""),"5ee7b6ce868ce30ac49e2521")</f>
        <v>5ee7b6ce868ce30ac49e2521</v>
      </c>
      <c r="G772" s="26" t="str">
        <f>IFERROR(__xludf.DUMMYFUNCTION("""COMPUTED_VALUE"""),"Bryan Le")</f>
        <v>Bryan Le</v>
      </c>
      <c r="H772" s="26" t="b">
        <v>0</v>
      </c>
    </row>
    <row r="773" hidden="1">
      <c r="A773" s="26" t="str">
        <f>VLOOKUP(B773,'2020 SRED (JIRA) - Issues and l'!$B:$C,2,FALSE)</f>
        <v>insite-workflow-SRED</v>
      </c>
      <c r="B773" s="27" t="str">
        <f>IFERROR(__xludf.DUMMYFUNCTION("""COMPUTED_VALUE"""),"APPS-420")</f>
        <v>APPS-420</v>
      </c>
      <c r="C773" s="26" t="str">
        <f>IFERROR(__xludf.DUMMYFUNCTION("""COMPUTED_VALUE"""),"On scheduled email form, allow ""Follow-up date"" to be editable, add validation after now(), set initial value")</f>
        <v>On scheduled email form, allow "Follow-up date" to be editable, add validation after now(), set initial value</v>
      </c>
      <c r="D773" s="28">
        <f>IFERROR(__xludf.DUMMYFUNCTION("""COMPUTED_VALUE"""),7.0)</f>
        <v>7</v>
      </c>
      <c r="E773" s="29">
        <f>IFERROR(__xludf.DUMMYFUNCTION("""COMPUTED_VALUE"""),44077.0)</f>
        <v>44077</v>
      </c>
      <c r="F773" s="26" t="str">
        <f>IFERROR(__xludf.DUMMYFUNCTION("""COMPUTED_VALUE"""),"5ee7b6cf02b4400ac4b65399")</f>
        <v>5ee7b6cf02b4400ac4b65399</v>
      </c>
      <c r="G773" s="26" t="str">
        <f>IFERROR(__xludf.DUMMYFUNCTION("""COMPUTED_VALUE"""),"Jessica Obando")</f>
        <v>Jessica Obando</v>
      </c>
      <c r="H773" s="26" t="b">
        <v>0</v>
      </c>
    </row>
    <row r="774" hidden="1">
      <c r="A774" s="26" t="str">
        <f>VLOOKUP(B774,'2020 SRED (JIRA) - Issues and l'!$B:$C,2,FALSE)</f>
        <v>insite-event-SRED</v>
      </c>
      <c r="B774" s="27" t="str">
        <f>IFERROR(__xludf.DUMMYFUNCTION("""COMPUTED_VALUE"""),"ZAPI-61")</f>
        <v>ZAPI-61</v>
      </c>
      <c r="C774" s="26" t="str">
        <f>IFERROR(__xludf.DUMMYFUNCTION("""COMPUTED_VALUE"""),"As an Impetus staff member, I can view all scheduled client meetings, dry runs, etc. and their meeting IDs, portal links to join, Impetus resources, etc.")</f>
        <v>As an Impetus staff member, I can view all scheduled client meetings, dry runs, etc. and their meeting IDs, portal links to join, Impetus resources, etc.</v>
      </c>
      <c r="D774" s="28">
        <f>IFERROR(__xludf.DUMMYFUNCTION("""COMPUTED_VALUE"""),4.0)</f>
        <v>4</v>
      </c>
      <c r="E774" s="29">
        <f>IFERROR(__xludf.DUMMYFUNCTION("""COMPUTED_VALUE"""),44077.33333333333)</f>
        <v>44077.33333</v>
      </c>
      <c r="F774" s="26" t="str">
        <f>IFERROR(__xludf.DUMMYFUNCTION("""COMPUTED_VALUE"""),"5e95be7f18b8ed0c0f5adb36")</f>
        <v>5e95be7f18b8ed0c0f5adb36</v>
      </c>
      <c r="G774" s="26" t="str">
        <f>IFERROR(__xludf.DUMMYFUNCTION("""COMPUTED_VALUE"""),"Frantisek Trusa")</f>
        <v>Frantisek Trusa</v>
      </c>
      <c r="H774" s="26" t="b">
        <v>0</v>
      </c>
    </row>
    <row r="775" hidden="1">
      <c r="A775" s="26" t="str">
        <f>VLOOKUP(B775,'2020 SRED (JIRA) - Issues and l'!$B:$C,2,FALSE)</f>
        <v>insite-event-SRED</v>
      </c>
      <c r="B775" s="27" t="str">
        <f>IFERROR(__xludf.DUMMYFUNCTION("""COMPUTED_VALUE"""),"ZAPI-61")</f>
        <v>ZAPI-61</v>
      </c>
      <c r="C775" s="26" t="str">
        <f>IFERROR(__xludf.DUMMYFUNCTION("""COMPUTED_VALUE"""),"As an Impetus staff member, I can view all scheduled client meetings, dry runs, etc. and their meeting IDs, portal links to join, Impetus resources, etc.")</f>
        <v>As an Impetus staff member, I can view all scheduled client meetings, dry runs, etc. and their meeting IDs, portal links to join, Impetus resources, etc.</v>
      </c>
      <c r="D775" s="28">
        <f>IFERROR(__xludf.DUMMYFUNCTION("""COMPUTED_VALUE"""),4.0)</f>
        <v>4</v>
      </c>
      <c r="E775" s="29">
        <f>IFERROR(__xludf.DUMMYFUNCTION("""COMPUTED_VALUE"""),44077.54166666667)</f>
        <v>44077.54167</v>
      </c>
      <c r="F775" s="26" t="str">
        <f>IFERROR(__xludf.DUMMYFUNCTION("""COMPUTED_VALUE"""),"5e95be7f18b8ed0c0f5adb36")</f>
        <v>5e95be7f18b8ed0c0f5adb36</v>
      </c>
      <c r="G775" s="26" t="str">
        <f>IFERROR(__xludf.DUMMYFUNCTION("""COMPUTED_VALUE"""),"Frantisek Trusa")</f>
        <v>Frantisek Trusa</v>
      </c>
      <c r="H775" s="26" t="b">
        <v>0</v>
      </c>
    </row>
    <row r="776" hidden="1">
      <c r="A776" s="26" t="str">
        <f>VLOOKUP(B776,'2020 SRED (JIRA) - Issues and l'!$B:$C,2,FALSE)</f>
        <v>insite-event-SRED</v>
      </c>
      <c r="B776" s="27" t="str">
        <f>IFERROR(__xludf.DUMMYFUNCTION("""COMPUTED_VALUE"""),"ZAPI-81")</f>
        <v>ZAPI-81</v>
      </c>
      <c r="C776" s="26" t="str">
        <f>IFERROR(__xludf.DUMMYFUNCTION("""COMPUTED_VALUE"""),"Prevent meeting deletion on development/test portals")</f>
        <v>Prevent meeting deletion on development/test portals</v>
      </c>
      <c r="D776" s="28">
        <f>IFERROR(__xludf.DUMMYFUNCTION("""COMPUTED_VALUE"""),3.95)</f>
        <v>3.95</v>
      </c>
      <c r="E776" s="29">
        <f>IFERROR(__xludf.DUMMYFUNCTION("""COMPUTED_VALUE"""),44078.0)</f>
        <v>44078</v>
      </c>
      <c r="F776" s="26" t="str">
        <f>IFERROR(__xludf.DUMMYFUNCTION("""COMPUTED_VALUE"""),"557058:3124a1f0-e92a-405c-93f2-c1d4e621bc77")</f>
        <v>557058:3124a1f0-e92a-405c-93f2-c1d4e621bc77</v>
      </c>
      <c r="G776" s="26" t="str">
        <f>IFERROR(__xludf.DUMMYFUNCTION("""COMPUTED_VALUE"""),"Trevor Coehoorn")</f>
        <v>Trevor Coehoorn</v>
      </c>
      <c r="H776" s="26" t="b">
        <v>0</v>
      </c>
    </row>
    <row r="777" hidden="1">
      <c r="A777" s="26" t="str">
        <f>VLOOKUP(B777,'2020 SRED (JIRA) - Issues and l'!$B:$C,2,FALSE)</f>
        <v>insite-event-SRED</v>
      </c>
      <c r="B777" s="27" t="str">
        <f>IFERROR(__xludf.DUMMYFUNCTION("""COMPUTED_VALUE"""),"ZAPI-111")</f>
        <v>ZAPI-111</v>
      </c>
      <c r="C777" s="26" t="str">
        <f>IFERROR(__xludf.DUMMYFUNCTION("""COMPUTED_VALUE"""),"Spin up events.impetusdigital.com portal to serve as a hub for SVTs")</f>
        <v>Spin up events.impetusdigital.com portal to serve as a hub for SVTs</v>
      </c>
      <c r="D777" s="28">
        <f>IFERROR(__xludf.DUMMYFUNCTION("""COMPUTED_VALUE"""),0.133333333333333)</f>
        <v>0.1333333333</v>
      </c>
      <c r="E777" s="29">
        <f>IFERROR(__xludf.DUMMYFUNCTION("""COMPUTED_VALUE"""),44078.0)</f>
        <v>44078</v>
      </c>
      <c r="F777" s="26" t="str">
        <f>IFERROR(__xludf.DUMMYFUNCTION("""COMPUTED_VALUE"""),"557058:3124a1f0-e92a-405c-93f2-c1d4e621bc77")</f>
        <v>557058:3124a1f0-e92a-405c-93f2-c1d4e621bc77</v>
      </c>
      <c r="G777" s="26" t="str">
        <f>IFERROR(__xludf.DUMMYFUNCTION("""COMPUTED_VALUE"""),"Trevor Coehoorn")</f>
        <v>Trevor Coehoorn</v>
      </c>
      <c r="H777" s="26" t="b">
        <v>0</v>
      </c>
    </row>
    <row r="778" hidden="1">
      <c r="A778" s="26" t="str">
        <f>VLOOKUP(B778,'2020 SRED (JIRA) - Issues and l'!$B:$C,2,FALSE)</f>
        <v>insite-event-SRED</v>
      </c>
      <c r="B778" s="27" t="str">
        <f>IFERROR(__xludf.DUMMYFUNCTION("""COMPUTED_VALUE"""),"ZAPI-61")</f>
        <v>ZAPI-61</v>
      </c>
      <c r="C778" s="26" t="str">
        <f>IFERROR(__xludf.DUMMYFUNCTION("""COMPUTED_VALUE"""),"As an Impetus staff member, I can view all scheduled client meetings, dry runs, etc. and their meeting IDs, portal links to join, Impetus resources, etc.")</f>
        <v>As an Impetus staff member, I can view all scheduled client meetings, dry runs, etc. and their meeting IDs, portal links to join, Impetus resources, etc.</v>
      </c>
      <c r="D778" s="28">
        <f>IFERROR(__xludf.DUMMYFUNCTION("""COMPUTED_VALUE"""),0.316666666666666)</f>
        <v>0.3166666667</v>
      </c>
      <c r="E778" s="29">
        <f>IFERROR(__xludf.DUMMYFUNCTION("""COMPUTED_VALUE"""),44078.0)</f>
        <v>44078</v>
      </c>
      <c r="F778" s="26" t="str">
        <f>IFERROR(__xludf.DUMMYFUNCTION("""COMPUTED_VALUE"""),"557058:3124a1f0-e92a-405c-93f2-c1d4e621bc77")</f>
        <v>557058:3124a1f0-e92a-405c-93f2-c1d4e621bc77</v>
      </c>
      <c r="G778" s="26" t="str">
        <f>IFERROR(__xludf.DUMMYFUNCTION("""COMPUTED_VALUE"""),"Trevor Coehoorn")</f>
        <v>Trevor Coehoorn</v>
      </c>
      <c r="H778" s="26" t="b">
        <v>0</v>
      </c>
    </row>
    <row r="779" hidden="1">
      <c r="A779" s="26" t="str">
        <f>VLOOKUP(B779,'2020 SRED (JIRA) - Issues and l'!$B:$C,2,FALSE)</f>
        <v>insite-event-SRED</v>
      </c>
      <c r="B779" s="27" t="str">
        <f>IFERROR(__xludf.DUMMYFUNCTION("""COMPUTED_VALUE"""),"ZAPI-127")</f>
        <v>ZAPI-127</v>
      </c>
      <c r="C779" s="26" t="str">
        <f>IFERROR(__xludf.DUMMYFUNCTION("""COMPUTED_VALUE"""),"Display more user-friendly video statuses")</f>
        <v>Display more user-friendly video statuses</v>
      </c>
      <c r="D779" s="28">
        <f>IFERROR(__xludf.DUMMYFUNCTION("""COMPUTED_VALUE"""),0.116666666666666)</f>
        <v>0.1166666667</v>
      </c>
      <c r="E779" s="29">
        <f>IFERROR(__xludf.DUMMYFUNCTION("""COMPUTED_VALUE"""),44078.0)</f>
        <v>44078</v>
      </c>
      <c r="F779" s="26" t="str">
        <f>IFERROR(__xludf.DUMMYFUNCTION("""COMPUTED_VALUE"""),"557058:3124a1f0-e92a-405c-93f2-c1d4e621bc77")</f>
        <v>557058:3124a1f0-e92a-405c-93f2-c1d4e621bc77</v>
      </c>
      <c r="G779" s="26" t="str">
        <f>IFERROR(__xludf.DUMMYFUNCTION("""COMPUTED_VALUE"""),"Trevor Coehoorn")</f>
        <v>Trevor Coehoorn</v>
      </c>
      <c r="H779" s="26" t="b">
        <v>0</v>
      </c>
    </row>
    <row r="780" hidden="1">
      <c r="A780" s="26" t="str">
        <f>VLOOKUP(B780,'2020 SRED (JIRA) - Issues and l'!$B:$C,2,FALSE)</f>
        <v>insite-event-SRED</v>
      </c>
      <c r="B780" s="27" t="str">
        <f>IFERROR(__xludf.DUMMYFUNCTION("""COMPUTED_VALUE"""),"ZAPI-126")</f>
        <v>ZAPI-126</v>
      </c>
      <c r="C780" s="26" t="str">
        <f>IFERROR(__xludf.DUMMYFUNCTION("""COMPUTED_VALUE"""),"Only display the user access checkboxes for exported videos")</f>
        <v>Only display the user access checkboxes for exported videos</v>
      </c>
      <c r="D780" s="28">
        <f>IFERROR(__xludf.DUMMYFUNCTION("""COMPUTED_VALUE"""),0.233333333333333)</f>
        <v>0.2333333333</v>
      </c>
      <c r="E780" s="29">
        <f>IFERROR(__xludf.DUMMYFUNCTION("""COMPUTED_VALUE"""),44078.0)</f>
        <v>44078</v>
      </c>
      <c r="F780" s="26" t="str">
        <f>IFERROR(__xludf.DUMMYFUNCTION("""COMPUTED_VALUE"""),"557058:3124a1f0-e92a-405c-93f2-c1d4e621bc77")</f>
        <v>557058:3124a1f0-e92a-405c-93f2-c1d4e621bc77</v>
      </c>
      <c r="G780" s="26" t="str">
        <f>IFERROR(__xludf.DUMMYFUNCTION("""COMPUTED_VALUE"""),"Trevor Coehoorn")</f>
        <v>Trevor Coehoorn</v>
      </c>
      <c r="H780" s="26" t="b">
        <v>0</v>
      </c>
    </row>
    <row r="781" hidden="1">
      <c r="A781" s="26" t="str">
        <f>VLOOKUP(B781,'2020 SRED (JIRA) - Issues and l'!$B:$C,2,FALSE)</f>
        <v>insite-event-SRED</v>
      </c>
      <c r="B781" s="27" t="str">
        <f>IFERROR(__xludf.DUMMYFUNCTION("""COMPUTED_VALUE"""),"ZAPI-125")</f>
        <v>ZAPI-125</v>
      </c>
      <c r="C781" s="26" t="str">
        <f>IFERROR(__xludf.DUMMYFUNCTION("""COMPUTED_VALUE"""),"Refresh the recording list when the user access checkboxes are modified")</f>
        <v>Refresh the recording list when the user access checkboxes are modified</v>
      </c>
      <c r="D781" s="28">
        <f>IFERROR(__xludf.DUMMYFUNCTION("""COMPUTED_VALUE"""),0.283333333333333)</f>
        <v>0.2833333333</v>
      </c>
      <c r="E781" s="29">
        <f>IFERROR(__xludf.DUMMYFUNCTION("""COMPUTED_VALUE"""),44078.0)</f>
        <v>44078</v>
      </c>
      <c r="F781" s="26" t="str">
        <f>IFERROR(__xludf.DUMMYFUNCTION("""COMPUTED_VALUE"""),"557058:3124a1f0-e92a-405c-93f2-c1d4e621bc77")</f>
        <v>557058:3124a1f0-e92a-405c-93f2-c1d4e621bc77</v>
      </c>
      <c r="G781" s="26" t="str">
        <f>IFERROR(__xludf.DUMMYFUNCTION("""COMPUTED_VALUE"""),"Trevor Coehoorn")</f>
        <v>Trevor Coehoorn</v>
      </c>
      <c r="H781" s="26" t="b">
        <v>0</v>
      </c>
    </row>
    <row r="782" hidden="1">
      <c r="A782" s="26" t="str">
        <f>VLOOKUP(B782,'2020 SRED (JIRA) - Issues and l'!$B:$C,2,FALSE)</f>
        <v>insite-event-SRED</v>
      </c>
      <c r="B782" s="27" t="str">
        <f>IFERROR(__xludf.DUMMYFUNCTION("""COMPUTED_VALUE"""),"ZAPI-124")</f>
        <v>ZAPI-124</v>
      </c>
      <c r="C782" s="26" t="str">
        <f>IFERROR(__xludf.DUMMYFUNCTION("""COMPUTED_VALUE"""),"Refresh the videos table when a video is saved")</f>
        <v>Refresh the videos table when a video is saved</v>
      </c>
      <c r="D782" s="28">
        <f>IFERROR(__xludf.DUMMYFUNCTION("""COMPUTED_VALUE"""),0.333333333333333)</f>
        <v>0.3333333333</v>
      </c>
      <c r="E782" s="29">
        <f>IFERROR(__xludf.DUMMYFUNCTION("""COMPUTED_VALUE"""),44078.0)</f>
        <v>44078</v>
      </c>
      <c r="F782" s="26" t="str">
        <f>IFERROR(__xludf.DUMMYFUNCTION("""COMPUTED_VALUE"""),"557058:3124a1f0-e92a-405c-93f2-c1d4e621bc77")</f>
        <v>557058:3124a1f0-e92a-405c-93f2-c1d4e621bc77</v>
      </c>
      <c r="G782" s="26" t="str">
        <f>IFERROR(__xludf.DUMMYFUNCTION("""COMPUTED_VALUE"""),"Trevor Coehoorn")</f>
        <v>Trevor Coehoorn</v>
      </c>
      <c r="H782" s="26" t="b">
        <v>0</v>
      </c>
    </row>
    <row r="783" hidden="1">
      <c r="A783" s="26" t="str">
        <f>VLOOKUP(B783,'2020 SRED (JIRA) - Issues and l'!$B:$C,2,FALSE)</f>
        <v>insite-event-SRED</v>
      </c>
      <c r="B783" s="27" t="str">
        <f>IFERROR(__xludf.DUMMYFUNCTION("""COMPUTED_VALUE"""),"ZAPI-65")</f>
        <v>ZAPI-65</v>
      </c>
      <c r="C783" s="26" t="str">
        <f>IFERROR(__xludf.DUMMYFUNCTION("""COMPUTED_VALUE"""),"Prevent users from trying to add more than 25 polls")</f>
        <v>Prevent users from trying to add more than 25 polls</v>
      </c>
      <c r="D783" s="28">
        <f>IFERROR(__xludf.DUMMYFUNCTION("""COMPUTED_VALUE"""),0.0833333333333333)</f>
        <v>0.08333333333</v>
      </c>
      <c r="E783" s="29">
        <f>IFERROR(__xludf.DUMMYFUNCTION("""COMPUTED_VALUE"""),44078.0)</f>
        <v>44078</v>
      </c>
      <c r="F783" s="26" t="str">
        <f>IFERROR(__xludf.DUMMYFUNCTION("""COMPUTED_VALUE"""),"557058:3124a1f0-e92a-405c-93f2-c1d4e621bc77")</f>
        <v>557058:3124a1f0-e92a-405c-93f2-c1d4e621bc77</v>
      </c>
      <c r="G783" s="26" t="str">
        <f>IFERROR(__xludf.DUMMYFUNCTION("""COMPUTED_VALUE"""),"Trevor Coehoorn")</f>
        <v>Trevor Coehoorn</v>
      </c>
      <c r="H783" s="26" t="b">
        <v>0</v>
      </c>
    </row>
    <row r="784" hidden="1">
      <c r="A784" s="26" t="str">
        <f>VLOOKUP(B784,'2020 SRED (JIRA) - Issues and l'!$B:$C,2,FALSE)</f>
        <v>insite-workflow-SRED</v>
      </c>
      <c r="B784" s="27" t="str">
        <f>IFERROR(__xludf.DUMMYFUNCTION("""COMPUTED_VALUE"""),"APPS-423")</f>
        <v>APPS-423</v>
      </c>
      <c r="C784" s="26" t="str">
        <f>IFERROR(__xludf.DUMMYFUNCTION("""COMPUTED_VALUE"""),"As a CST user, I can comment on a task and reply, and receive email notification for both.")</f>
        <v>As a CST user, I can comment on a task and reply, and receive email notification for both.</v>
      </c>
      <c r="D784" s="28">
        <f>IFERROR(__xludf.DUMMYFUNCTION("""COMPUTED_VALUE"""),7.0)</f>
        <v>7</v>
      </c>
      <c r="E784" s="29">
        <f>IFERROR(__xludf.DUMMYFUNCTION("""COMPUTED_VALUE"""),44078.0)</f>
        <v>44078</v>
      </c>
      <c r="F784" s="26" t="str">
        <f>IFERROR(__xludf.DUMMYFUNCTION("""COMPUTED_VALUE"""),"5ee7b6ce868ce30ac49e2521")</f>
        <v>5ee7b6ce868ce30ac49e2521</v>
      </c>
      <c r="G784" s="26" t="str">
        <f>IFERROR(__xludf.DUMMYFUNCTION("""COMPUTED_VALUE"""),"Bryan Le")</f>
        <v>Bryan Le</v>
      </c>
      <c r="H784" s="26" t="b">
        <v>0</v>
      </c>
    </row>
    <row r="785" hidden="1">
      <c r="A785" s="26" t="str">
        <f>VLOOKUP(B785,'2020 SRED (JIRA) - Issues and l'!$B:$C,2,FALSE)</f>
        <v>insite-workflow-SRED</v>
      </c>
      <c r="B785" s="27" t="str">
        <f>IFERROR(__xludf.DUMMYFUNCTION("""COMPUTED_VALUE"""),"APPS-405")</f>
        <v>APPS-405</v>
      </c>
      <c r="C785" s="26" t="str">
        <f>IFERROR(__xludf.DUMMYFUNCTION("""COMPUTED_VALUE"""),"Test ""Lead Generator app"" and iframe embedded on website")</f>
        <v>Test "Lead Generator app" and iframe embedded on website</v>
      </c>
      <c r="D785" s="28">
        <f>IFERROR(__xludf.DUMMYFUNCTION("""COMPUTED_VALUE"""),7.0)</f>
        <v>7</v>
      </c>
      <c r="E785" s="29">
        <f>IFERROR(__xludf.DUMMYFUNCTION("""COMPUTED_VALUE"""),44078.0)</f>
        <v>44078</v>
      </c>
      <c r="F785" s="26" t="str">
        <f>IFERROR(__xludf.DUMMYFUNCTION("""COMPUTED_VALUE"""),"5ee7b6cf02b4400ac4b65399")</f>
        <v>5ee7b6cf02b4400ac4b65399</v>
      </c>
      <c r="G785" s="26" t="str">
        <f>IFERROR(__xludf.DUMMYFUNCTION("""COMPUTED_VALUE"""),"Jessica Obando")</f>
        <v>Jessica Obando</v>
      </c>
      <c r="H785" s="26" t="b">
        <v>0</v>
      </c>
    </row>
    <row r="786" hidden="1">
      <c r="A786" s="26" t="str">
        <f>VLOOKUP(B786,'2020 SRED (JIRA) - Issues and l'!$B:$C,2,FALSE)</f>
        <v>insite-event-SRED</v>
      </c>
      <c r="B786" s="27" t="str">
        <f>IFERROR(__xludf.DUMMYFUNCTION("""COMPUTED_VALUE"""),"ZAPI-61")</f>
        <v>ZAPI-61</v>
      </c>
      <c r="C786" s="26" t="str">
        <f>IFERROR(__xludf.DUMMYFUNCTION("""COMPUTED_VALUE"""),"As an Impetus staff member, I can view all scheduled client meetings, dry runs, etc. and their meeting IDs, portal links to join, Impetus resources, etc.")</f>
        <v>As an Impetus staff member, I can view all scheduled client meetings, dry runs, etc. and their meeting IDs, portal links to join, Impetus resources, etc.</v>
      </c>
      <c r="D786" s="28">
        <f>IFERROR(__xludf.DUMMYFUNCTION("""COMPUTED_VALUE"""),4.0)</f>
        <v>4</v>
      </c>
      <c r="E786" s="29">
        <f>IFERROR(__xludf.DUMMYFUNCTION("""COMPUTED_VALUE"""),44078.33333333333)</f>
        <v>44078.33333</v>
      </c>
      <c r="F786" s="26" t="str">
        <f>IFERROR(__xludf.DUMMYFUNCTION("""COMPUTED_VALUE"""),"5e95be7f18b8ed0c0f5adb36")</f>
        <v>5e95be7f18b8ed0c0f5adb36</v>
      </c>
      <c r="G786" s="26" t="str">
        <f>IFERROR(__xludf.DUMMYFUNCTION("""COMPUTED_VALUE"""),"Frantisek Trusa")</f>
        <v>Frantisek Trusa</v>
      </c>
      <c r="H786" s="26" t="b">
        <v>0</v>
      </c>
    </row>
    <row r="787" hidden="1">
      <c r="A787" s="26" t="str">
        <f>VLOOKUP(B787,'2020 SRED (JIRA) - Issues and l'!$B:$C,2,FALSE)</f>
        <v>insite-event-SRED</v>
      </c>
      <c r="B787" s="27" t="str">
        <f>IFERROR(__xludf.DUMMYFUNCTION("""COMPUTED_VALUE"""),"ZAPI-61")</f>
        <v>ZAPI-61</v>
      </c>
      <c r="C787" s="26" t="str">
        <f>IFERROR(__xludf.DUMMYFUNCTION("""COMPUTED_VALUE"""),"As an Impetus staff member, I can view all scheduled client meetings, dry runs, etc. and their meeting IDs, portal links to join, Impetus resources, etc.")</f>
        <v>As an Impetus staff member, I can view all scheduled client meetings, dry runs, etc. and their meeting IDs, portal links to join, Impetus resources, etc.</v>
      </c>
      <c r="D787" s="28">
        <f>IFERROR(__xludf.DUMMYFUNCTION("""COMPUTED_VALUE"""),4.0)</f>
        <v>4</v>
      </c>
      <c r="E787" s="29">
        <f>IFERROR(__xludf.DUMMYFUNCTION("""COMPUTED_VALUE"""),44078.54166666667)</f>
        <v>44078.54167</v>
      </c>
      <c r="F787" s="26" t="str">
        <f>IFERROR(__xludf.DUMMYFUNCTION("""COMPUTED_VALUE"""),"5e95be7f18b8ed0c0f5adb36")</f>
        <v>5e95be7f18b8ed0c0f5adb36</v>
      </c>
      <c r="G787" s="26" t="str">
        <f>IFERROR(__xludf.DUMMYFUNCTION("""COMPUTED_VALUE"""),"Frantisek Trusa")</f>
        <v>Frantisek Trusa</v>
      </c>
      <c r="H787" s="26" t="b">
        <v>0</v>
      </c>
    </row>
    <row r="788" hidden="1">
      <c r="A788" s="26" t="str">
        <f>VLOOKUP(B788,'2020 SRED (JIRA) - Issues and l'!$B:$C,2,FALSE)</f>
        <v>portal-builder-SRED</v>
      </c>
      <c r="B788" s="27" t="str">
        <f>IFERROR(__xludf.DUMMYFUNCTION("""COMPUTED_VALUE"""),"ITP-1864")</f>
        <v>ITP-1864</v>
      </c>
      <c r="C788" s="26" t="str">
        <f>IFERROR(__xludf.DUMMYFUNCTION("""COMPUTED_VALUE"""),"Prevent file widget video files from automatically playing when they are downloaded")</f>
        <v>Prevent file widget video files from automatically playing when they are downloaded</v>
      </c>
      <c r="D788" s="28">
        <f>IFERROR(__xludf.DUMMYFUNCTION("""COMPUTED_VALUE"""),0.166666666666666)</f>
        <v>0.1666666667</v>
      </c>
      <c r="E788" s="29">
        <f>IFERROR(__xludf.DUMMYFUNCTION("""COMPUTED_VALUE"""),44078.646527777775)</f>
        <v>44078.64653</v>
      </c>
      <c r="F788" s="26" t="str">
        <f>IFERROR(__xludf.DUMMYFUNCTION("""COMPUTED_VALUE"""),"557058:f55c62b5-dc7e-41e5-b0f8-231ca9f23470")</f>
        <v>557058:f55c62b5-dc7e-41e5-b0f8-231ca9f23470</v>
      </c>
      <c r="G788" s="26" t="str">
        <f>IFERROR(__xludf.DUMMYFUNCTION("""COMPUTED_VALUE"""),"Holly Lam")</f>
        <v>Holly Lam</v>
      </c>
      <c r="H788" s="26" t="b">
        <v>0</v>
      </c>
    </row>
    <row r="789" hidden="1">
      <c r="A789" s="26" t="str">
        <f>VLOOKUP(B789,'2020 SRED (JIRA) - Issues and l'!$B:$C,2,FALSE)</f>
        <v>insite-event-SRED</v>
      </c>
      <c r="B789" s="27" t="str">
        <f>IFERROR(__xludf.DUMMYFUNCTION("""COMPUTED_VALUE"""),"ZAPI-126")</f>
        <v>ZAPI-126</v>
      </c>
      <c r="C789" s="26" t="str">
        <f>IFERROR(__xludf.DUMMYFUNCTION("""COMPUTED_VALUE"""),"Only display the user access checkboxes for exported videos")</f>
        <v>Only display the user access checkboxes for exported videos</v>
      </c>
      <c r="D789" s="28">
        <f>IFERROR(__xludf.DUMMYFUNCTION("""COMPUTED_VALUE"""),1.0)</f>
        <v>1</v>
      </c>
      <c r="E789" s="29">
        <f>IFERROR(__xludf.DUMMYFUNCTION("""COMPUTED_VALUE"""),44081.33333333333)</f>
        <v>44081.33333</v>
      </c>
      <c r="F789" s="26" t="str">
        <f>IFERROR(__xludf.DUMMYFUNCTION("""COMPUTED_VALUE"""),"5e95be7f18b8ed0c0f5adb36")</f>
        <v>5e95be7f18b8ed0c0f5adb36</v>
      </c>
      <c r="G789" s="26" t="str">
        <f>IFERROR(__xludf.DUMMYFUNCTION("""COMPUTED_VALUE"""),"Frantisek Trusa")</f>
        <v>Frantisek Trusa</v>
      </c>
      <c r="H789" s="26" t="b">
        <v>0</v>
      </c>
    </row>
    <row r="790" hidden="1">
      <c r="A790" s="26" t="str">
        <f>VLOOKUP(B790,'2020 SRED (JIRA) - Issues and l'!$B:$C,2,FALSE)</f>
        <v>insite-event-SRED</v>
      </c>
      <c r="B790" s="27" t="str">
        <f>IFERROR(__xludf.DUMMYFUNCTION("""COMPUTED_VALUE"""),"ZAPI-127")</f>
        <v>ZAPI-127</v>
      </c>
      <c r="C790" s="26" t="str">
        <f>IFERROR(__xludf.DUMMYFUNCTION("""COMPUTED_VALUE"""),"Display more user-friendly video statuses")</f>
        <v>Display more user-friendly video statuses</v>
      </c>
      <c r="D790" s="28">
        <f>IFERROR(__xludf.DUMMYFUNCTION("""COMPUTED_VALUE"""),1.0)</f>
        <v>1</v>
      </c>
      <c r="E790" s="29">
        <f>IFERROR(__xludf.DUMMYFUNCTION("""COMPUTED_VALUE"""),44081.375)</f>
        <v>44081.375</v>
      </c>
      <c r="F790" s="26" t="str">
        <f>IFERROR(__xludf.DUMMYFUNCTION("""COMPUTED_VALUE"""),"5e95be7f18b8ed0c0f5adb36")</f>
        <v>5e95be7f18b8ed0c0f5adb36</v>
      </c>
      <c r="G790" s="26" t="str">
        <f>IFERROR(__xludf.DUMMYFUNCTION("""COMPUTED_VALUE"""),"Frantisek Trusa")</f>
        <v>Frantisek Trusa</v>
      </c>
      <c r="H790" s="26" t="b">
        <v>0</v>
      </c>
    </row>
    <row r="791" hidden="1">
      <c r="A791" s="26" t="str">
        <f>VLOOKUP(B791,'2020 SRED (JIRA) - Issues and l'!$B:$C,2,FALSE)</f>
        <v>insite-event-SRED</v>
      </c>
      <c r="B791" s="27" t="str">
        <f>IFERROR(__xludf.DUMMYFUNCTION("""COMPUTED_VALUE"""),"ZAPI-61")</f>
        <v>ZAPI-61</v>
      </c>
      <c r="C791" s="26" t="str">
        <f>IFERROR(__xludf.DUMMYFUNCTION("""COMPUTED_VALUE"""),"As an Impetus staff member, I can view all scheduled client meetings, dry runs, etc. and their meeting IDs, portal links to join, Impetus resources, etc.")</f>
        <v>As an Impetus staff member, I can view all scheduled client meetings, dry runs, etc. and their meeting IDs, portal links to join, Impetus resources, etc.</v>
      </c>
      <c r="D791" s="28">
        <f>IFERROR(__xludf.DUMMYFUNCTION("""COMPUTED_VALUE"""),2.0)</f>
        <v>2</v>
      </c>
      <c r="E791" s="29">
        <f>IFERROR(__xludf.DUMMYFUNCTION("""COMPUTED_VALUE"""),44081.41666666667)</f>
        <v>44081.41667</v>
      </c>
      <c r="F791" s="26" t="str">
        <f>IFERROR(__xludf.DUMMYFUNCTION("""COMPUTED_VALUE"""),"5e95be7f18b8ed0c0f5adb36")</f>
        <v>5e95be7f18b8ed0c0f5adb36</v>
      </c>
      <c r="G791" s="26" t="str">
        <f>IFERROR(__xludf.DUMMYFUNCTION("""COMPUTED_VALUE"""),"Frantisek Trusa")</f>
        <v>Frantisek Trusa</v>
      </c>
      <c r="H791" s="26" t="b">
        <v>0</v>
      </c>
    </row>
    <row r="792" hidden="1">
      <c r="A792" s="26" t="str">
        <f>VLOOKUP(B792,'2020 SRED (JIRA) - Issues and l'!$B:$C,2,FALSE)</f>
        <v>insite-event-SRED</v>
      </c>
      <c r="B792" s="27" t="str">
        <f>IFERROR(__xludf.DUMMYFUNCTION("""COMPUTED_VALUE"""),"ZAPI-61")</f>
        <v>ZAPI-61</v>
      </c>
      <c r="C792" s="26" t="str">
        <f>IFERROR(__xludf.DUMMYFUNCTION("""COMPUTED_VALUE"""),"As an Impetus staff member, I can view all scheduled client meetings, dry runs, etc. and their meeting IDs, portal links to join, Impetus resources, etc.")</f>
        <v>As an Impetus staff member, I can view all scheduled client meetings, dry runs, etc. and their meeting IDs, portal links to join, Impetus resources, etc.</v>
      </c>
      <c r="D792" s="28">
        <f>IFERROR(__xludf.DUMMYFUNCTION("""COMPUTED_VALUE"""),4.0)</f>
        <v>4</v>
      </c>
      <c r="E792" s="29">
        <f>IFERROR(__xludf.DUMMYFUNCTION("""COMPUTED_VALUE"""),44081.54166666667)</f>
        <v>44081.54167</v>
      </c>
      <c r="F792" s="26" t="str">
        <f>IFERROR(__xludf.DUMMYFUNCTION("""COMPUTED_VALUE"""),"5e95be7f18b8ed0c0f5adb36")</f>
        <v>5e95be7f18b8ed0c0f5adb36</v>
      </c>
      <c r="G792" s="26" t="str">
        <f>IFERROR(__xludf.DUMMYFUNCTION("""COMPUTED_VALUE"""),"Frantisek Trusa")</f>
        <v>Frantisek Trusa</v>
      </c>
      <c r="H792" s="26" t="b">
        <v>0</v>
      </c>
    </row>
    <row r="793" hidden="1">
      <c r="A793" s="26" t="str">
        <f>VLOOKUP(B793,'2020 SRED (JIRA) - Issues and l'!$B:$C,2,FALSE)</f>
        <v>insite-event-SRED</v>
      </c>
      <c r="B793" s="27" t="str">
        <f>IFERROR(__xludf.DUMMYFUNCTION("""COMPUTED_VALUE"""),"ZAPI-112")</f>
        <v>ZAPI-112</v>
      </c>
      <c r="C793" s="26" t="str">
        <f>IFERROR(__xludf.DUMMYFUNCTION("""COMPUTED_VALUE"""),"Updates to form descriptions on event registration page")</f>
        <v>Updates to form descriptions on event registration page</v>
      </c>
      <c r="D793" s="28">
        <f>IFERROR(__xludf.DUMMYFUNCTION("""COMPUTED_VALUE"""),0.966666666666666)</f>
        <v>0.9666666667</v>
      </c>
      <c r="E793" s="29">
        <f>IFERROR(__xludf.DUMMYFUNCTION("""COMPUTED_VALUE"""),44082.0)</f>
        <v>44082</v>
      </c>
      <c r="F793" s="26" t="str">
        <f>IFERROR(__xludf.DUMMYFUNCTION("""COMPUTED_VALUE"""),"557058:3124a1f0-e92a-405c-93f2-c1d4e621bc77")</f>
        <v>557058:3124a1f0-e92a-405c-93f2-c1d4e621bc77</v>
      </c>
      <c r="G793" s="26" t="str">
        <f>IFERROR(__xludf.DUMMYFUNCTION("""COMPUTED_VALUE"""),"Trevor Coehoorn")</f>
        <v>Trevor Coehoorn</v>
      </c>
      <c r="H793" s="26" t="b">
        <v>0</v>
      </c>
    </row>
    <row r="794" hidden="1">
      <c r="A794" s="26" t="str">
        <f>VLOOKUP(B794,'2020 SRED (JIRA) - Issues and l'!$B:$C,2,FALSE)</f>
        <v>insite-event-SRED</v>
      </c>
      <c r="B794" s="27" t="str">
        <f>IFERROR(__xludf.DUMMYFUNCTION("""COMPUTED_VALUE"""),"ZAPI-104")</f>
        <v>ZAPI-104</v>
      </c>
      <c r="C794" s="26" t="str">
        <f>IFERROR(__xludf.DUMMYFUNCTION("""COMPUTED_VALUE"""),"Add actions column to the list of recordings table with the action ""Copy and edit"" (copies raw video to streaming service file type)")</f>
        <v>Add actions column to the list of recordings table with the action "Copy and edit" (copies raw video to streaming service file type)</v>
      </c>
      <c r="D794" s="28">
        <f>IFERROR(__xludf.DUMMYFUNCTION("""COMPUTED_VALUE"""),0.133333333333333)</f>
        <v>0.1333333333</v>
      </c>
      <c r="E794" s="29">
        <f>IFERROR(__xludf.DUMMYFUNCTION("""COMPUTED_VALUE"""),44082.0)</f>
        <v>44082</v>
      </c>
      <c r="F794" s="26" t="str">
        <f>IFERROR(__xludf.DUMMYFUNCTION("""COMPUTED_VALUE"""),"557058:3124a1f0-e92a-405c-93f2-c1d4e621bc77")</f>
        <v>557058:3124a1f0-e92a-405c-93f2-c1d4e621bc77</v>
      </c>
      <c r="G794" s="26" t="str">
        <f>IFERROR(__xludf.DUMMYFUNCTION("""COMPUTED_VALUE"""),"Trevor Coehoorn")</f>
        <v>Trevor Coehoorn</v>
      </c>
      <c r="H794" s="26" t="b">
        <v>0</v>
      </c>
    </row>
    <row r="795" hidden="1">
      <c r="A795" s="26" t="str">
        <f>VLOOKUP(B795,'2020 SRED (JIRA) - Issues and l'!$B:$C,2,FALSE)</f>
        <v>insite-event-SRED</v>
      </c>
      <c r="B795" s="27" t="str">
        <f>IFERROR(__xludf.DUMMYFUNCTION("""COMPUTED_VALUE"""),"ZAPI-81")</f>
        <v>ZAPI-81</v>
      </c>
      <c r="C795" s="26" t="str">
        <f>IFERROR(__xludf.DUMMYFUNCTION("""COMPUTED_VALUE"""),"Prevent meeting deletion on development/test portals")</f>
        <v>Prevent meeting deletion on development/test portals</v>
      </c>
      <c r="D795" s="28">
        <f>IFERROR(__xludf.DUMMYFUNCTION("""COMPUTED_VALUE"""),0.766666666666666)</f>
        <v>0.7666666667</v>
      </c>
      <c r="E795" s="29">
        <f>IFERROR(__xludf.DUMMYFUNCTION("""COMPUTED_VALUE"""),44082.0)</f>
        <v>44082</v>
      </c>
      <c r="F795" s="26" t="str">
        <f>IFERROR(__xludf.DUMMYFUNCTION("""COMPUTED_VALUE"""),"557058:3124a1f0-e92a-405c-93f2-c1d4e621bc77")</f>
        <v>557058:3124a1f0-e92a-405c-93f2-c1d4e621bc77</v>
      </c>
      <c r="G795" s="26" t="str">
        <f>IFERROR(__xludf.DUMMYFUNCTION("""COMPUTED_VALUE"""),"Trevor Coehoorn")</f>
        <v>Trevor Coehoorn</v>
      </c>
      <c r="H795" s="26" t="b">
        <v>0</v>
      </c>
    </row>
    <row r="796" hidden="1">
      <c r="A796" s="26" t="str">
        <f>VLOOKUP(B796,'2020 SRED (JIRA) - Issues and l'!$B:$C,2,FALSE)</f>
        <v>portal-builder</v>
      </c>
      <c r="B796" s="27" t="str">
        <f>IFERROR(__xludf.DUMMYFUNCTION("""COMPUTED_VALUE"""),"IV2-31")</f>
        <v>IV2-31</v>
      </c>
      <c r="C796" s="26" t="str">
        <f>IFERROR(__xludf.DUMMYFUNCTION("""COMPUTED_VALUE"""),"V2 Status Meetings")</f>
        <v>V2 Status Meetings</v>
      </c>
      <c r="D796" s="28">
        <f>IFERROR(__xludf.DUMMYFUNCTION("""COMPUTED_VALUE"""),0.516666666666666)</f>
        <v>0.5166666667</v>
      </c>
      <c r="E796" s="29">
        <f>IFERROR(__xludf.DUMMYFUNCTION("""COMPUTED_VALUE"""),44082.0)</f>
        <v>44082</v>
      </c>
      <c r="F796" s="26" t="str">
        <f>IFERROR(__xludf.DUMMYFUNCTION("""COMPUTED_VALUE"""),"557058:3124a1f0-e92a-405c-93f2-c1d4e621bc77")</f>
        <v>557058:3124a1f0-e92a-405c-93f2-c1d4e621bc77</v>
      </c>
      <c r="G796" s="26" t="str">
        <f>IFERROR(__xludf.DUMMYFUNCTION("""COMPUTED_VALUE"""),"Trevor Coehoorn")</f>
        <v>Trevor Coehoorn</v>
      </c>
      <c r="H796" s="26" t="b">
        <v>0</v>
      </c>
    </row>
    <row r="797" hidden="1">
      <c r="A797" s="26" t="str">
        <f>VLOOKUP(B797,'2020 SRED (JIRA) - Issues and l'!$B:$C,2,FALSE)</f>
        <v>portal-builder-SRED</v>
      </c>
      <c r="B797" s="27" t="str">
        <f>IFERROR(__xludf.DUMMYFUNCTION("""COMPUTED_VALUE"""),"ITP-1868")</f>
        <v>ITP-1868</v>
      </c>
      <c r="C797" s="26" t="str">
        <f>IFERROR(__xludf.DUMMYFUNCTION("""COMPUTED_VALUE"""),"Alternating line colours in annotated pdf reports")</f>
        <v>Alternating line colours in annotated pdf reports</v>
      </c>
      <c r="D797" s="28">
        <f>IFERROR(__xludf.DUMMYFUNCTION("""COMPUTED_VALUE"""),0.2)</f>
        <v>0.2</v>
      </c>
      <c r="E797" s="29">
        <f>IFERROR(__xludf.DUMMYFUNCTION("""COMPUTED_VALUE"""),44082.0)</f>
        <v>44082</v>
      </c>
      <c r="F797" s="26" t="str">
        <f>IFERROR(__xludf.DUMMYFUNCTION("""COMPUTED_VALUE"""),"557058:3124a1f0-e92a-405c-93f2-c1d4e621bc77")</f>
        <v>557058:3124a1f0-e92a-405c-93f2-c1d4e621bc77</v>
      </c>
      <c r="G797" s="26" t="str">
        <f>IFERROR(__xludf.DUMMYFUNCTION("""COMPUTED_VALUE"""),"Trevor Coehoorn")</f>
        <v>Trevor Coehoorn</v>
      </c>
      <c r="H797" s="26" t="b">
        <v>0</v>
      </c>
    </row>
    <row r="798" hidden="1">
      <c r="A798" s="26" t="str">
        <f>VLOOKUP(B798,'2020 SRED (JIRA) - Issues and l'!$B:$C,2,FALSE)</f>
        <v>insite-event-SRED</v>
      </c>
      <c r="B798" s="27" t="str">
        <f>IFERROR(__xludf.DUMMYFUNCTION("""COMPUTED_VALUE"""),"ZAPI-74")</f>
        <v>ZAPI-74</v>
      </c>
      <c r="C798" s="26" t="str">
        <f>IFERROR(__xludf.DUMMYFUNCTION("""COMPUTED_VALUE"""),"Allow users to register for web meetings on anonymous pages")</f>
        <v>Allow users to register for web meetings on anonymous pages</v>
      </c>
      <c r="D798" s="28">
        <f>IFERROR(__xludf.DUMMYFUNCTION("""COMPUTED_VALUE"""),0.116666666666666)</f>
        <v>0.1166666667</v>
      </c>
      <c r="E798" s="29">
        <f>IFERROR(__xludf.DUMMYFUNCTION("""COMPUTED_VALUE"""),44082.0)</f>
        <v>44082</v>
      </c>
      <c r="F798" s="26" t="str">
        <f>IFERROR(__xludf.DUMMYFUNCTION("""COMPUTED_VALUE"""),"557058:3124a1f0-e92a-405c-93f2-c1d4e621bc77")</f>
        <v>557058:3124a1f0-e92a-405c-93f2-c1d4e621bc77</v>
      </c>
      <c r="G798" s="26" t="str">
        <f>IFERROR(__xludf.DUMMYFUNCTION("""COMPUTED_VALUE"""),"Trevor Coehoorn")</f>
        <v>Trevor Coehoorn</v>
      </c>
      <c r="H798" s="26" t="b">
        <v>0</v>
      </c>
    </row>
    <row r="799" hidden="1">
      <c r="A799" s="26" t="str">
        <f>VLOOKUP(B799,'2020 SRED (JIRA) - Issues and l'!$B:$C,2,FALSE)</f>
        <v>insite-event-SRED</v>
      </c>
      <c r="B799" s="27" t="str">
        <f>IFERROR(__xludf.DUMMYFUNCTION("""COMPUTED_VALUE"""),"ZAPI-131")</f>
        <v>ZAPI-131</v>
      </c>
      <c r="C799" s="26" t="str">
        <f>IFERROR(__xludf.DUMMYFUNCTION("""COMPUTED_VALUE"""),"Verify that the v2 changes follow our coding standards")</f>
        <v>Verify that the v2 changes follow our coding standards</v>
      </c>
      <c r="D799" s="28">
        <f>IFERROR(__xludf.DUMMYFUNCTION("""COMPUTED_VALUE"""),0.216666666666666)</f>
        <v>0.2166666667</v>
      </c>
      <c r="E799" s="29">
        <f>IFERROR(__xludf.DUMMYFUNCTION("""COMPUTED_VALUE"""),44082.0)</f>
        <v>44082</v>
      </c>
      <c r="F799" s="26" t="str">
        <f>IFERROR(__xludf.DUMMYFUNCTION("""COMPUTED_VALUE"""),"557058:3124a1f0-e92a-405c-93f2-c1d4e621bc77")</f>
        <v>557058:3124a1f0-e92a-405c-93f2-c1d4e621bc77</v>
      </c>
      <c r="G799" s="26" t="str">
        <f>IFERROR(__xludf.DUMMYFUNCTION("""COMPUTED_VALUE"""),"Trevor Coehoorn")</f>
        <v>Trevor Coehoorn</v>
      </c>
      <c r="H799" s="26" t="b">
        <v>0</v>
      </c>
    </row>
    <row r="800" hidden="1">
      <c r="A800" s="26" t="str">
        <f>VLOOKUP(B800,'2020 SRED (JIRA) - Issues and l'!$B:$C,2,FALSE)</f>
        <v>insite-workflow-SRED</v>
      </c>
      <c r="B800" s="27" t="str">
        <f>IFERROR(__xludf.DUMMYFUNCTION("""COMPUTED_VALUE"""),"APPS-427")</f>
        <v>APPS-427</v>
      </c>
      <c r="C800" s="26" t="str">
        <f>IFERROR(__xludf.DUMMYFUNCTION("""COMPUTED_VALUE"""),"Provide user options to search multiple criteria. ")</f>
        <v>Provide user options to search multiple criteria. </v>
      </c>
      <c r="D800" s="28">
        <f>IFERROR(__xludf.DUMMYFUNCTION("""COMPUTED_VALUE"""),4.0)</f>
        <v>4</v>
      </c>
      <c r="E800" s="29">
        <f>IFERROR(__xludf.DUMMYFUNCTION("""COMPUTED_VALUE"""),44082.0)</f>
        <v>44082</v>
      </c>
      <c r="F800" s="26" t="str">
        <f>IFERROR(__xludf.DUMMYFUNCTION("""COMPUTED_VALUE"""),"5ee7b6ce868ce30ac49e2521")</f>
        <v>5ee7b6ce868ce30ac49e2521</v>
      </c>
      <c r="G800" s="26" t="str">
        <f>IFERROR(__xludf.DUMMYFUNCTION("""COMPUTED_VALUE"""),"Bryan Le")</f>
        <v>Bryan Le</v>
      </c>
      <c r="H800" s="26" t="b">
        <v>0</v>
      </c>
    </row>
    <row r="801" hidden="1">
      <c r="A801" s="26" t="str">
        <f>VLOOKUP(B801,'2020 SRED (JIRA) - Issues and l'!$B:$C,2,FALSE)</f>
        <v>insite-workflow-SRED</v>
      </c>
      <c r="B801" s="27" t="str">
        <f>IFERROR(__xludf.DUMMYFUNCTION("""COMPUTED_VALUE"""),"APPS-423")</f>
        <v>APPS-423</v>
      </c>
      <c r="C801" s="26" t="str">
        <f>IFERROR(__xludf.DUMMYFUNCTION("""COMPUTED_VALUE"""),"As a CST user, I can comment on a task and reply, and receive email notification for both.")</f>
        <v>As a CST user, I can comment on a task and reply, and receive email notification for both.</v>
      </c>
      <c r="D801" s="28">
        <f>IFERROR(__xludf.DUMMYFUNCTION("""COMPUTED_VALUE"""),2.0)</f>
        <v>2</v>
      </c>
      <c r="E801" s="29">
        <f>IFERROR(__xludf.DUMMYFUNCTION("""COMPUTED_VALUE"""),44082.0)</f>
        <v>44082</v>
      </c>
      <c r="F801" s="26" t="str">
        <f>IFERROR(__xludf.DUMMYFUNCTION("""COMPUTED_VALUE"""),"5ee7b6ce868ce30ac49e2521")</f>
        <v>5ee7b6ce868ce30ac49e2521</v>
      </c>
      <c r="G801" s="26" t="str">
        <f>IFERROR(__xludf.DUMMYFUNCTION("""COMPUTED_VALUE"""),"Bryan Le")</f>
        <v>Bryan Le</v>
      </c>
      <c r="H801" s="26" t="b">
        <v>0</v>
      </c>
    </row>
    <row r="802" hidden="1">
      <c r="A802" s="26" t="str">
        <f>VLOOKUP(B802,'2020 SRED (JIRA) - Issues and l'!$B:$C,2,FALSE)</f>
        <v>insite-workflow-SRED</v>
      </c>
      <c r="B802" s="27" t="str">
        <f>IFERROR(__xludf.DUMMYFUNCTION("""COMPUTED_VALUE"""),"APPS-424")</f>
        <v>APPS-424</v>
      </c>
      <c r="C802" s="26" t="str">
        <f>IFERROR(__xludf.DUMMYFUNCTION("""COMPUTED_VALUE"""),"Add predefined time as a quick selection option: 15, 30, 45, 60 minutes and a custom value")</f>
        <v>Add predefined time as a quick selection option: 15, 30, 45, 60 minutes and a custom value</v>
      </c>
      <c r="D802" s="28">
        <f>IFERROR(__xludf.DUMMYFUNCTION("""COMPUTED_VALUE"""),2.0)</f>
        <v>2</v>
      </c>
      <c r="E802" s="29">
        <f>IFERROR(__xludf.DUMMYFUNCTION("""COMPUTED_VALUE"""),44082.0)</f>
        <v>44082</v>
      </c>
      <c r="F802" s="26" t="str">
        <f>IFERROR(__xludf.DUMMYFUNCTION("""COMPUTED_VALUE"""),"5ee7b6ce868ce30ac49e2521")</f>
        <v>5ee7b6ce868ce30ac49e2521</v>
      </c>
      <c r="G802" s="26" t="str">
        <f>IFERROR(__xludf.DUMMYFUNCTION("""COMPUTED_VALUE"""),"Bryan Le")</f>
        <v>Bryan Le</v>
      </c>
      <c r="H802" s="26" t="b">
        <v>0</v>
      </c>
    </row>
    <row r="803" hidden="1">
      <c r="A803" s="26" t="str">
        <f>VLOOKUP(B803,'2020 SRED (JIRA) - Issues and l'!$B:$C,2,FALSE)</f>
        <v>insite-workflow-SRED</v>
      </c>
      <c r="B803" s="27" t="str">
        <f>IFERROR(__xludf.DUMMYFUNCTION("""COMPUTED_VALUE"""),"APPS-398")</f>
        <v>APPS-398</v>
      </c>
      <c r="C803" s="26" t="str">
        <f>IFERROR(__xludf.DUMMYFUNCTION("""COMPUTED_VALUE"""),"Make initial value of LinkedIn profile field search of their first name, last name, and org (similar to lead gen app) and add action to deck view to search for them")</f>
        <v>Make initial value of LinkedIn profile field search of their first name, last name, and org (similar to lead gen app) and add action to deck view to search for them</v>
      </c>
      <c r="D803" s="28">
        <f>IFERROR(__xludf.DUMMYFUNCTION("""COMPUTED_VALUE"""),8.0)</f>
        <v>8</v>
      </c>
      <c r="E803" s="29">
        <f>IFERROR(__xludf.DUMMYFUNCTION("""COMPUTED_VALUE"""),44082.0)</f>
        <v>44082</v>
      </c>
      <c r="F803" s="26" t="str">
        <f>IFERROR(__xludf.DUMMYFUNCTION("""COMPUTED_VALUE"""),"5ee7b6cf02b4400ac4b65399")</f>
        <v>5ee7b6cf02b4400ac4b65399</v>
      </c>
      <c r="G803" s="26" t="str">
        <f>IFERROR(__xludf.DUMMYFUNCTION("""COMPUTED_VALUE"""),"Jessica Obando")</f>
        <v>Jessica Obando</v>
      </c>
      <c r="H803" s="26" t="b">
        <v>0</v>
      </c>
    </row>
    <row r="804" hidden="1">
      <c r="A804" s="26" t="str">
        <f>VLOOKUP(B804,'2020 SRED (JIRA) - Issues and l'!$B:$C,2,FALSE)</f>
        <v>insite-event-SRED</v>
      </c>
      <c r="B804" s="27" t="str">
        <f>IFERROR(__xludf.DUMMYFUNCTION("""COMPUTED_VALUE"""),"ZAPI-125")</f>
        <v>ZAPI-125</v>
      </c>
      <c r="C804" s="26" t="str">
        <f>IFERROR(__xludf.DUMMYFUNCTION("""COMPUTED_VALUE"""),"Refresh the recording list when the user access checkboxes are modified")</f>
        <v>Refresh the recording list when the user access checkboxes are modified</v>
      </c>
      <c r="D804" s="28">
        <f>IFERROR(__xludf.DUMMYFUNCTION("""COMPUTED_VALUE"""),4.0)</f>
        <v>4</v>
      </c>
      <c r="E804" s="29">
        <f>IFERROR(__xludf.DUMMYFUNCTION("""COMPUTED_VALUE"""),44082.33333333333)</f>
        <v>44082.33333</v>
      </c>
      <c r="F804" s="26" t="str">
        <f>IFERROR(__xludf.DUMMYFUNCTION("""COMPUTED_VALUE"""),"5e95be7f18b8ed0c0f5adb36")</f>
        <v>5e95be7f18b8ed0c0f5adb36</v>
      </c>
      <c r="G804" s="26" t="str">
        <f>IFERROR(__xludf.DUMMYFUNCTION("""COMPUTED_VALUE"""),"Frantisek Trusa")</f>
        <v>Frantisek Trusa</v>
      </c>
      <c r="H804" s="26" t="b">
        <v>0</v>
      </c>
    </row>
    <row r="805" hidden="1">
      <c r="A805" s="26" t="str">
        <f>VLOOKUP(B805,'2020 SRED (JIRA) - Issues and l'!$B:$C,2,FALSE)</f>
        <v>insite-event-SRED</v>
      </c>
      <c r="B805" s="27" t="str">
        <f>IFERROR(__xludf.DUMMYFUNCTION("""COMPUTED_VALUE"""),"ZAPI-124")</f>
        <v>ZAPI-124</v>
      </c>
      <c r="C805" s="26" t="str">
        <f>IFERROR(__xludf.DUMMYFUNCTION("""COMPUTED_VALUE"""),"Refresh the videos table when a video is saved")</f>
        <v>Refresh the videos table when a video is saved</v>
      </c>
      <c r="D805" s="28">
        <f>IFERROR(__xludf.DUMMYFUNCTION("""COMPUTED_VALUE"""),4.0)</f>
        <v>4</v>
      </c>
      <c r="E805" s="29">
        <f>IFERROR(__xludf.DUMMYFUNCTION("""COMPUTED_VALUE"""),44082.54166666667)</f>
        <v>44082.54167</v>
      </c>
      <c r="F805" s="26" t="str">
        <f>IFERROR(__xludf.DUMMYFUNCTION("""COMPUTED_VALUE"""),"5e95be7f18b8ed0c0f5adb36")</f>
        <v>5e95be7f18b8ed0c0f5adb36</v>
      </c>
      <c r="G805" s="26" t="str">
        <f>IFERROR(__xludf.DUMMYFUNCTION("""COMPUTED_VALUE"""),"Frantisek Trusa")</f>
        <v>Frantisek Trusa</v>
      </c>
      <c r="H805" s="26" t="b">
        <v>0</v>
      </c>
    </row>
    <row r="806" hidden="1">
      <c r="A806" s="26" t="str">
        <f>VLOOKUP(B806,'2020 SRED (JIRA) - Issues and l'!$B:$C,2,FALSE)</f>
        <v>insite-event-SRED</v>
      </c>
      <c r="B806" s="27" t="str">
        <f>IFERROR(__xludf.DUMMYFUNCTION("""COMPUTED_VALUE"""),"ZAPI-131")</f>
        <v>ZAPI-131</v>
      </c>
      <c r="C806" s="26" t="str">
        <f>IFERROR(__xludf.DUMMYFUNCTION("""COMPUTED_VALUE"""),"Verify that the v2 changes follow our coding standards")</f>
        <v>Verify that the v2 changes follow our coding standards</v>
      </c>
      <c r="D806" s="28">
        <f>IFERROR(__xludf.DUMMYFUNCTION("""COMPUTED_VALUE"""),0.183333333333333)</f>
        <v>0.1833333333</v>
      </c>
      <c r="E806" s="29">
        <f>IFERROR(__xludf.DUMMYFUNCTION("""COMPUTED_VALUE"""),44083.0)</f>
        <v>44083</v>
      </c>
      <c r="F806" s="26" t="str">
        <f>IFERROR(__xludf.DUMMYFUNCTION("""COMPUTED_VALUE"""),"557058:3124a1f0-e92a-405c-93f2-c1d4e621bc77")</f>
        <v>557058:3124a1f0-e92a-405c-93f2-c1d4e621bc77</v>
      </c>
      <c r="G806" s="26" t="str">
        <f>IFERROR(__xludf.DUMMYFUNCTION("""COMPUTED_VALUE"""),"Trevor Coehoorn")</f>
        <v>Trevor Coehoorn</v>
      </c>
      <c r="H806" s="26" t="b">
        <v>0</v>
      </c>
    </row>
    <row r="807" hidden="1">
      <c r="A807" s="26" t="str">
        <f>VLOOKUP(B807,'2020 SRED (JIRA) - Issues and l'!$B:$C,2,FALSE)</f>
        <v>insite-event-SRED</v>
      </c>
      <c r="B807" s="27" t="str">
        <f>IFERROR(__xludf.DUMMYFUNCTION("""COMPUTED_VALUE"""),"ZAPI-105")</f>
        <v>ZAPI-105</v>
      </c>
      <c r="C807" s="26" t="str">
        <f>IFERROR(__xludf.DUMMYFUNCTION("""COMPUTED_VALUE"""),"List copied video files (in streaming format) to another list within the recording management fieldset")</f>
        <v>List copied video files (in streaming format) to another list within the recording management fieldset</v>
      </c>
      <c r="D807" s="28">
        <f>IFERROR(__xludf.DUMMYFUNCTION("""COMPUTED_VALUE"""),0.566666666666666)</f>
        <v>0.5666666667</v>
      </c>
      <c r="E807" s="29">
        <f>IFERROR(__xludf.DUMMYFUNCTION("""COMPUTED_VALUE"""),44083.0)</f>
        <v>44083</v>
      </c>
      <c r="F807" s="26" t="str">
        <f>IFERROR(__xludf.DUMMYFUNCTION("""COMPUTED_VALUE"""),"557058:3124a1f0-e92a-405c-93f2-c1d4e621bc77")</f>
        <v>557058:3124a1f0-e92a-405c-93f2-c1d4e621bc77</v>
      </c>
      <c r="G807" s="26" t="str">
        <f>IFERROR(__xludf.DUMMYFUNCTION("""COMPUTED_VALUE"""),"Trevor Coehoorn")</f>
        <v>Trevor Coehoorn</v>
      </c>
      <c r="H807" s="26" t="b">
        <v>0</v>
      </c>
    </row>
    <row r="808" hidden="1">
      <c r="A808" s="26" t="str">
        <f>VLOOKUP(B808,'2020 SRED (JIRA) - Issues and l'!$B:$C,2,FALSE)</f>
        <v>insite-event-SRED</v>
      </c>
      <c r="B808" s="27" t="str">
        <f>IFERROR(__xludf.DUMMYFUNCTION("""COMPUTED_VALUE"""),"ZAPI-115")</f>
        <v>ZAPI-115</v>
      </c>
      <c r="C808" s="26" t="str">
        <f>IFERROR(__xludf.DUMMYFUNCTION("""COMPUTED_VALUE"""),"Organize registration form on panel widget editor")</f>
        <v>Organize registration form on panel widget editor</v>
      </c>
      <c r="D808" s="28">
        <f>IFERROR(__xludf.DUMMYFUNCTION("""COMPUTED_VALUE"""),0.333333333333333)</f>
        <v>0.3333333333</v>
      </c>
      <c r="E808" s="29">
        <f>IFERROR(__xludf.DUMMYFUNCTION("""COMPUTED_VALUE"""),44083.0)</f>
        <v>44083</v>
      </c>
      <c r="F808" s="26" t="str">
        <f>IFERROR(__xludf.DUMMYFUNCTION("""COMPUTED_VALUE"""),"557058:3124a1f0-e92a-405c-93f2-c1d4e621bc77")</f>
        <v>557058:3124a1f0-e92a-405c-93f2-c1d4e621bc77</v>
      </c>
      <c r="G808" s="26" t="str">
        <f>IFERROR(__xludf.DUMMYFUNCTION("""COMPUTED_VALUE"""),"Trevor Coehoorn")</f>
        <v>Trevor Coehoorn</v>
      </c>
      <c r="H808" s="26" t="b">
        <v>0</v>
      </c>
    </row>
    <row r="809" hidden="1">
      <c r="A809" s="26" t="str">
        <f>VLOOKUP(B809,'2020 SRED (JIRA) - Issues and l'!$B:$C,2,FALSE)</f>
        <v>insite-event-SRED</v>
      </c>
      <c r="B809" s="27" t="str">
        <f>IFERROR(__xludf.DUMMYFUNCTION("""COMPUTED_VALUE"""),"ZAPI-112")</f>
        <v>ZAPI-112</v>
      </c>
      <c r="C809" s="26" t="str">
        <f>IFERROR(__xludf.DUMMYFUNCTION("""COMPUTED_VALUE"""),"Updates to form descriptions on event registration page")</f>
        <v>Updates to form descriptions on event registration page</v>
      </c>
      <c r="D809" s="28">
        <f>IFERROR(__xludf.DUMMYFUNCTION("""COMPUTED_VALUE"""),0.416666666666666)</f>
        <v>0.4166666667</v>
      </c>
      <c r="E809" s="29">
        <f>IFERROR(__xludf.DUMMYFUNCTION("""COMPUTED_VALUE"""),44083.0)</f>
        <v>44083</v>
      </c>
      <c r="F809" s="26" t="str">
        <f>IFERROR(__xludf.DUMMYFUNCTION("""COMPUTED_VALUE"""),"557058:3124a1f0-e92a-405c-93f2-c1d4e621bc77")</f>
        <v>557058:3124a1f0-e92a-405c-93f2-c1d4e621bc77</v>
      </c>
      <c r="G809" s="26" t="str">
        <f>IFERROR(__xludf.DUMMYFUNCTION("""COMPUTED_VALUE"""),"Trevor Coehoorn")</f>
        <v>Trevor Coehoorn</v>
      </c>
      <c r="H809" s="26" t="b">
        <v>0</v>
      </c>
    </row>
    <row r="810" hidden="1">
      <c r="A810" s="26" t="str">
        <f>VLOOKUP(B810,'2020 SRED (JIRA) - Issues and l'!$B:$C,2,FALSE)</f>
        <v>insite-event-SRED</v>
      </c>
      <c r="B810" s="27" t="str">
        <f>IFERROR(__xludf.DUMMYFUNCTION("""COMPUTED_VALUE"""),"ZAPI-114")</f>
        <v>ZAPI-114</v>
      </c>
      <c r="C810" s="26" t="str">
        <f>IFERROR(__xludf.DUMMYFUNCTION("""COMPUTED_VALUE"""),"Show form to admins on registration page after saving pane")</f>
        <v>Show form to admins on registration page after saving pane</v>
      </c>
      <c r="D810" s="28">
        <f>IFERROR(__xludf.DUMMYFUNCTION("""COMPUTED_VALUE"""),0.15)</f>
        <v>0.15</v>
      </c>
      <c r="E810" s="29">
        <f>IFERROR(__xludf.DUMMYFUNCTION("""COMPUTED_VALUE"""),44083.0)</f>
        <v>44083</v>
      </c>
      <c r="F810" s="26" t="str">
        <f>IFERROR(__xludf.DUMMYFUNCTION("""COMPUTED_VALUE"""),"557058:3124a1f0-e92a-405c-93f2-c1d4e621bc77")</f>
        <v>557058:3124a1f0-e92a-405c-93f2-c1d4e621bc77</v>
      </c>
      <c r="G810" s="26" t="str">
        <f>IFERROR(__xludf.DUMMYFUNCTION("""COMPUTED_VALUE"""),"Trevor Coehoorn")</f>
        <v>Trevor Coehoorn</v>
      </c>
      <c r="H810" s="26" t="b">
        <v>0</v>
      </c>
    </row>
    <row r="811" hidden="1">
      <c r="A811" s="26" t="str">
        <f>VLOOKUP(B811,'2020 SRED (JIRA) - Issues and l'!$B:$C,2,FALSE)</f>
        <v>insite-event-SRED</v>
      </c>
      <c r="B811" s="27" t="str">
        <f>IFERROR(__xludf.DUMMYFUNCTION("""COMPUTED_VALUE"""),"ZAPI-134")</f>
        <v>ZAPI-134</v>
      </c>
      <c r="C811" s="26" t="str">
        <f>IFERROR(__xludf.DUMMYFUNCTION("""COMPUTED_VALUE"""),"Correct web meeting registration form redirect")</f>
        <v>Correct web meeting registration form redirect</v>
      </c>
      <c r="D811" s="28">
        <f>IFERROR(__xludf.DUMMYFUNCTION("""COMPUTED_VALUE"""),0.183333333333333)</f>
        <v>0.1833333333</v>
      </c>
      <c r="E811" s="29">
        <f>IFERROR(__xludf.DUMMYFUNCTION("""COMPUTED_VALUE"""),44083.0)</f>
        <v>44083</v>
      </c>
      <c r="F811" s="26" t="str">
        <f>IFERROR(__xludf.DUMMYFUNCTION("""COMPUTED_VALUE"""),"557058:3124a1f0-e92a-405c-93f2-c1d4e621bc77")</f>
        <v>557058:3124a1f0-e92a-405c-93f2-c1d4e621bc77</v>
      </c>
      <c r="G811" s="26" t="str">
        <f>IFERROR(__xludf.DUMMYFUNCTION("""COMPUTED_VALUE"""),"Trevor Coehoorn")</f>
        <v>Trevor Coehoorn</v>
      </c>
      <c r="H811" s="26" t="b">
        <v>0</v>
      </c>
    </row>
    <row r="812" hidden="1">
      <c r="A812" s="26" t="str">
        <f>VLOOKUP(B812,'2020 SRED (JIRA) - Issues and l'!$B:$C,2,FALSE)</f>
        <v>insite-event-SRED</v>
      </c>
      <c r="B812" s="27" t="str">
        <f>IFERROR(__xludf.DUMMYFUNCTION("""COMPUTED_VALUE"""),"ZAPI-9")</f>
        <v>ZAPI-9</v>
      </c>
      <c r="C812" s="26" t="str">
        <f>IFERROR(__xludf.DUMMYFUNCTION("""COMPUTED_VALUE"""),"As an attendee, I can register for a meeting/webinar via our new Events portal")</f>
        <v>As an attendee, I can register for a meeting/webinar via our new Events portal</v>
      </c>
      <c r="D812" s="28">
        <f>IFERROR(__xludf.DUMMYFUNCTION("""COMPUTED_VALUE"""),2.2)</f>
        <v>2.2</v>
      </c>
      <c r="E812" s="29">
        <f>IFERROR(__xludf.DUMMYFUNCTION("""COMPUTED_VALUE"""),44083.0)</f>
        <v>44083</v>
      </c>
      <c r="F812" s="26" t="str">
        <f>IFERROR(__xludf.DUMMYFUNCTION("""COMPUTED_VALUE"""),"557058:3124a1f0-e92a-405c-93f2-c1d4e621bc77")</f>
        <v>557058:3124a1f0-e92a-405c-93f2-c1d4e621bc77</v>
      </c>
      <c r="G812" s="26" t="str">
        <f>IFERROR(__xludf.DUMMYFUNCTION("""COMPUTED_VALUE"""),"Trevor Coehoorn")</f>
        <v>Trevor Coehoorn</v>
      </c>
      <c r="H812" s="26" t="b">
        <v>0</v>
      </c>
    </row>
    <row r="813" hidden="1">
      <c r="A813" s="26" t="str">
        <f>VLOOKUP(B813,'2020 SRED (JIRA) - Issues and l'!$B:$C,2,FALSE)</f>
        <v>insite-event-SRED</v>
      </c>
      <c r="B813" s="27" t="str">
        <f>IFERROR(__xludf.DUMMYFUNCTION("""COMPUTED_VALUE"""),"ZAPI-133")</f>
        <v>ZAPI-133</v>
      </c>
      <c r="C813" s="26" t="str">
        <f>IFERROR(__xludf.DUMMYFUNCTION("""COMPUTED_VALUE"""),"Correct the formatting of the web meeting registration email")</f>
        <v>Correct the formatting of the web meeting registration email</v>
      </c>
      <c r="D813" s="28">
        <f>IFERROR(__xludf.DUMMYFUNCTION("""COMPUTED_VALUE"""),0.266666666666666)</f>
        <v>0.2666666667</v>
      </c>
      <c r="E813" s="29">
        <f>IFERROR(__xludf.DUMMYFUNCTION("""COMPUTED_VALUE"""),44083.0)</f>
        <v>44083</v>
      </c>
      <c r="F813" s="26" t="str">
        <f>IFERROR(__xludf.DUMMYFUNCTION("""COMPUTED_VALUE"""),"557058:3124a1f0-e92a-405c-93f2-c1d4e621bc77")</f>
        <v>557058:3124a1f0-e92a-405c-93f2-c1d4e621bc77</v>
      </c>
      <c r="G813" s="26" t="str">
        <f>IFERROR(__xludf.DUMMYFUNCTION("""COMPUTED_VALUE"""),"Trevor Coehoorn")</f>
        <v>Trevor Coehoorn</v>
      </c>
      <c r="H813" s="26" t="b">
        <v>0</v>
      </c>
    </row>
    <row r="814" hidden="1">
      <c r="A814" s="26" t="str">
        <f>VLOOKUP(B814,'2020 SRED (JIRA) - Issues and l'!$B:$C,2,FALSE)</f>
        <v>insite-event-SRED</v>
      </c>
      <c r="B814" s="27" t="str">
        <f>IFERROR(__xludf.DUMMYFUNCTION("""COMPUTED_VALUE"""),"ZAPI-132")</f>
        <v>ZAPI-132</v>
      </c>
      <c r="C814" s="26" t="str">
        <f>IFERROR(__xludf.DUMMYFUNCTION("""COMPUTED_VALUE"""),"Update the web meeting registration pane title and description")</f>
        <v>Update the web meeting registration pane title and description</v>
      </c>
      <c r="D814" s="28">
        <f>IFERROR(__xludf.DUMMYFUNCTION("""COMPUTED_VALUE"""),0.166666666666666)</f>
        <v>0.1666666667</v>
      </c>
      <c r="E814" s="29">
        <f>IFERROR(__xludf.DUMMYFUNCTION("""COMPUTED_VALUE"""),44083.0)</f>
        <v>44083</v>
      </c>
      <c r="F814" s="26" t="str">
        <f>IFERROR(__xludf.DUMMYFUNCTION("""COMPUTED_VALUE"""),"557058:3124a1f0-e92a-405c-93f2-c1d4e621bc77")</f>
        <v>557058:3124a1f0-e92a-405c-93f2-c1d4e621bc77</v>
      </c>
      <c r="G814" s="26" t="str">
        <f>IFERROR(__xludf.DUMMYFUNCTION("""COMPUTED_VALUE"""),"Trevor Coehoorn")</f>
        <v>Trevor Coehoorn</v>
      </c>
      <c r="H814" s="26" t="b">
        <v>0</v>
      </c>
    </row>
    <row r="815" hidden="1">
      <c r="A815" s="26" t="str">
        <f>VLOOKUP(B815,'2020 SRED (JIRA) - Issues and l'!$B:$C,2,FALSE)</f>
        <v>portal-builder-SRED</v>
      </c>
      <c r="B815" s="27" t="str">
        <f>IFERROR(__xludf.DUMMYFUNCTION("""COMPUTED_VALUE"""),"ITP-1871")</f>
        <v>ITP-1871</v>
      </c>
      <c r="C815" s="26" t="str">
        <f>IFERROR(__xludf.DUMMYFUNCTION("""COMPUTED_VALUE"""),"Add touchpoint completion indicator to the top of each touchpoint page")</f>
        <v>Add touchpoint completion indicator to the top of each touchpoint page</v>
      </c>
      <c r="D815" s="28">
        <f>IFERROR(__xludf.DUMMYFUNCTION("""COMPUTED_VALUE"""),0.45)</f>
        <v>0.45</v>
      </c>
      <c r="E815" s="29">
        <f>IFERROR(__xludf.DUMMYFUNCTION("""COMPUTED_VALUE"""),44083.0)</f>
        <v>44083</v>
      </c>
      <c r="F815" s="26" t="str">
        <f>IFERROR(__xludf.DUMMYFUNCTION("""COMPUTED_VALUE"""),"557058:3124a1f0-e92a-405c-93f2-c1d4e621bc77")</f>
        <v>557058:3124a1f0-e92a-405c-93f2-c1d4e621bc77</v>
      </c>
      <c r="G815" s="26" t="str">
        <f>IFERROR(__xludf.DUMMYFUNCTION("""COMPUTED_VALUE"""),"Trevor Coehoorn")</f>
        <v>Trevor Coehoorn</v>
      </c>
      <c r="H815" s="26" t="b">
        <v>0</v>
      </c>
    </row>
    <row r="816" hidden="1">
      <c r="A816" s="26" t="str">
        <f>VLOOKUP(B816,'2020 SRED (JIRA) - Issues and l'!$B:$C,2,FALSE)</f>
        <v>insite-workflow-SRED</v>
      </c>
      <c r="B816" s="27" t="str">
        <f>IFERROR(__xludf.DUMMYFUNCTION("""COMPUTED_VALUE"""),"APPS-132")</f>
        <v>APPS-132</v>
      </c>
      <c r="C816" s="26" t="str">
        <f>IFERROR(__xludf.DUMMYFUNCTION("""COMPUTED_VALUE"""),"[Old] As a project manager, I can set up a new project based on a final proposal")</f>
        <v>[Old] As a project manager, I can set up a new project based on a final proposal</v>
      </c>
      <c r="D816" s="28">
        <f>IFERROR(__xludf.DUMMYFUNCTION("""COMPUTED_VALUE"""),1.0)</f>
        <v>1</v>
      </c>
      <c r="E816" s="29">
        <f>IFERROR(__xludf.DUMMYFUNCTION("""COMPUTED_VALUE"""),44083.0)</f>
        <v>44083</v>
      </c>
      <c r="F816" s="26" t="str">
        <f>IFERROR(__xludf.DUMMYFUNCTION("""COMPUTED_VALUE"""),"5ee7b6ce868ce30ac49e2521")</f>
        <v>5ee7b6ce868ce30ac49e2521</v>
      </c>
      <c r="G816" s="26" t="str">
        <f>IFERROR(__xludf.DUMMYFUNCTION("""COMPUTED_VALUE"""),"Bryan Le")</f>
        <v>Bryan Le</v>
      </c>
      <c r="H816" s="26" t="b">
        <v>0</v>
      </c>
    </row>
    <row r="817" hidden="1">
      <c r="A817" s="26" t="str">
        <f>VLOOKUP(B817,'2020 SRED (JIRA) - Issues and l'!$B:$C,2,FALSE)</f>
        <v>insite-workflow-SRED</v>
      </c>
      <c r="B817" s="27" t="str">
        <f>IFERROR(__xludf.DUMMYFUNCTION("""COMPUTED_VALUE"""),"APPS-132")</f>
        <v>APPS-132</v>
      </c>
      <c r="C817" s="26" t="str">
        <f>IFERROR(__xludf.DUMMYFUNCTION("""COMPUTED_VALUE"""),"[Old] As a project manager, I can set up a new project based on a final proposal")</f>
        <v>[Old] As a project manager, I can set up a new project based on a final proposal</v>
      </c>
      <c r="D817" s="28">
        <f>IFERROR(__xludf.DUMMYFUNCTION("""COMPUTED_VALUE"""),1.0)</f>
        <v>1</v>
      </c>
      <c r="E817" s="29">
        <f>IFERROR(__xludf.DUMMYFUNCTION("""COMPUTED_VALUE"""),44083.0)</f>
        <v>44083</v>
      </c>
      <c r="F817" s="26" t="str">
        <f>IFERROR(__xludf.DUMMYFUNCTION("""COMPUTED_VALUE"""),"5ee7b6ce868ce30ac49e2521")</f>
        <v>5ee7b6ce868ce30ac49e2521</v>
      </c>
      <c r="G817" s="26" t="str">
        <f>IFERROR(__xludf.DUMMYFUNCTION("""COMPUTED_VALUE"""),"Bryan Le")</f>
        <v>Bryan Le</v>
      </c>
      <c r="H817" s="26" t="b">
        <v>0</v>
      </c>
    </row>
    <row r="818" hidden="1">
      <c r="A818" s="26" t="str">
        <f>VLOOKUP(B818,'2020 SRED (JIRA) - Issues and l'!$B:$C,2,FALSE)</f>
        <v>insite-workflow-SRED</v>
      </c>
      <c r="B818" s="27" t="str">
        <f>IFERROR(__xludf.DUMMYFUNCTION("""COMPUTED_VALUE"""),"APPS-427")</f>
        <v>APPS-427</v>
      </c>
      <c r="C818" s="26" t="str">
        <f>IFERROR(__xludf.DUMMYFUNCTION("""COMPUTED_VALUE"""),"Provide user options to search multiple criteria. ")</f>
        <v>Provide user options to search multiple criteria. </v>
      </c>
      <c r="D818" s="28">
        <f>IFERROR(__xludf.DUMMYFUNCTION("""COMPUTED_VALUE"""),5.0)</f>
        <v>5</v>
      </c>
      <c r="E818" s="29">
        <f>IFERROR(__xludf.DUMMYFUNCTION("""COMPUTED_VALUE"""),44083.0)</f>
        <v>44083</v>
      </c>
      <c r="F818" s="26" t="str">
        <f>IFERROR(__xludf.DUMMYFUNCTION("""COMPUTED_VALUE"""),"5ee7b6ce868ce30ac49e2521")</f>
        <v>5ee7b6ce868ce30ac49e2521</v>
      </c>
      <c r="G818" s="26" t="str">
        <f>IFERROR(__xludf.DUMMYFUNCTION("""COMPUTED_VALUE"""),"Bryan Le")</f>
        <v>Bryan Le</v>
      </c>
      <c r="H818" s="26" t="b">
        <v>0</v>
      </c>
    </row>
    <row r="819" hidden="1">
      <c r="A819" s="26" t="str">
        <f>VLOOKUP(B819,'2020 SRED (JIRA) - Issues and l'!$B:$C,2,FALSE)</f>
        <v>insite-workflow-SRED</v>
      </c>
      <c r="B819" s="27" t="str">
        <f>IFERROR(__xludf.DUMMYFUNCTION("""COMPUTED_VALUE"""),"APPS-398")</f>
        <v>APPS-398</v>
      </c>
      <c r="C819" s="26" t="str">
        <f>IFERROR(__xludf.DUMMYFUNCTION("""COMPUTED_VALUE"""),"Make initial value of LinkedIn profile field search of their first name, last name, and org (similar to lead gen app) and add action to deck view to search for them")</f>
        <v>Make initial value of LinkedIn profile field search of their first name, last name, and org (similar to lead gen app) and add action to deck view to search for them</v>
      </c>
      <c r="D819" s="28">
        <f>IFERROR(__xludf.DUMMYFUNCTION("""COMPUTED_VALUE"""),7.0)</f>
        <v>7</v>
      </c>
      <c r="E819" s="29">
        <f>IFERROR(__xludf.DUMMYFUNCTION("""COMPUTED_VALUE"""),44083.0)</f>
        <v>44083</v>
      </c>
      <c r="F819" s="26" t="str">
        <f>IFERROR(__xludf.DUMMYFUNCTION("""COMPUTED_VALUE"""),"5ee7b6cf02b4400ac4b65399")</f>
        <v>5ee7b6cf02b4400ac4b65399</v>
      </c>
      <c r="G819" s="26" t="str">
        <f>IFERROR(__xludf.DUMMYFUNCTION("""COMPUTED_VALUE"""),"Jessica Obando")</f>
        <v>Jessica Obando</v>
      </c>
      <c r="H819" s="26" t="b">
        <v>0</v>
      </c>
    </row>
    <row r="820" hidden="1">
      <c r="A820" s="26" t="str">
        <f>VLOOKUP(B820,'2020 SRED (JIRA) - Issues and l'!$B:$C,2,FALSE)</f>
        <v>insite-event-SRED</v>
      </c>
      <c r="B820" s="27" t="str">
        <f>IFERROR(__xludf.DUMMYFUNCTION("""COMPUTED_VALUE"""),"ZAPI-65")</f>
        <v>ZAPI-65</v>
      </c>
      <c r="C820" s="26" t="str">
        <f>IFERROR(__xludf.DUMMYFUNCTION("""COMPUTED_VALUE"""),"Prevent users from trying to add more than 25 polls")</f>
        <v>Prevent users from trying to add more than 25 polls</v>
      </c>
      <c r="D820" s="28">
        <f>IFERROR(__xludf.DUMMYFUNCTION("""COMPUTED_VALUE"""),2.0)</f>
        <v>2</v>
      </c>
      <c r="E820" s="29">
        <f>IFERROR(__xludf.DUMMYFUNCTION("""COMPUTED_VALUE"""),44083.33333333333)</f>
        <v>44083.33333</v>
      </c>
      <c r="F820" s="26" t="str">
        <f>IFERROR(__xludf.DUMMYFUNCTION("""COMPUTED_VALUE"""),"5e95be7f18b8ed0c0f5adb36")</f>
        <v>5e95be7f18b8ed0c0f5adb36</v>
      </c>
      <c r="G820" s="26" t="str">
        <f>IFERROR(__xludf.DUMMYFUNCTION("""COMPUTED_VALUE"""),"Frantisek Trusa")</f>
        <v>Frantisek Trusa</v>
      </c>
      <c r="H820" s="26" t="b">
        <v>0</v>
      </c>
    </row>
    <row r="821" hidden="1">
      <c r="A821" s="26" t="str">
        <f>VLOOKUP(B821,'2020 SRED (JIRA) - Issues and l'!$B:$C,2,FALSE)</f>
        <v>insite-event-SRED</v>
      </c>
      <c r="B821" s="27" t="str">
        <f>IFERROR(__xludf.DUMMYFUNCTION("""COMPUTED_VALUE"""),"ZAPI-128")</f>
        <v>ZAPI-128</v>
      </c>
      <c r="C821" s="26" t="str">
        <f>IFERROR(__xludf.DUMMYFUNCTION("""COMPUTED_VALUE"""),"As an Impetus staff member, I can view all meetings scheduled via our portal Zoom API on the ‘Impetus Events’ Google Calendar")</f>
        <v>As an Impetus staff member, I can view all meetings scheduled via our portal Zoom API on the ‘Impetus Events’ Google Calendar</v>
      </c>
      <c r="D821" s="28">
        <f>IFERROR(__xludf.DUMMYFUNCTION("""COMPUTED_VALUE"""),2.0)</f>
        <v>2</v>
      </c>
      <c r="E821" s="29">
        <f>IFERROR(__xludf.DUMMYFUNCTION("""COMPUTED_VALUE"""),44083.41666666667)</f>
        <v>44083.41667</v>
      </c>
      <c r="F821" s="26" t="str">
        <f>IFERROR(__xludf.DUMMYFUNCTION("""COMPUTED_VALUE"""),"5e95be7f18b8ed0c0f5adb36")</f>
        <v>5e95be7f18b8ed0c0f5adb36</v>
      </c>
      <c r="G821" s="26" t="str">
        <f>IFERROR(__xludf.DUMMYFUNCTION("""COMPUTED_VALUE"""),"Frantisek Trusa")</f>
        <v>Frantisek Trusa</v>
      </c>
      <c r="H821" s="26" t="b">
        <v>0</v>
      </c>
    </row>
    <row r="822" hidden="1">
      <c r="A822" s="26" t="str">
        <f>VLOOKUP(B822,'2020 SRED (JIRA) - Issues and l'!$B:$C,2,FALSE)</f>
        <v>insite-event-SRED</v>
      </c>
      <c r="B822" s="27" t="str">
        <f>IFERROR(__xludf.DUMMYFUNCTION("""COMPUTED_VALUE"""),"ZAPI-128")</f>
        <v>ZAPI-128</v>
      </c>
      <c r="C822" s="26" t="str">
        <f>IFERROR(__xludf.DUMMYFUNCTION("""COMPUTED_VALUE"""),"As an Impetus staff member, I can view all meetings scheduled via our portal Zoom API on the ‘Impetus Events’ Google Calendar")</f>
        <v>As an Impetus staff member, I can view all meetings scheduled via our portal Zoom API on the ‘Impetus Events’ Google Calendar</v>
      </c>
      <c r="D822" s="28">
        <f>IFERROR(__xludf.DUMMYFUNCTION("""COMPUTED_VALUE"""),4.0)</f>
        <v>4</v>
      </c>
      <c r="E822" s="29">
        <f>IFERROR(__xludf.DUMMYFUNCTION("""COMPUTED_VALUE"""),44083.54166666667)</f>
        <v>44083.54167</v>
      </c>
      <c r="F822" s="26" t="str">
        <f>IFERROR(__xludf.DUMMYFUNCTION("""COMPUTED_VALUE"""),"5e95be7f18b8ed0c0f5adb36")</f>
        <v>5e95be7f18b8ed0c0f5adb36</v>
      </c>
      <c r="G822" s="26" t="str">
        <f>IFERROR(__xludf.DUMMYFUNCTION("""COMPUTED_VALUE"""),"Frantisek Trusa")</f>
        <v>Frantisek Trusa</v>
      </c>
      <c r="H822" s="26" t="b">
        <v>0</v>
      </c>
    </row>
    <row r="823" hidden="1">
      <c r="A823" s="26" t="str">
        <f>VLOOKUP(B823,'2020 SRED (JIRA) - Issues and l'!$B:$C,2,FALSE)</f>
        <v>insite-event-SRED</v>
      </c>
      <c r="B823" s="27" t="str">
        <f>IFERROR(__xludf.DUMMYFUNCTION("""COMPUTED_VALUE"""),"ZAPI-106")</f>
        <v>ZAPI-106</v>
      </c>
      <c r="C823" s="26" t="str">
        <f>IFERROR(__xludf.DUMMYFUNCTION("""COMPUTED_VALUE"""),"Add actions column to list of copied videos with action ""Edit video"" and open a fullscreen video player with trimming tools")</f>
        <v>Add actions column to list of copied videos with action "Edit video" and open a fullscreen video player with trimming tools</v>
      </c>
      <c r="D823" s="28">
        <f>IFERROR(__xludf.DUMMYFUNCTION("""COMPUTED_VALUE"""),0.216666666666666)</f>
        <v>0.2166666667</v>
      </c>
      <c r="E823" s="29">
        <f>IFERROR(__xludf.DUMMYFUNCTION("""COMPUTED_VALUE"""),44084.0)</f>
        <v>44084</v>
      </c>
      <c r="F823" s="26" t="str">
        <f>IFERROR(__xludf.DUMMYFUNCTION("""COMPUTED_VALUE"""),"557058:3124a1f0-e92a-405c-93f2-c1d4e621bc77")</f>
        <v>557058:3124a1f0-e92a-405c-93f2-c1d4e621bc77</v>
      </c>
      <c r="G823" s="26" t="str">
        <f>IFERROR(__xludf.DUMMYFUNCTION("""COMPUTED_VALUE"""),"Trevor Coehoorn")</f>
        <v>Trevor Coehoorn</v>
      </c>
      <c r="H823" s="26" t="b">
        <v>0</v>
      </c>
    </row>
    <row r="824" hidden="1">
      <c r="A824" s="26" t="str">
        <f>VLOOKUP(B824,'2020 SRED (JIRA) - Issues and l'!$B:$C,2,FALSE)</f>
        <v>insite-event-SRED</v>
      </c>
      <c r="B824" s="27" t="str">
        <f>IFERROR(__xludf.DUMMYFUNCTION("""COMPUTED_VALUE"""),"ZAPI-105")</f>
        <v>ZAPI-105</v>
      </c>
      <c r="C824" s="26" t="str">
        <f>IFERROR(__xludf.DUMMYFUNCTION("""COMPUTED_VALUE"""),"List copied video files (in streaming format) to another list within the recording management fieldset")</f>
        <v>List copied video files (in streaming format) to another list within the recording management fieldset</v>
      </c>
      <c r="D824" s="28">
        <f>IFERROR(__xludf.DUMMYFUNCTION("""COMPUTED_VALUE"""),0.2)</f>
        <v>0.2</v>
      </c>
      <c r="E824" s="29">
        <f>IFERROR(__xludf.DUMMYFUNCTION("""COMPUTED_VALUE"""),44084.0)</f>
        <v>44084</v>
      </c>
      <c r="F824" s="26" t="str">
        <f>IFERROR(__xludf.DUMMYFUNCTION("""COMPUTED_VALUE"""),"557058:3124a1f0-e92a-405c-93f2-c1d4e621bc77")</f>
        <v>557058:3124a1f0-e92a-405c-93f2-c1d4e621bc77</v>
      </c>
      <c r="G824" s="26" t="str">
        <f>IFERROR(__xludf.DUMMYFUNCTION("""COMPUTED_VALUE"""),"Trevor Coehoorn")</f>
        <v>Trevor Coehoorn</v>
      </c>
      <c r="H824" s="26" t="b">
        <v>0</v>
      </c>
    </row>
    <row r="825" hidden="1">
      <c r="A825" s="26" t="str">
        <f>VLOOKUP(B825,'2020 SRED (JIRA) - Issues and l'!$B:$C,2,FALSE)</f>
        <v>insite-event-SRED</v>
      </c>
      <c r="B825" s="27" t="str">
        <f>IFERROR(__xludf.DUMMYFUNCTION("""COMPUTED_VALUE"""),"ZAPI-124")</f>
        <v>ZAPI-124</v>
      </c>
      <c r="C825" s="26" t="str">
        <f>IFERROR(__xludf.DUMMYFUNCTION("""COMPUTED_VALUE"""),"Refresh the videos table when a video is saved")</f>
        <v>Refresh the videos table when a video is saved</v>
      </c>
      <c r="D825" s="28">
        <f>IFERROR(__xludf.DUMMYFUNCTION("""COMPUTED_VALUE"""),0.35)</f>
        <v>0.35</v>
      </c>
      <c r="E825" s="29">
        <f>IFERROR(__xludf.DUMMYFUNCTION("""COMPUTED_VALUE"""),44084.0)</f>
        <v>44084</v>
      </c>
      <c r="F825" s="26" t="str">
        <f>IFERROR(__xludf.DUMMYFUNCTION("""COMPUTED_VALUE"""),"557058:3124a1f0-e92a-405c-93f2-c1d4e621bc77")</f>
        <v>557058:3124a1f0-e92a-405c-93f2-c1d4e621bc77</v>
      </c>
      <c r="G825" s="26" t="str">
        <f>IFERROR(__xludf.DUMMYFUNCTION("""COMPUTED_VALUE"""),"Trevor Coehoorn")</f>
        <v>Trevor Coehoorn</v>
      </c>
      <c r="H825" s="26" t="b">
        <v>0</v>
      </c>
    </row>
    <row r="826" hidden="1">
      <c r="A826" s="26" t="str">
        <f>VLOOKUP(B826,'2020 SRED (JIRA) - Issues and l'!$B:$C,2,FALSE)</f>
        <v>insite-event-SRED</v>
      </c>
      <c r="B826" s="27" t="str">
        <f>IFERROR(__xludf.DUMMYFUNCTION("""COMPUTED_VALUE"""),"ZAPI-141")</f>
        <v>ZAPI-141</v>
      </c>
      <c r="C826" s="26" t="str">
        <f>IFERROR(__xludf.DUMMYFUNCTION("""COMPUTED_VALUE"""),"Multiple recording fieldsets displayed in web meeting reports and recordings widget ")</f>
        <v>Multiple recording fieldsets displayed in web meeting reports and recordings widget </v>
      </c>
      <c r="D826" s="28">
        <f>IFERROR(__xludf.DUMMYFUNCTION("""COMPUTED_VALUE"""),0.116666666666666)</f>
        <v>0.1166666667</v>
      </c>
      <c r="E826" s="29">
        <f>IFERROR(__xludf.DUMMYFUNCTION("""COMPUTED_VALUE"""),44084.0)</f>
        <v>44084</v>
      </c>
      <c r="F826" s="26" t="str">
        <f>IFERROR(__xludf.DUMMYFUNCTION("""COMPUTED_VALUE"""),"557058:3124a1f0-e92a-405c-93f2-c1d4e621bc77")</f>
        <v>557058:3124a1f0-e92a-405c-93f2-c1d4e621bc77</v>
      </c>
      <c r="G826" s="26" t="str">
        <f>IFERROR(__xludf.DUMMYFUNCTION("""COMPUTED_VALUE"""),"Trevor Coehoorn")</f>
        <v>Trevor Coehoorn</v>
      </c>
      <c r="H826" s="26" t="b">
        <v>0</v>
      </c>
    </row>
    <row r="827" hidden="1">
      <c r="A827" s="26" t="str">
        <f>VLOOKUP(B827,'2020 SRED (JIRA) - Issues and l'!$B:$C,2,FALSE)</f>
        <v>insite-event-SRED</v>
      </c>
      <c r="B827" s="27" t="str">
        <f>IFERROR(__xludf.DUMMYFUNCTION("""COMPUTED_VALUE"""),"ZAPI-104")</f>
        <v>ZAPI-104</v>
      </c>
      <c r="C827" s="26" t="str">
        <f>IFERROR(__xludf.DUMMYFUNCTION("""COMPUTED_VALUE"""),"Add actions column to the list of recordings table with the action ""Copy and edit"" (copies raw video to streaming service file type)")</f>
        <v>Add actions column to the list of recordings table with the action "Copy and edit" (copies raw video to streaming service file type)</v>
      </c>
      <c r="D827" s="28">
        <f>IFERROR(__xludf.DUMMYFUNCTION("""COMPUTED_VALUE"""),0.316666666666666)</f>
        <v>0.3166666667</v>
      </c>
      <c r="E827" s="29">
        <f>IFERROR(__xludf.DUMMYFUNCTION("""COMPUTED_VALUE"""),44084.0)</f>
        <v>44084</v>
      </c>
      <c r="F827" s="26" t="str">
        <f>IFERROR(__xludf.DUMMYFUNCTION("""COMPUTED_VALUE"""),"557058:3124a1f0-e92a-405c-93f2-c1d4e621bc77")</f>
        <v>557058:3124a1f0-e92a-405c-93f2-c1d4e621bc77</v>
      </c>
      <c r="G827" s="26" t="str">
        <f>IFERROR(__xludf.DUMMYFUNCTION("""COMPUTED_VALUE"""),"Trevor Coehoorn")</f>
        <v>Trevor Coehoorn</v>
      </c>
      <c r="H827" s="26" t="b">
        <v>0</v>
      </c>
    </row>
    <row r="828" hidden="1">
      <c r="A828" s="26" t="str">
        <f>VLOOKUP(B828,'2020 SRED (JIRA) - Issues and l'!$B:$C,2,FALSE)</f>
        <v>insite-event-SRED</v>
      </c>
      <c r="B828" s="27" t="str">
        <f>IFERROR(__xludf.DUMMYFUNCTION("""COMPUTED_VALUE"""),"ZAPI-13")</f>
        <v>ZAPI-13</v>
      </c>
      <c r="C828" s="26" t="str">
        <f>IFERROR(__xludf.DUMMYFUNCTION("""COMPUTED_VALUE"""),"As an attendee, I can access meeting/webinar recordings via the portal")</f>
        <v>As an attendee, I can access meeting/webinar recordings via the portal</v>
      </c>
      <c r="D828" s="28">
        <f>IFERROR(__xludf.DUMMYFUNCTION("""COMPUTED_VALUE"""),0.516666666666666)</f>
        <v>0.5166666667</v>
      </c>
      <c r="E828" s="29">
        <f>IFERROR(__xludf.DUMMYFUNCTION("""COMPUTED_VALUE"""),44084.0)</f>
        <v>44084</v>
      </c>
      <c r="F828" s="26" t="str">
        <f>IFERROR(__xludf.DUMMYFUNCTION("""COMPUTED_VALUE"""),"557058:3124a1f0-e92a-405c-93f2-c1d4e621bc77")</f>
        <v>557058:3124a1f0-e92a-405c-93f2-c1d4e621bc77</v>
      </c>
      <c r="G828" s="26" t="str">
        <f>IFERROR(__xludf.DUMMYFUNCTION("""COMPUTED_VALUE"""),"Trevor Coehoorn")</f>
        <v>Trevor Coehoorn</v>
      </c>
      <c r="H828" s="26" t="b">
        <v>0</v>
      </c>
    </row>
    <row r="829" hidden="1">
      <c r="A829" s="26" t="str">
        <f>VLOOKUP(B829,'2020 SRED (JIRA) - Issues and l'!$B:$C,2,FALSE)</f>
        <v>insite-event-SRED</v>
      </c>
      <c r="B829" s="27" t="str">
        <f>IFERROR(__xludf.DUMMYFUNCTION("""COMPUTED_VALUE"""),"ZAPI-137")</f>
        <v>ZAPI-137</v>
      </c>
      <c r="C829" s="26" t="str">
        <f>IFERROR(__xludf.DUMMYFUNCTION("""COMPUTED_VALUE"""),"Add meeting owner to the top of the roles list automatically when the meeting is created")</f>
        <v>Add meeting owner to the top of the roles list automatically when the meeting is created</v>
      </c>
      <c r="D829" s="28">
        <f>IFERROR(__xludf.DUMMYFUNCTION("""COMPUTED_VALUE"""),0.2)</f>
        <v>0.2</v>
      </c>
      <c r="E829" s="29">
        <f>IFERROR(__xludf.DUMMYFUNCTION("""COMPUTED_VALUE"""),44084.0)</f>
        <v>44084</v>
      </c>
      <c r="F829" s="26" t="str">
        <f>IFERROR(__xludf.DUMMYFUNCTION("""COMPUTED_VALUE"""),"557058:3124a1f0-e92a-405c-93f2-c1d4e621bc77")</f>
        <v>557058:3124a1f0-e92a-405c-93f2-c1d4e621bc77</v>
      </c>
      <c r="G829" s="26" t="str">
        <f>IFERROR(__xludf.DUMMYFUNCTION("""COMPUTED_VALUE"""),"Trevor Coehoorn")</f>
        <v>Trevor Coehoorn</v>
      </c>
      <c r="H829" s="26" t="b">
        <v>0</v>
      </c>
    </row>
    <row r="830" hidden="1">
      <c r="A830" s="26" t="str">
        <f>VLOOKUP(B830,'2020 SRED (JIRA) - Issues and l'!$B:$C,2,FALSE)</f>
        <v>insite-event-SRED</v>
      </c>
      <c r="B830" s="27" t="str">
        <f>IFERROR(__xludf.DUMMYFUNCTION("""COMPUTED_VALUE"""),"ZAPI-6")</f>
        <v>ZAPI-6</v>
      </c>
      <c r="C830" s="26" t="str">
        <f>IFERROR(__xludf.DUMMYFUNCTION("""COMPUTED_VALUE"""),"Zoom API v2 (Registration Flow and Reporting)")</f>
        <v>Zoom API v2 (Registration Flow and Reporting)</v>
      </c>
      <c r="D830" s="28">
        <f>IFERROR(__xludf.DUMMYFUNCTION("""COMPUTED_VALUE"""),0.766666666666666)</f>
        <v>0.7666666667</v>
      </c>
      <c r="E830" s="29">
        <f>IFERROR(__xludf.DUMMYFUNCTION("""COMPUTED_VALUE"""),44084.0)</f>
        <v>44084</v>
      </c>
      <c r="F830" s="26" t="str">
        <f>IFERROR(__xludf.DUMMYFUNCTION("""COMPUTED_VALUE"""),"557058:3124a1f0-e92a-405c-93f2-c1d4e621bc77")</f>
        <v>557058:3124a1f0-e92a-405c-93f2-c1d4e621bc77</v>
      </c>
      <c r="G830" s="26" t="str">
        <f>IFERROR(__xludf.DUMMYFUNCTION("""COMPUTED_VALUE"""),"Trevor Coehoorn")</f>
        <v>Trevor Coehoorn</v>
      </c>
      <c r="H830" s="26" t="b">
        <v>0</v>
      </c>
    </row>
    <row r="831" hidden="1">
      <c r="A831" s="26" t="str">
        <f>VLOOKUP(B831,'2020 SRED (JIRA) - Issues and l'!$B:$C,2,FALSE)</f>
        <v>portal-builder-SRED</v>
      </c>
      <c r="B831" s="27" t="str">
        <f>IFERROR(__xludf.DUMMYFUNCTION("""COMPUTED_VALUE"""),"ITP-1873")</f>
        <v>ITP-1873</v>
      </c>
      <c r="C831" s="26" t="str">
        <f>IFERROR(__xludf.DUMMYFUNCTION("""COMPUTED_VALUE"""),"Remove the previous submissions link from submitted webform pages")</f>
        <v>Remove the previous submissions link from submitted webform pages</v>
      </c>
      <c r="D831" s="28">
        <f>IFERROR(__xludf.DUMMYFUNCTION("""COMPUTED_VALUE"""),0.533333333333333)</f>
        <v>0.5333333333</v>
      </c>
      <c r="E831" s="29">
        <f>IFERROR(__xludf.DUMMYFUNCTION("""COMPUTED_VALUE"""),44084.0)</f>
        <v>44084</v>
      </c>
      <c r="F831" s="26" t="str">
        <f>IFERROR(__xludf.DUMMYFUNCTION("""COMPUTED_VALUE"""),"557058:3124a1f0-e92a-405c-93f2-c1d4e621bc77")</f>
        <v>557058:3124a1f0-e92a-405c-93f2-c1d4e621bc77</v>
      </c>
      <c r="G831" s="26" t="str">
        <f>IFERROR(__xludf.DUMMYFUNCTION("""COMPUTED_VALUE"""),"Trevor Coehoorn")</f>
        <v>Trevor Coehoorn</v>
      </c>
      <c r="H831" s="26" t="b">
        <v>0</v>
      </c>
    </row>
    <row r="832" hidden="1">
      <c r="A832" s="26" t="str">
        <f>VLOOKUP(B832,'2020 SRED (JIRA) - Issues and l'!$B:$C,2,FALSE)</f>
        <v>insite-event-SRED</v>
      </c>
      <c r="B832" s="27" t="str">
        <f>IFERROR(__xludf.DUMMYFUNCTION("""COMPUTED_VALUE"""),"ZAPI-128")</f>
        <v>ZAPI-128</v>
      </c>
      <c r="C832" s="26" t="str">
        <f>IFERROR(__xludf.DUMMYFUNCTION("""COMPUTED_VALUE"""),"As an Impetus staff member, I can view all meetings scheduled via our portal Zoom API on the ‘Impetus Events’ Google Calendar")</f>
        <v>As an Impetus staff member, I can view all meetings scheduled via our portal Zoom API on the ‘Impetus Events’ Google Calendar</v>
      </c>
      <c r="D832" s="28">
        <f>IFERROR(__xludf.DUMMYFUNCTION("""COMPUTED_VALUE"""),1.31666666666666)</f>
        <v>1.316666667</v>
      </c>
      <c r="E832" s="29">
        <f>IFERROR(__xludf.DUMMYFUNCTION("""COMPUTED_VALUE"""),44084.0)</f>
        <v>44084</v>
      </c>
      <c r="F832" s="26" t="str">
        <f>IFERROR(__xludf.DUMMYFUNCTION("""COMPUTED_VALUE"""),"557058:3124a1f0-e92a-405c-93f2-c1d4e621bc77")</f>
        <v>557058:3124a1f0-e92a-405c-93f2-c1d4e621bc77</v>
      </c>
      <c r="G832" s="26" t="str">
        <f>IFERROR(__xludf.DUMMYFUNCTION("""COMPUTED_VALUE"""),"Trevor Coehoorn")</f>
        <v>Trevor Coehoorn</v>
      </c>
      <c r="H832" s="26" t="b">
        <v>0</v>
      </c>
    </row>
    <row r="833" hidden="1">
      <c r="A833" s="26" t="str">
        <f>VLOOKUP(B833,'2020 SRED (JIRA) - Issues and l'!$B:$C,2,FALSE)</f>
        <v>insite-workflow-SRED</v>
      </c>
      <c r="B833" s="27" t="str">
        <f>IFERROR(__xludf.DUMMYFUNCTION("""COMPUTED_VALUE"""),"APPS-414")</f>
        <v>APPS-414</v>
      </c>
      <c r="C833" s="26" t="str">
        <f>IFERROR(__xludf.DUMMYFUNCTION("""COMPUTED_VALUE"""),"Create a predetermined task list table for SVT requests.")</f>
        <v>Create a predetermined task list table for SVT requests.</v>
      </c>
      <c r="D833" s="28">
        <f>IFERROR(__xludf.DUMMYFUNCTION("""COMPUTED_VALUE"""),1.0)</f>
        <v>1</v>
      </c>
      <c r="E833" s="29">
        <f>IFERROR(__xludf.DUMMYFUNCTION("""COMPUTED_VALUE"""),44084.0)</f>
        <v>44084</v>
      </c>
      <c r="F833" s="26" t="str">
        <f>IFERROR(__xludf.DUMMYFUNCTION("""COMPUTED_VALUE"""),"5ee7b6ce868ce30ac49e2521")</f>
        <v>5ee7b6ce868ce30ac49e2521</v>
      </c>
      <c r="G833" s="26" t="str">
        <f>IFERROR(__xludf.DUMMYFUNCTION("""COMPUTED_VALUE"""),"Bryan Le")</f>
        <v>Bryan Le</v>
      </c>
      <c r="H833" s="26" t="b">
        <v>0</v>
      </c>
    </row>
    <row r="834" hidden="1">
      <c r="A834" s="26" t="str">
        <f>VLOOKUP(B834,'2020 SRED (JIRA) - Issues and l'!$B:$C,2,FALSE)</f>
        <v>insite-workflow-SRED</v>
      </c>
      <c r="B834" s="27" t="str">
        <f>IFERROR(__xludf.DUMMYFUNCTION("""COMPUTED_VALUE"""),"APPS-423")</f>
        <v>APPS-423</v>
      </c>
      <c r="C834" s="26" t="str">
        <f>IFERROR(__xludf.DUMMYFUNCTION("""COMPUTED_VALUE"""),"As a CST user, I can comment on a task and reply, and receive email notification for both.")</f>
        <v>As a CST user, I can comment on a task and reply, and receive email notification for both.</v>
      </c>
      <c r="D834" s="28">
        <f>IFERROR(__xludf.DUMMYFUNCTION("""COMPUTED_VALUE"""),3.0)</f>
        <v>3</v>
      </c>
      <c r="E834" s="29">
        <f>IFERROR(__xludf.DUMMYFUNCTION("""COMPUTED_VALUE"""),44084.0)</f>
        <v>44084</v>
      </c>
      <c r="F834" s="26" t="str">
        <f>IFERROR(__xludf.DUMMYFUNCTION("""COMPUTED_VALUE"""),"5ee7b6ce868ce30ac49e2521")</f>
        <v>5ee7b6ce868ce30ac49e2521</v>
      </c>
      <c r="G834" s="26" t="str">
        <f>IFERROR(__xludf.DUMMYFUNCTION("""COMPUTED_VALUE"""),"Bryan Le")</f>
        <v>Bryan Le</v>
      </c>
      <c r="H834" s="26" t="b">
        <v>0</v>
      </c>
    </row>
    <row r="835" hidden="1">
      <c r="A835" s="26" t="str">
        <f>VLOOKUP(B835,'2020 SRED (JIRA) - Issues and l'!$B:$C,2,FALSE)</f>
        <v>insite-workflow-SRED</v>
      </c>
      <c r="B835" s="27" t="str">
        <f>IFERROR(__xludf.DUMMYFUNCTION("""COMPUTED_VALUE"""),"APPS-414")</f>
        <v>APPS-414</v>
      </c>
      <c r="C835" s="26" t="str">
        <f>IFERROR(__xludf.DUMMYFUNCTION("""COMPUTED_VALUE"""),"Create a predetermined task list table for SVT requests.")</f>
        <v>Create a predetermined task list table for SVT requests.</v>
      </c>
      <c r="D835" s="28">
        <f>IFERROR(__xludf.DUMMYFUNCTION("""COMPUTED_VALUE"""),2.0)</f>
        <v>2</v>
      </c>
      <c r="E835" s="29">
        <f>IFERROR(__xludf.DUMMYFUNCTION("""COMPUTED_VALUE"""),44084.0)</f>
        <v>44084</v>
      </c>
      <c r="F835" s="26" t="str">
        <f>IFERROR(__xludf.DUMMYFUNCTION("""COMPUTED_VALUE"""),"5ee7b6ce868ce30ac49e2521")</f>
        <v>5ee7b6ce868ce30ac49e2521</v>
      </c>
      <c r="G835" s="26" t="str">
        <f>IFERROR(__xludf.DUMMYFUNCTION("""COMPUTED_VALUE"""),"Bryan Le")</f>
        <v>Bryan Le</v>
      </c>
      <c r="H835" s="26" t="b">
        <v>0</v>
      </c>
    </row>
    <row r="836" hidden="1">
      <c r="A836" s="26" t="str">
        <f>VLOOKUP(B836,'2020 SRED (JIRA) - Issues and l'!$B:$C,2,FALSE)</f>
        <v>insite-workflow-SRED</v>
      </c>
      <c r="B836" s="27" t="str">
        <f>IFERROR(__xludf.DUMMYFUNCTION("""COMPUTED_VALUE"""),"APPS-432")</f>
        <v>APPS-432</v>
      </c>
      <c r="C836" s="26" t="str">
        <f>IFERROR(__xludf.DUMMYFUNCTION("""COMPUTED_VALUE"""),"Pull values from touchpoint to add variable addon costs")</f>
        <v>Pull values from touchpoint to add variable addon costs</v>
      </c>
      <c r="D836" s="28">
        <f>IFERROR(__xludf.DUMMYFUNCTION("""COMPUTED_VALUE"""),7.0)</f>
        <v>7</v>
      </c>
      <c r="E836" s="29">
        <f>IFERROR(__xludf.DUMMYFUNCTION("""COMPUTED_VALUE"""),44084.0)</f>
        <v>44084</v>
      </c>
      <c r="F836" s="26" t="str">
        <f>IFERROR(__xludf.DUMMYFUNCTION("""COMPUTED_VALUE"""),"5ee7b6cf02b4400ac4b65399")</f>
        <v>5ee7b6cf02b4400ac4b65399</v>
      </c>
      <c r="G836" s="26" t="str">
        <f>IFERROR(__xludf.DUMMYFUNCTION("""COMPUTED_VALUE"""),"Jessica Obando")</f>
        <v>Jessica Obando</v>
      </c>
      <c r="H836" s="26" t="b">
        <v>0</v>
      </c>
    </row>
    <row r="837" hidden="1">
      <c r="A837" s="26" t="str">
        <f>VLOOKUP(B837,'2020 SRED (JIRA) - Issues and l'!$B:$C,2,FALSE)</f>
        <v>insite-event-SRED</v>
      </c>
      <c r="B837" s="27" t="str">
        <f>IFERROR(__xludf.DUMMYFUNCTION("""COMPUTED_VALUE"""),"ZAPI-128")</f>
        <v>ZAPI-128</v>
      </c>
      <c r="C837" s="26" t="str">
        <f>IFERROR(__xludf.DUMMYFUNCTION("""COMPUTED_VALUE"""),"As an Impetus staff member, I can view all meetings scheduled via our portal Zoom API on the ‘Impetus Events’ Google Calendar")</f>
        <v>As an Impetus staff member, I can view all meetings scheduled via our portal Zoom API on the ‘Impetus Events’ Google Calendar</v>
      </c>
      <c r="D837" s="28">
        <f>IFERROR(__xludf.DUMMYFUNCTION("""COMPUTED_VALUE"""),4.0)</f>
        <v>4</v>
      </c>
      <c r="E837" s="29">
        <f>IFERROR(__xludf.DUMMYFUNCTION("""COMPUTED_VALUE"""),44084.33333333333)</f>
        <v>44084.33333</v>
      </c>
      <c r="F837" s="26" t="str">
        <f>IFERROR(__xludf.DUMMYFUNCTION("""COMPUTED_VALUE"""),"5e95be7f18b8ed0c0f5adb36")</f>
        <v>5e95be7f18b8ed0c0f5adb36</v>
      </c>
      <c r="G837" s="26" t="str">
        <f>IFERROR(__xludf.DUMMYFUNCTION("""COMPUTED_VALUE"""),"Frantisek Trusa")</f>
        <v>Frantisek Trusa</v>
      </c>
      <c r="H837" s="26" t="b">
        <v>0</v>
      </c>
    </row>
    <row r="838" hidden="1">
      <c r="A838" s="26" t="str">
        <f>VLOOKUP(B838,'2020 SRED (JIRA) - Issues and l'!$B:$C,2,FALSE)</f>
        <v>insite-event-SRED</v>
      </c>
      <c r="B838" s="27" t="str">
        <f>IFERROR(__xludf.DUMMYFUNCTION("""COMPUTED_VALUE"""),"ZAPI-128")</f>
        <v>ZAPI-128</v>
      </c>
      <c r="C838" s="26" t="str">
        <f>IFERROR(__xludf.DUMMYFUNCTION("""COMPUTED_VALUE"""),"As an Impetus staff member, I can view all meetings scheduled via our portal Zoom API on the ‘Impetus Events’ Google Calendar")</f>
        <v>As an Impetus staff member, I can view all meetings scheduled via our portal Zoom API on the ‘Impetus Events’ Google Calendar</v>
      </c>
      <c r="D838" s="28">
        <f>IFERROR(__xludf.DUMMYFUNCTION("""COMPUTED_VALUE"""),4.0)</f>
        <v>4</v>
      </c>
      <c r="E838" s="29">
        <f>IFERROR(__xludf.DUMMYFUNCTION("""COMPUTED_VALUE"""),44084.54166666667)</f>
        <v>44084.54167</v>
      </c>
      <c r="F838" s="26" t="str">
        <f>IFERROR(__xludf.DUMMYFUNCTION("""COMPUTED_VALUE"""),"5e95be7f18b8ed0c0f5adb36")</f>
        <v>5e95be7f18b8ed0c0f5adb36</v>
      </c>
      <c r="G838" s="26" t="str">
        <f>IFERROR(__xludf.DUMMYFUNCTION("""COMPUTED_VALUE"""),"Frantisek Trusa")</f>
        <v>Frantisek Trusa</v>
      </c>
      <c r="H838" s="26" t="b">
        <v>0</v>
      </c>
    </row>
    <row r="839">
      <c r="A839" s="26" t="str">
        <f>VLOOKUP(B839,'2020 SRED (JIRA) - Issues and l'!$B:$C,2,FALSE)</f>
        <v>insite-workflow-SRED</v>
      </c>
      <c r="B839" s="27" t="str">
        <f>IFERROR(__xludf.DUMMYFUNCTION("""COMPUTED_VALUE"""),"APPS-414")</f>
        <v>APPS-414</v>
      </c>
      <c r="C839" s="26" t="str">
        <f>IFERROR(__xludf.DUMMYFUNCTION("""COMPUTED_VALUE"""),"Create a predetermined task list table for SVT requests.")</f>
        <v>Create a predetermined task list table for SVT requests.</v>
      </c>
      <c r="D839" s="28">
        <f>IFERROR(__xludf.DUMMYFUNCTION("""COMPUTED_VALUE"""),0.5)</f>
        <v>0.5</v>
      </c>
      <c r="E839" s="29">
        <f>IFERROR(__xludf.DUMMYFUNCTION("""COMPUTED_VALUE"""),44084.60416666667)</f>
        <v>44084.60417</v>
      </c>
      <c r="F839" s="26" t="str">
        <f>IFERROR(__xludf.DUMMYFUNCTION("""COMPUTED_VALUE"""),"557058:ed1ddc66-d84d-405c-a815-0fcc6147ba14")</f>
        <v>557058:ed1ddc66-d84d-405c-a815-0fcc6147ba14</v>
      </c>
      <c r="G839" s="26" t="str">
        <f>IFERROR(__xludf.DUMMYFUNCTION("""COMPUTED_VALUE"""),"Mark Corrigan")</f>
        <v>Mark Corrigan</v>
      </c>
      <c r="H839" s="26" t="b">
        <v>0</v>
      </c>
    </row>
    <row r="840" hidden="1">
      <c r="A840" s="26" t="str">
        <f>VLOOKUP(B840,'2020 SRED (JIRA) - Issues and l'!$B:$C,2,FALSE)</f>
        <v>insite-event-SRED</v>
      </c>
      <c r="B840" s="27" t="str">
        <f>IFERROR(__xludf.DUMMYFUNCTION("""COMPUTED_VALUE"""),"ZAPI-117")</f>
        <v>ZAPI-117</v>
      </c>
      <c r="C840" s="26" t="str">
        <f>IFERROR(__xludf.DUMMYFUNCTION("""COMPUTED_VALUE"""),"Check if non-selected poll response options get displayed in poll reports")</f>
        <v>Check if non-selected poll response options get displayed in poll reports</v>
      </c>
      <c r="D840" s="28">
        <f>IFERROR(__xludf.DUMMYFUNCTION("""COMPUTED_VALUE"""),0.55)</f>
        <v>0.55</v>
      </c>
      <c r="E840" s="29">
        <f>IFERROR(__xludf.DUMMYFUNCTION("""COMPUTED_VALUE"""),44085.0)</f>
        <v>44085</v>
      </c>
      <c r="F840" s="26" t="str">
        <f>IFERROR(__xludf.DUMMYFUNCTION("""COMPUTED_VALUE"""),"557058:3124a1f0-e92a-405c-93f2-c1d4e621bc77")</f>
        <v>557058:3124a1f0-e92a-405c-93f2-c1d4e621bc77</v>
      </c>
      <c r="G840" s="26" t="str">
        <f>IFERROR(__xludf.DUMMYFUNCTION("""COMPUTED_VALUE"""),"Trevor Coehoorn")</f>
        <v>Trevor Coehoorn</v>
      </c>
      <c r="H840" s="26" t="b">
        <v>0</v>
      </c>
    </row>
    <row r="841" hidden="1">
      <c r="A841" s="26" t="str">
        <f>VLOOKUP(B841,'2020 SRED (JIRA) - Issues and l'!$B:$C,2,FALSE)</f>
        <v>insite-event-SRED</v>
      </c>
      <c r="B841" s="27" t="str">
        <f>IFERROR(__xludf.DUMMYFUNCTION("""COMPUTED_VALUE"""),"ZAPI-114")</f>
        <v>ZAPI-114</v>
      </c>
      <c r="C841" s="26" t="str">
        <f>IFERROR(__xludf.DUMMYFUNCTION("""COMPUTED_VALUE"""),"Show form to admins on registration page after saving pane")</f>
        <v>Show form to admins on registration page after saving pane</v>
      </c>
      <c r="D841" s="28">
        <f>IFERROR(__xludf.DUMMYFUNCTION("""COMPUTED_VALUE"""),0.0666666666666666)</f>
        <v>0.06666666667</v>
      </c>
      <c r="E841" s="29">
        <f>IFERROR(__xludf.DUMMYFUNCTION("""COMPUTED_VALUE"""),44085.0)</f>
        <v>44085</v>
      </c>
      <c r="F841" s="26" t="str">
        <f>IFERROR(__xludf.DUMMYFUNCTION("""COMPUTED_VALUE"""),"557058:3124a1f0-e92a-405c-93f2-c1d4e621bc77")</f>
        <v>557058:3124a1f0-e92a-405c-93f2-c1d4e621bc77</v>
      </c>
      <c r="G841" s="26" t="str">
        <f>IFERROR(__xludf.DUMMYFUNCTION("""COMPUTED_VALUE"""),"Trevor Coehoorn")</f>
        <v>Trevor Coehoorn</v>
      </c>
      <c r="H841" s="26" t="b">
        <v>0</v>
      </c>
    </row>
    <row r="842" hidden="1">
      <c r="A842" s="26" t="str">
        <f>VLOOKUP(B842,'2020 SRED (JIRA) - Issues and l'!$B:$C,2,FALSE)</f>
        <v>insite-event-SRED</v>
      </c>
      <c r="B842" s="27" t="str">
        <f>IFERROR(__xludf.DUMMYFUNCTION("""COMPUTED_VALUE"""),"ZAPI-87")</f>
        <v>ZAPI-87</v>
      </c>
      <c r="C842" s="26" t="str">
        <f>IFERROR(__xludf.DUMMYFUNCTION("""COMPUTED_VALUE"""),"After a meeting has already been started by an admin, change the ""Start meeting"" button label for other admins to ""Join meeting in progress"" ")</f>
        <v>After a meeting has already been started by an admin, change the "Start meeting" button label for other admins to "Join meeting in progress" </v>
      </c>
      <c r="D842" s="28">
        <f>IFERROR(__xludf.DUMMYFUNCTION("""COMPUTED_VALUE"""),0.833333333333333)</f>
        <v>0.8333333333</v>
      </c>
      <c r="E842" s="29">
        <f>IFERROR(__xludf.DUMMYFUNCTION("""COMPUTED_VALUE"""),44085.0)</f>
        <v>44085</v>
      </c>
      <c r="F842" s="26" t="str">
        <f>IFERROR(__xludf.DUMMYFUNCTION("""COMPUTED_VALUE"""),"557058:3124a1f0-e92a-405c-93f2-c1d4e621bc77")</f>
        <v>557058:3124a1f0-e92a-405c-93f2-c1d4e621bc77</v>
      </c>
      <c r="G842" s="26" t="str">
        <f>IFERROR(__xludf.DUMMYFUNCTION("""COMPUTED_VALUE"""),"Trevor Coehoorn")</f>
        <v>Trevor Coehoorn</v>
      </c>
      <c r="H842" s="26" t="b">
        <v>0</v>
      </c>
    </row>
    <row r="843" hidden="1">
      <c r="A843" s="26" t="str">
        <f>VLOOKUP(B843,'2020 SRED (JIRA) - Issues and l'!$B:$C,2,FALSE)</f>
        <v>insite-event-SRED</v>
      </c>
      <c r="B843" s="27" t="str">
        <f>IFERROR(__xludf.DUMMYFUNCTION("""COMPUTED_VALUE"""),"ZAPI-128")</f>
        <v>ZAPI-128</v>
      </c>
      <c r="C843" s="26" t="str">
        <f>IFERROR(__xludf.DUMMYFUNCTION("""COMPUTED_VALUE"""),"As an Impetus staff member, I can view all meetings scheduled via our portal Zoom API on the ‘Impetus Events’ Google Calendar")</f>
        <v>As an Impetus staff member, I can view all meetings scheduled via our portal Zoom API on the ‘Impetus Events’ Google Calendar</v>
      </c>
      <c r="D843" s="28">
        <f>IFERROR(__xludf.DUMMYFUNCTION("""COMPUTED_VALUE"""),0.833333333333333)</f>
        <v>0.8333333333</v>
      </c>
      <c r="E843" s="29">
        <f>IFERROR(__xludf.DUMMYFUNCTION("""COMPUTED_VALUE"""),44085.0)</f>
        <v>44085</v>
      </c>
      <c r="F843" s="26" t="str">
        <f>IFERROR(__xludf.DUMMYFUNCTION("""COMPUTED_VALUE"""),"557058:3124a1f0-e92a-405c-93f2-c1d4e621bc77")</f>
        <v>557058:3124a1f0-e92a-405c-93f2-c1d4e621bc77</v>
      </c>
      <c r="G843" s="26" t="str">
        <f>IFERROR(__xludf.DUMMYFUNCTION("""COMPUTED_VALUE"""),"Trevor Coehoorn")</f>
        <v>Trevor Coehoorn</v>
      </c>
      <c r="H843" s="26" t="b">
        <v>0</v>
      </c>
    </row>
    <row r="844" hidden="1">
      <c r="A844" s="26" t="str">
        <f>VLOOKUP(B844,'2020 SRED (JIRA) - Issues and l'!$B:$C,2,FALSE)</f>
        <v>insite-event-SRED</v>
      </c>
      <c r="B844" s="27" t="str">
        <f>IFERROR(__xludf.DUMMYFUNCTION("""COMPUTED_VALUE"""),"ZAPI-137")</f>
        <v>ZAPI-137</v>
      </c>
      <c r="C844" s="26" t="str">
        <f>IFERROR(__xludf.DUMMYFUNCTION("""COMPUTED_VALUE"""),"Add meeting owner to the top of the roles list automatically when the meeting is created")</f>
        <v>Add meeting owner to the top of the roles list automatically when the meeting is created</v>
      </c>
      <c r="D844" s="28">
        <f>IFERROR(__xludf.DUMMYFUNCTION("""COMPUTED_VALUE"""),0.05)</f>
        <v>0.05</v>
      </c>
      <c r="E844" s="29">
        <f>IFERROR(__xludf.DUMMYFUNCTION("""COMPUTED_VALUE"""),44085.0)</f>
        <v>44085</v>
      </c>
      <c r="F844" s="26" t="str">
        <f>IFERROR(__xludf.DUMMYFUNCTION("""COMPUTED_VALUE"""),"557058:3124a1f0-e92a-405c-93f2-c1d4e621bc77")</f>
        <v>557058:3124a1f0-e92a-405c-93f2-c1d4e621bc77</v>
      </c>
      <c r="G844" s="26" t="str">
        <f>IFERROR(__xludf.DUMMYFUNCTION("""COMPUTED_VALUE"""),"Trevor Coehoorn")</f>
        <v>Trevor Coehoorn</v>
      </c>
      <c r="H844" s="26" t="b">
        <v>0</v>
      </c>
    </row>
    <row r="845" hidden="1">
      <c r="A845" s="26" t="str">
        <f>VLOOKUP(B845,'2020 SRED (JIRA) - Issues and l'!$B:$C,2,FALSE)</f>
        <v>portal-builder-SRED</v>
      </c>
      <c r="B845" s="27" t="str">
        <f>IFERROR(__xludf.DUMMYFUNCTION("""COMPUTED_VALUE"""),"ITP-1874")</f>
        <v>ITP-1874</v>
      </c>
      <c r="C845" s="26" t="str">
        <f>IFERROR(__xludf.DUMMYFUNCTION("""COMPUTED_VALUE"""),"Multiple webform submission group conditions")</f>
        <v>Multiple webform submission group conditions</v>
      </c>
      <c r="D845" s="28">
        <f>IFERROR(__xludf.DUMMYFUNCTION("""COMPUTED_VALUE"""),0.566666666666666)</f>
        <v>0.5666666667</v>
      </c>
      <c r="E845" s="29">
        <f>IFERROR(__xludf.DUMMYFUNCTION("""COMPUTED_VALUE"""),44085.0)</f>
        <v>44085</v>
      </c>
      <c r="F845" s="26" t="str">
        <f>IFERROR(__xludf.DUMMYFUNCTION("""COMPUTED_VALUE"""),"557058:3124a1f0-e92a-405c-93f2-c1d4e621bc77")</f>
        <v>557058:3124a1f0-e92a-405c-93f2-c1d4e621bc77</v>
      </c>
      <c r="G845" s="26" t="str">
        <f>IFERROR(__xludf.DUMMYFUNCTION("""COMPUTED_VALUE"""),"Trevor Coehoorn")</f>
        <v>Trevor Coehoorn</v>
      </c>
      <c r="H845" s="26" t="b">
        <v>0</v>
      </c>
    </row>
    <row r="846" hidden="1">
      <c r="A846" s="26" t="str">
        <f>VLOOKUP(B846,'2020 SRED (JIRA) - Issues and l'!$B:$C,2,FALSE)</f>
        <v>portal-builder-SRED</v>
      </c>
      <c r="B846" s="27" t="str">
        <f>IFERROR(__xludf.DUMMYFUNCTION("""COMPUTED_VALUE"""),"ITP-1868")</f>
        <v>ITP-1868</v>
      </c>
      <c r="C846" s="26" t="str">
        <f>IFERROR(__xludf.DUMMYFUNCTION("""COMPUTED_VALUE"""),"Alternating line colours in annotated pdf reports")</f>
        <v>Alternating line colours in annotated pdf reports</v>
      </c>
      <c r="D846" s="28">
        <f>IFERROR(__xludf.DUMMYFUNCTION("""COMPUTED_VALUE"""),0.133333333333333)</f>
        <v>0.1333333333</v>
      </c>
      <c r="E846" s="29">
        <f>IFERROR(__xludf.DUMMYFUNCTION("""COMPUTED_VALUE"""),44085.0)</f>
        <v>44085</v>
      </c>
      <c r="F846" s="26" t="str">
        <f>IFERROR(__xludf.DUMMYFUNCTION("""COMPUTED_VALUE"""),"557058:3124a1f0-e92a-405c-93f2-c1d4e621bc77")</f>
        <v>557058:3124a1f0-e92a-405c-93f2-c1d4e621bc77</v>
      </c>
      <c r="G846" s="26" t="str">
        <f>IFERROR(__xludf.DUMMYFUNCTION("""COMPUTED_VALUE"""),"Trevor Coehoorn")</f>
        <v>Trevor Coehoorn</v>
      </c>
      <c r="H846" s="26" t="b">
        <v>0</v>
      </c>
    </row>
    <row r="847" hidden="1">
      <c r="A847" s="26" t="str">
        <f>VLOOKUP(B847,'2020 SRED (JIRA) - Issues and l'!$B:$C,2,FALSE)</f>
        <v>insite-workflow-SRED</v>
      </c>
      <c r="B847" s="27" t="str">
        <f>IFERROR(__xludf.DUMMYFUNCTION("""COMPUTED_VALUE"""),"APPS-414")</f>
        <v>APPS-414</v>
      </c>
      <c r="C847" s="26" t="str">
        <f>IFERROR(__xludf.DUMMYFUNCTION("""COMPUTED_VALUE"""),"Create a predetermined task list table for SVT requests.")</f>
        <v>Create a predetermined task list table for SVT requests.</v>
      </c>
      <c r="D847" s="28">
        <f>IFERROR(__xludf.DUMMYFUNCTION("""COMPUTED_VALUE"""),4.0)</f>
        <v>4</v>
      </c>
      <c r="E847" s="29">
        <f>IFERROR(__xludf.DUMMYFUNCTION("""COMPUTED_VALUE"""),44085.0)</f>
        <v>44085</v>
      </c>
      <c r="F847" s="26" t="str">
        <f>IFERROR(__xludf.DUMMYFUNCTION("""COMPUTED_VALUE"""),"5ee7b6ce868ce30ac49e2521")</f>
        <v>5ee7b6ce868ce30ac49e2521</v>
      </c>
      <c r="G847" s="26" t="str">
        <f>IFERROR(__xludf.DUMMYFUNCTION("""COMPUTED_VALUE"""),"Bryan Le")</f>
        <v>Bryan Le</v>
      </c>
      <c r="H847" s="26" t="b">
        <v>0</v>
      </c>
    </row>
    <row r="848" hidden="1">
      <c r="A848" s="26" t="str">
        <f>VLOOKUP(B848,'2020 SRED (JIRA) - Issues and l'!$B:$C,2,FALSE)</f>
        <v>insite-workflow-SRED</v>
      </c>
      <c r="B848" s="27" t="str">
        <f>IFERROR(__xludf.DUMMYFUNCTION("""COMPUTED_VALUE"""),"APPS-344")</f>
        <v>APPS-344</v>
      </c>
      <c r="C848" s="26" t="str">
        <f>IFERROR(__xludf.DUMMYFUNCTION("""COMPUTED_VALUE"""),"Move ""Feedback"" menu item to top of all app menus")</f>
        <v>Move "Feedback" menu item to top of all app menus</v>
      </c>
      <c r="D848" s="28">
        <f>IFERROR(__xludf.DUMMYFUNCTION("""COMPUTED_VALUE"""),3.0)</f>
        <v>3</v>
      </c>
      <c r="E848" s="29">
        <f>IFERROR(__xludf.DUMMYFUNCTION("""COMPUTED_VALUE"""),44085.0)</f>
        <v>44085</v>
      </c>
      <c r="F848" s="26" t="str">
        <f>IFERROR(__xludf.DUMMYFUNCTION("""COMPUTED_VALUE"""),"5ee7b6ce868ce30ac49e2521")</f>
        <v>5ee7b6ce868ce30ac49e2521</v>
      </c>
      <c r="G848" s="26" t="str">
        <f>IFERROR(__xludf.DUMMYFUNCTION("""COMPUTED_VALUE"""),"Bryan Le")</f>
        <v>Bryan Le</v>
      </c>
      <c r="H848" s="26" t="b">
        <v>0</v>
      </c>
    </row>
    <row r="849" hidden="1">
      <c r="A849" s="26" t="str">
        <f>VLOOKUP(B849,'2020 SRED (JIRA) - Issues and l'!$B:$C,2,FALSE)</f>
        <v>insite-event-SRED</v>
      </c>
      <c r="B849" s="27" t="str">
        <f>IFERROR(__xludf.DUMMYFUNCTION("""COMPUTED_VALUE"""),"ZAPI-128")</f>
        <v>ZAPI-128</v>
      </c>
      <c r="C849" s="26" t="str">
        <f>IFERROR(__xludf.DUMMYFUNCTION("""COMPUTED_VALUE"""),"As an Impetus staff member, I can view all meetings scheduled via our portal Zoom API on the ‘Impetus Events’ Google Calendar")</f>
        <v>As an Impetus staff member, I can view all meetings scheduled via our portal Zoom API on the ‘Impetus Events’ Google Calendar</v>
      </c>
      <c r="D849" s="28">
        <f>IFERROR(__xludf.DUMMYFUNCTION("""COMPUTED_VALUE"""),4.0)</f>
        <v>4</v>
      </c>
      <c r="E849" s="29">
        <f>IFERROR(__xludf.DUMMYFUNCTION("""COMPUTED_VALUE"""),44085.33333333333)</f>
        <v>44085.33333</v>
      </c>
      <c r="F849" s="26" t="str">
        <f>IFERROR(__xludf.DUMMYFUNCTION("""COMPUTED_VALUE"""),"5e95be7f18b8ed0c0f5adb36")</f>
        <v>5e95be7f18b8ed0c0f5adb36</v>
      </c>
      <c r="G849" s="26" t="str">
        <f>IFERROR(__xludf.DUMMYFUNCTION("""COMPUTED_VALUE"""),"Frantisek Trusa")</f>
        <v>Frantisek Trusa</v>
      </c>
      <c r="H849" s="26" t="b">
        <v>0</v>
      </c>
    </row>
    <row r="850" hidden="1">
      <c r="A850" s="26" t="str">
        <f>VLOOKUP(B850,'2020 SRED (JIRA) - Issues and l'!$B:$C,2,FALSE)</f>
        <v>insite-event-SRED</v>
      </c>
      <c r="B850" s="27" t="str">
        <f>IFERROR(__xludf.DUMMYFUNCTION("""COMPUTED_VALUE"""),"ZAPI-137")</f>
        <v>ZAPI-137</v>
      </c>
      <c r="C850" s="26" t="str">
        <f>IFERROR(__xludf.DUMMYFUNCTION("""COMPUTED_VALUE"""),"Add meeting owner to the top of the roles list automatically when the meeting is created")</f>
        <v>Add meeting owner to the top of the roles list automatically when the meeting is created</v>
      </c>
      <c r="D850" s="28">
        <f>IFERROR(__xludf.DUMMYFUNCTION("""COMPUTED_VALUE"""),4.0)</f>
        <v>4</v>
      </c>
      <c r="E850" s="29">
        <f>IFERROR(__xludf.DUMMYFUNCTION("""COMPUTED_VALUE"""),44085.54166666667)</f>
        <v>44085.54167</v>
      </c>
      <c r="F850" s="26" t="str">
        <f>IFERROR(__xludf.DUMMYFUNCTION("""COMPUTED_VALUE"""),"5e95be7f18b8ed0c0f5adb36")</f>
        <v>5e95be7f18b8ed0c0f5adb36</v>
      </c>
      <c r="G850" s="26" t="str">
        <f>IFERROR(__xludf.DUMMYFUNCTION("""COMPUTED_VALUE"""),"Frantisek Trusa")</f>
        <v>Frantisek Trusa</v>
      </c>
      <c r="H850" s="26" t="b">
        <v>0</v>
      </c>
    </row>
    <row r="851" hidden="1">
      <c r="A851" s="26" t="str">
        <f>VLOOKUP(B851,'2020 SRED (JIRA) - Issues and l'!$B:$C,2,FALSE)</f>
        <v>insite-event-SRED</v>
      </c>
      <c r="B851" s="27" t="str">
        <f>IFERROR(__xludf.DUMMYFUNCTION("""COMPUTED_VALUE"""),"ZAPI-61")</f>
        <v>ZAPI-61</v>
      </c>
      <c r="C851" s="26" t="str">
        <f>IFERROR(__xludf.DUMMYFUNCTION("""COMPUTED_VALUE"""),"As an Impetus staff member, I can view all scheduled client meetings, dry runs, etc. and their meeting IDs, portal links to join, Impetus resources, etc.")</f>
        <v>As an Impetus staff member, I can view all scheduled client meetings, dry runs, etc. and their meeting IDs, portal links to join, Impetus resources, etc.</v>
      </c>
      <c r="D851" s="28">
        <f>IFERROR(__xludf.DUMMYFUNCTION("""COMPUTED_VALUE"""),1.06666666666666)</f>
        <v>1.066666667</v>
      </c>
      <c r="E851" s="29">
        <f>IFERROR(__xludf.DUMMYFUNCTION("""COMPUTED_VALUE"""),44088.0)</f>
        <v>44088</v>
      </c>
      <c r="F851" s="26" t="str">
        <f>IFERROR(__xludf.DUMMYFUNCTION("""COMPUTED_VALUE"""),"557058:3124a1f0-e92a-405c-93f2-c1d4e621bc77")</f>
        <v>557058:3124a1f0-e92a-405c-93f2-c1d4e621bc77</v>
      </c>
      <c r="G851" s="26" t="str">
        <f>IFERROR(__xludf.DUMMYFUNCTION("""COMPUTED_VALUE"""),"Trevor Coehoorn")</f>
        <v>Trevor Coehoorn</v>
      </c>
      <c r="H851" s="26" t="b">
        <v>0</v>
      </c>
    </row>
    <row r="852" hidden="1">
      <c r="A852" s="26" t="str">
        <f>VLOOKUP(B852,'2020 SRED (JIRA) - Issues and l'!$B:$C,2,FALSE)</f>
        <v>insite-event-SRED</v>
      </c>
      <c r="B852" s="27" t="str">
        <f>IFERROR(__xludf.DUMMYFUNCTION("""COMPUTED_VALUE"""),"ZAPI-136")</f>
        <v>ZAPI-136</v>
      </c>
      <c r="C852" s="26" t="str">
        <f>IFERROR(__xludf.DUMMYFUNCTION("""COMPUTED_VALUE"""),"An error is occurring when webinars are created")</f>
        <v>An error is occurring when webinars are created</v>
      </c>
      <c r="D852" s="28">
        <f>IFERROR(__xludf.DUMMYFUNCTION("""COMPUTED_VALUE"""),0.0833333333333333)</f>
        <v>0.08333333333</v>
      </c>
      <c r="E852" s="29">
        <f>IFERROR(__xludf.DUMMYFUNCTION("""COMPUTED_VALUE"""),44088.0)</f>
        <v>44088</v>
      </c>
      <c r="F852" s="26" t="str">
        <f>IFERROR(__xludf.DUMMYFUNCTION("""COMPUTED_VALUE"""),"557058:3124a1f0-e92a-405c-93f2-c1d4e621bc77")</f>
        <v>557058:3124a1f0-e92a-405c-93f2-c1d4e621bc77</v>
      </c>
      <c r="G852" s="26" t="str">
        <f>IFERROR(__xludf.DUMMYFUNCTION("""COMPUTED_VALUE"""),"Trevor Coehoorn")</f>
        <v>Trevor Coehoorn</v>
      </c>
      <c r="H852" s="26" t="b">
        <v>0</v>
      </c>
    </row>
    <row r="853" hidden="1">
      <c r="A853" s="26" t="str">
        <f>VLOOKUP(B853,'2020 SRED (JIRA) - Issues and l'!$B:$C,2,FALSE)</f>
        <v>insite-event-SRED</v>
      </c>
      <c r="B853" s="27" t="str">
        <f>IFERROR(__xludf.DUMMYFUNCTION("""COMPUTED_VALUE"""),"ZAPI-128")</f>
        <v>ZAPI-128</v>
      </c>
      <c r="C853" s="26" t="str">
        <f>IFERROR(__xludf.DUMMYFUNCTION("""COMPUTED_VALUE"""),"As an Impetus staff member, I can view all meetings scheduled via our portal Zoom API on the ‘Impetus Events’ Google Calendar")</f>
        <v>As an Impetus staff member, I can view all meetings scheduled via our portal Zoom API on the ‘Impetus Events’ Google Calendar</v>
      </c>
      <c r="D853" s="28">
        <f>IFERROR(__xludf.DUMMYFUNCTION("""COMPUTED_VALUE"""),0.216666666666666)</f>
        <v>0.2166666667</v>
      </c>
      <c r="E853" s="29">
        <f>IFERROR(__xludf.DUMMYFUNCTION("""COMPUTED_VALUE"""),44088.0)</f>
        <v>44088</v>
      </c>
      <c r="F853" s="26" t="str">
        <f>IFERROR(__xludf.DUMMYFUNCTION("""COMPUTED_VALUE"""),"557058:3124a1f0-e92a-405c-93f2-c1d4e621bc77")</f>
        <v>557058:3124a1f0-e92a-405c-93f2-c1d4e621bc77</v>
      </c>
      <c r="G853" s="26" t="str">
        <f>IFERROR(__xludf.DUMMYFUNCTION("""COMPUTED_VALUE"""),"Trevor Coehoorn")</f>
        <v>Trevor Coehoorn</v>
      </c>
      <c r="H853" s="26" t="b">
        <v>0</v>
      </c>
    </row>
    <row r="854" hidden="1">
      <c r="A854" s="26" t="str">
        <f>VLOOKUP(B854,'2020 SRED (JIRA) - Issues and l'!$B:$C,2,FALSE)</f>
        <v>insite-event-SRED</v>
      </c>
      <c r="B854" s="27" t="str">
        <f>IFERROR(__xludf.DUMMYFUNCTION("""COMPUTED_VALUE"""),"ZAPI-146")</f>
        <v>ZAPI-146</v>
      </c>
      <c r="C854" s="26" t="str">
        <f>IFERROR(__xludf.DUMMYFUNCTION("""COMPUTED_VALUE"""),"Display name does not show up in Zoom when registration form is used")</f>
        <v>Display name does not show up in Zoom when registration form is used</v>
      </c>
      <c r="D854" s="28">
        <f>IFERROR(__xludf.DUMMYFUNCTION("""COMPUTED_VALUE"""),0.266666666666666)</f>
        <v>0.2666666667</v>
      </c>
      <c r="E854" s="29">
        <f>IFERROR(__xludf.DUMMYFUNCTION("""COMPUTED_VALUE"""),44088.0)</f>
        <v>44088</v>
      </c>
      <c r="F854" s="26" t="str">
        <f>IFERROR(__xludf.DUMMYFUNCTION("""COMPUTED_VALUE"""),"557058:3124a1f0-e92a-405c-93f2-c1d4e621bc77")</f>
        <v>557058:3124a1f0-e92a-405c-93f2-c1d4e621bc77</v>
      </c>
      <c r="G854" s="26" t="str">
        <f>IFERROR(__xludf.DUMMYFUNCTION("""COMPUTED_VALUE"""),"Trevor Coehoorn")</f>
        <v>Trevor Coehoorn</v>
      </c>
      <c r="H854" s="26" t="b">
        <v>0</v>
      </c>
    </row>
    <row r="855" hidden="1">
      <c r="A855" s="26" t="str">
        <f>VLOOKUP(B855,'2020 SRED (JIRA) - Issues and l'!$B:$C,2,FALSE)</f>
        <v>insite-event-SRED</v>
      </c>
      <c r="B855" s="27" t="str">
        <f>IFERROR(__xludf.DUMMYFUNCTION("""COMPUTED_VALUE"""),"ZAPI-134")</f>
        <v>ZAPI-134</v>
      </c>
      <c r="C855" s="26" t="str">
        <f>IFERROR(__xludf.DUMMYFUNCTION("""COMPUTED_VALUE"""),"Correct web meeting registration form redirect")</f>
        <v>Correct web meeting registration form redirect</v>
      </c>
      <c r="D855" s="28">
        <f>IFERROR(__xludf.DUMMYFUNCTION("""COMPUTED_VALUE"""),0.55)</f>
        <v>0.55</v>
      </c>
      <c r="E855" s="29">
        <f>IFERROR(__xludf.DUMMYFUNCTION("""COMPUTED_VALUE"""),44088.0)</f>
        <v>44088</v>
      </c>
      <c r="F855" s="26" t="str">
        <f>IFERROR(__xludf.DUMMYFUNCTION("""COMPUTED_VALUE"""),"557058:3124a1f0-e92a-405c-93f2-c1d4e621bc77")</f>
        <v>557058:3124a1f0-e92a-405c-93f2-c1d4e621bc77</v>
      </c>
      <c r="G855" s="26" t="str">
        <f>IFERROR(__xludf.DUMMYFUNCTION("""COMPUTED_VALUE"""),"Trevor Coehoorn")</f>
        <v>Trevor Coehoorn</v>
      </c>
      <c r="H855" s="26" t="b">
        <v>0</v>
      </c>
    </row>
    <row r="856" hidden="1">
      <c r="A856" s="26" t="str">
        <f>VLOOKUP(B856,'2020 SRED (JIRA) - Issues and l'!$B:$C,2,FALSE)</f>
        <v>portal-builder-SRED</v>
      </c>
      <c r="B856" s="27" t="str">
        <f>IFERROR(__xludf.DUMMYFUNCTION("""COMPUTED_VALUE"""),"ITP-1850")</f>
        <v>ITP-1850</v>
      </c>
      <c r="C856" s="26" t="str">
        <f>IFERROR(__xludf.DUMMYFUNCTION("""COMPUTED_VALUE"""),"Allow ""&lt;"" characters in Touchpoint Builder select options")</f>
        <v>Allow "&lt;" characters in Touchpoint Builder select options</v>
      </c>
      <c r="D856" s="28">
        <f>IFERROR(__xludf.DUMMYFUNCTION("""COMPUTED_VALUE"""),0.05)</f>
        <v>0.05</v>
      </c>
      <c r="E856" s="29">
        <f>IFERROR(__xludf.DUMMYFUNCTION("""COMPUTED_VALUE"""),44088.0)</f>
        <v>44088</v>
      </c>
      <c r="F856" s="26" t="str">
        <f>IFERROR(__xludf.DUMMYFUNCTION("""COMPUTED_VALUE"""),"557058:3124a1f0-e92a-405c-93f2-c1d4e621bc77")</f>
        <v>557058:3124a1f0-e92a-405c-93f2-c1d4e621bc77</v>
      </c>
      <c r="G856" s="26" t="str">
        <f>IFERROR(__xludf.DUMMYFUNCTION("""COMPUTED_VALUE"""),"Trevor Coehoorn")</f>
        <v>Trevor Coehoorn</v>
      </c>
      <c r="H856" s="26" t="b">
        <v>0</v>
      </c>
    </row>
    <row r="857" hidden="1">
      <c r="A857" s="26" t="str">
        <f>VLOOKUP(B857,'2020 SRED (JIRA) - Issues and l'!$B:$C,2,FALSE)</f>
        <v>portal-builder-SRED</v>
      </c>
      <c r="B857" s="27" t="str">
        <f>IFERROR(__xludf.DUMMYFUNCTION("""COMPUTED_VALUE"""),"ITP-1845")</f>
        <v>ITP-1845</v>
      </c>
      <c r="C857" s="26" t="str">
        <f>IFERROR(__xludf.DUMMYFUNCTION("""COMPUTED_VALUE"""),"Increase the rating and ranking option maximum length")</f>
        <v>Increase the rating and ranking option maximum length</v>
      </c>
      <c r="D857" s="28">
        <f>IFERROR(__xludf.DUMMYFUNCTION("""COMPUTED_VALUE"""),0.0166666666666666)</f>
        <v>0.01666666667</v>
      </c>
      <c r="E857" s="29">
        <f>IFERROR(__xludf.DUMMYFUNCTION("""COMPUTED_VALUE"""),44088.0)</f>
        <v>44088</v>
      </c>
      <c r="F857" s="26" t="str">
        <f>IFERROR(__xludf.DUMMYFUNCTION("""COMPUTED_VALUE"""),"557058:3124a1f0-e92a-405c-93f2-c1d4e621bc77")</f>
        <v>557058:3124a1f0-e92a-405c-93f2-c1d4e621bc77</v>
      </c>
      <c r="G857" s="26" t="str">
        <f>IFERROR(__xludf.DUMMYFUNCTION("""COMPUTED_VALUE"""),"Trevor Coehoorn")</f>
        <v>Trevor Coehoorn</v>
      </c>
      <c r="H857" s="26" t="b">
        <v>0</v>
      </c>
    </row>
    <row r="858" hidden="1">
      <c r="A858" s="26" t="str">
        <f>VLOOKUP(B858,'2020 SRED (JIRA) - Issues and l'!$B:$C,2,FALSE)</f>
        <v>insite-event-SRED</v>
      </c>
      <c r="B858" s="27" t="str">
        <f>IFERROR(__xludf.DUMMYFUNCTION("""COMPUTED_VALUE"""),"ZAPI-131")</f>
        <v>ZAPI-131</v>
      </c>
      <c r="C858" s="26" t="str">
        <f>IFERROR(__xludf.DUMMYFUNCTION("""COMPUTED_VALUE"""),"Verify that the v2 changes follow our coding standards")</f>
        <v>Verify that the v2 changes follow our coding standards</v>
      </c>
      <c r="D858" s="28">
        <f>IFERROR(__xludf.DUMMYFUNCTION("""COMPUTED_VALUE"""),1.95)</f>
        <v>1.95</v>
      </c>
      <c r="E858" s="29">
        <f>IFERROR(__xludf.DUMMYFUNCTION("""COMPUTED_VALUE"""),44088.0)</f>
        <v>44088</v>
      </c>
      <c r="F858" s="26" t="str">
        <f>IFERROR(__xludf.DUMMYFUNCTION("""COMPUTED_VALUE"""),"557058:3124a1f0-e92a-405c-93f2-c1d4e621bc77")</f>
        <v>557058:3124a1f0-e92a-405c-93f2-c1d4e621bc77</v>
      </c>
      <c r="G858" s="26" t="str">
        <f>IFERROR(__xludf.DUMMYFUNCTION("""COMPUTED_VALUE"""),"Trevor Coehoorn")</f>
        <v>Trevor Coehoorn</v>
      </c>
      <c r="H858" s="26" t="b">
        <v>0</v>
      </c>
    </row>
    <row r="859" hidden="1">
      <c r="A859" s="26" t="str">
        <f>VLOOKUP(B859,'2020 SRED (JIRA) - Issues and l'!$B:$C,2,FALSE)</f>
        <v>insite-workflow-SRED</v>
      </c>
      <c r="B859" s="27" t="str">
        <f>IFERROR(__xludf.DUMMYFUNCTION("""COMPUTED_VALUE"""),"APPS-80")</f>
        <v>APPS-80</v>
      </c>
      <c r="C859" s="26" t="str">
        <f>IFERROR(__xludf.DUMMYFUNCTION("""COMPUTED_VALUE"""),"Projects app (v1)")</f>
        <v>Projects app (v1)</v>
      </c>
      <c r="D859" s="28">
        <f>IFERROR(__xludf.DUMMYFUNCTION("""COMPUTED_VALUE"""),1.0)</f>
        <v>1</v>
      </c>
      <c r="E859" s="29">
        <f>IFERROR(__xludf.DUMMYFUNCTION("""COMPUTED_VALUE"""),44088.0)</f>
        <v>44088</v>
      </c>
      <c r="F859" s="26" t="str">
        <f>IFERROR(__xludf.DUMMYFUNCTION("""COMPUTED_VALUE"""),"5ee7b6ce868ce30ac49e2521")</f>
        <v>5ee7b6ce868ce30ac49e2521</v>
      </c>
      <c r="G859" s="26" t="str">
        <f>IFERROR(__xludf.DUMMYFUNCTION("""COMPUTED_VALUE"""),"Bryan Le")</f>
        <v>Bryan Le</v>
      </c>
      <c r="H859" s="26" t="b">
        <v>0</v>
      </c>
    </row>
    <row r="860" hidden="1">
      <c r="A860" s="26" t="str">
        <f>VLOOKUP(B860,'2020 SRED (JIRA) - Issues and l'!$B:$C,2,FALSE)</f>
        <v>insite-workflow-SRED</v>
      </c>
      <c r="B860" s="27" t="str">
        <f>IFERROR(__xludf.DUMMYFUNCTION("""COMPUTED_VALUE"""),"APPS-414")</f>
        <v>APPS-414</v>
      </c>
      <c r="C860" s="26" t="str">
        <f>IFERROR(__xludf.DUMMYFUNCTION("""COMPUTED_VALUE"""),"Create a predetermined task list table for SVT requests.")</f>
        <v>Create a predetermined task list table for SVT requests.</v>
      </c>
      <c r="D860" s="28">
        <f>IFERROR(__xludf.DUMMYFUNCTION("""COMPUTED_VALUE"""),6.0)</f>
        <v>6</v>
      </c>
      <c r="E860" s="29">
        <f>IFERROR(__xludf.DUMMYFUNCTION("""COMPUTED_VALUE"""),44088.0)</f>
        <v>44088</v>
      </c>
      <c r="F860" s="26" t="str">
        <f>IFERROR(__xludf.DUMMYFUNCTION("""COMPUTED_VALUE"""),"5ee7b6ce868ce30ac49e2521")</f>
        <v>5ee7b6ce868ce30ac49e2521</v>
      </c>
      <c r="G860" s="26" t="str">
        <f>IFERROR(__xludf.DUMMYFUNCTION("""COMPUTED_VALUE"""),"Bryan Le")</f>
        <v>Bryan Le</v>
      </c>
      <c r="H860" s="26" t="b">
        <v>0</v>
      </c>
    </row>
    <row r="861" hidden="1">
      <c r="A861" s="26" t="str">
        <f>VLOOKUP(B861,'2020 SRED (JIRA) - Issues and l'!$B:$C,2,FALSE)</f>
        <v>insite-workflow-SRED</v>
      </c>
      <c r="B861" s="27" t="str">
        <f>IFERROR(__xludf.DUMMYFUNCTION("""COMPUTED_VALUE"""),"APPS-460")</f>
        <v>APPS-460</v>
      </c>
      <c r="C861" s="26" t="str">
        <f>IFERROR(__xludf.DUMMYFUNCTION("""COMPUTED_VALUE"""),"Changes to sales opportunity details view")</f>
        <v>Changes to sales opportunity details view</v>
      </c>
      <c r="D861" s="28">
        <f>IFERROR(__xludf.DUMMYFUNCTION("""COMPUTED_VALUE"""),7.0)</f>
        <v>7</v>
      </c>
      <c r="E861" s="29">
        <f>IFERROR(__xludf.DUMMYFUNCTION("""COMPUTED_VALUE"""),44088.0)</f>
        <v>44088</v>
      </c>
      <c r="F861" s="26" t="str">
        <f>IFERROR(__xludf.DUMMYFUNCTION("""COMPUTED_VALUE"""),"5ee7b6cf02b4400ac4b65399")</f>
        <v>5ee7b6cf02b4400ac4b65399</v>
      </c>
      <c r="G861" s="26" t="str">
        <f>IFERROR(__xludf.DUMMYFUNCTION("""COMPUTED_VALUE"""),"Jessica Obando")</f>
        <v>Jessica Obando</v>
      </c>
      <c r="H861" s="26" t="b">
        <v>0</v>
      </c>
    </row>
    <row r="862" hidden="1">
      <c r="A862" s="26" t="str">
        <f>VLOOKUP(B862,'2020 SRED (JIRA) - Issues and l'!$B:$C,2,FALSE)</f>
        <v>insite-event-SRED</v>
      </c>
      <c r="B862" s="27" t="str">
        <f>IFERROR(__xludf.DUMMYFUNCTION("""COMPUTED_VALUE"""),"ZAPI-134")</f>
        <v>ZAPI-134</v>
      </c>
      <c r="C862" s="26" t="str">
        <f>IFERROR(__xludf.DUMMYFUNCTION("""COMPUTED_VALUE"""),"Correct web meeting registration form redirect")</f>
        <v>Correct web meeting registration form redirect</v>
      </c>
      <c r="D862" s="28">
        <f>IFERROR(__xludf.DUMMYFUNCTION("""COMPUTED_VALUE"""),1.0)</f>
        <v>1</v>
      </c>
      <c r="E862" s="29">
        <f>IFERROR(__xludf.DUMMYFUNCTION("""COMPUTED_VALUE"""),44088.33333333333)</f>
        <v>44088.33333</v>
      </c>
      <c r="F862" s="26" t="str">
        <f>IFERROR(__xludf.DUMMYFUNCTION("""COMPUTED_VALUE"""),"5e95be7f18b8ed0c0f5adb36")</f>
        <v>5e95be7f18b8ed0c0f5adb36</v>
      </c>
      <c r="G862" s="26" t="str">
        <f>IFERROR(__xludf.DUMMYFUNCTION("""COMPUTED_VALUE"""),"Frantisek Trusa")</f>
        <v>Frantisek Trusa</v>
      </c>
      <c r="H862" s="26" t="b">
        <v>0</v>
      </c>
    </row>
    <row r="863" hidden="1">
      <c r="A863" s="26" t="str">
        <f>VLOOKUP(B863,'2020 SRED (JIRA) - Issues and l'!$B:$C,2,FALSE)</f>
        <v>insite-event-SRED</v>
      </c>
      <c r="B863" s="27" t="str">
        <f>IFERROR(__xludf.DUMMYFUNCTION("""COMPUTED_VALUE"""),"ZAPI-131")</f>
        <v>ZAPI-131</v>
      </c>
      <c r="C863" s="26" t="str">
        <f>IFERROR(__xludf.DUMMYFUNCTION("""COMPUTED_VALUE"""),"Verify that the v2 changes follow our coding standards")</f>
        <v>Verify that the v2 changes follow our coding standards</v>
      </c>
      <c r="D863" s="28">
        <f>IFERROR(__xludf.DUMMYFUNCTION("""COMPUTED_VALUE"""),1.0)</f>
        <v>1</v>
      </c>
      <c r="E863" s="29">
        <f>IFERROR(__xludf.DUMMYFUNCTION("""COMPUTED_VALUE"""),44088.375)</f>
        <v>44088.375</v>
      </c>
      <c r="F863" s="26" t="str">
        <f>IFERROR(__xludf.DUMMYFUNCTION("""COMPUTED_VALUE"""),"5e95be7f18b8ed0c0f5adb36")</f>
        <v>5e95be7f18b8ed0c0f5adb36</v>
      </c>
      <c r="G863" s="26" t="str">
        <f>IFERROR(__xludf.DUMMYFUNCTION("""COMPUTED_VALUE"""),"Frantisek Trusa")</f>
        <v>Frantisek Trusa</v>
      </c>
      <c r="H863" s="26" t="b">
        <v>0</v>
      </c>
    </row>
    <row r="864" hidden="1">
      <c r="A864" s="26" t="str">
        <f>VLOOKUP(B864,'2020 SRED (JIRA) - Issues and l'!$B:$C,2,FALSE)</f>
        <v>insite-event-SRED</v>
      </c>
      <c r="B864" s="27" t="str">
        <f>IFERROR(__xludf.DUMMYFUNCTION("""COMPUTED_VALUE"""),"ZAPI-144")</f>
        <v>ZAPI-144</v>
      </c>
      <c r="C864" s="26" t="str">
        <f>IFERROR(__xludf.DUMMYFUNCTION("""COMPUTED_VALUE"""),"User can still download video in view only user access")</f>
        <v>User can still download video in view only user access</v>
      </c>
      <c r="D864" s="28">
        <f>IFERROR(__xludf.DUMMYFUNCTION("""COMPUTED_VALUE"""),2.0)</f>
        <v>2</v>
      </c>
      <c r="E864" s="29">
        <f>IFERROR(__xludf.DUMMYFUNCTION("""COMPUTED_VALUE"""),44088.41666666667)</f>
        <v>44088.41667</v>
      </c>
      <c r="F864" s="26" t="str">
        <f>IFERROR(__xludf.DUMMYFUNCTION("""COMPUTED_VALUE"""),"5e95be7f18b8ed0c0f5adb36")</f>
        <v>5e95be7f18b8ed0c0f5adb36</v>
      </c>
      <c r="G864" s="26" t="str">
        <f>IFERROR(__xludf.DUMMYFUNCTION("""COMPUTED_VALUE"""),"Frantisek Trusa")</f>
        <v>Frantisek Trusa</v>
      </c>
      <c r="H864" s="26" t="b">
        <v>0</v>
      </c>
    </row>
    <row r="865" hidden="1">
      <c r="A865" s="26" t="str">
        <f>VLOOKUP(B865,'2020 SRED (JIRA) - Issues and l'!$B:$C,2,FALSE)</f>
        <v>insite-event-SRED</v>
      </c>
      <c r="B865" s="27" t="str">
        <f>IFERROR(__xludf.DUMMYFUNCTION("""COMPUTED_VALUE"""),"ZAPI-61")</f>
        <v>ZAPI-61</v>
      </c>
      <c r="C865" s="26" t="str">
        <f>IFERROR(__xludf.DUMMYFUNCTION("""COMPUTED_VALUE"""),"As an Impetus staff member, I can view all scheduled client meetings, dry runs, etc. and their meeting IDs, portal links to join, Impetus resources, etc.")</f>
        <v>As an Impetus staff member, I can view all scheduled client meetings, dry runs, etc. and their meeting IDs, portal links to join, Impetus resources, etc.</v>
      </c>
      <c r="D865" s="28">
        <f>IFERROR(__xludf.DUMMYFUNCTION("""COMPUTED_VALUE"""),2.0)</f>
        <v>2</v>
      </c>
      <c r="E865" s="29">
        <f>IFERROR(__xludf.DUMMYFUNCTION("""COMPUTED_VALUE"""),44088.54166666667)</f>
        <v>44088.54167</v>
      </c>
      <c r="F865" s="26" t="str">
        <f>IFERROR(__xludf.DUMMYFUNCTION("""COMPUTED_VALUE"""),"5e95be7f18b8ed0c0f5adb36")</f>
        <v>5e95be7f18b8ed0c0f5adb36</v>
      </c>
      <c r="G865" s="26" t="str">
        <f>IFERROR(__xludf.DUMMYFUNCTION("""COMPUTED_VALUE"""),"Frantisek Trusa")</f>
        <v>Frantisek Trusa</v>
      </c>
      <c r="H865" s="26" t="b">
        <v>0</v>
      </c>
    </row>
    <row r="866">
      <c r="A866" s="26" t="str">
        <f>VLOOKUP(B866,'2020 SRED (JIRA) - Issues and l'!$B:$C,2,FALSE)</f>
        <v>insite-workflow-SRED</v>
      </c>
      <c r="B866" s="27" t="str">
        <f>IFERROR(__xludf.DUMMYFUNCTION("""COMPUTED_VALUE"""),"APPS-414")</f>
        <v>APPS-414</v>
      </c>
      <c r="C866" s="26" t="str">
        <f>IFERROR(__xludf.DUMMYFUNCTION("""COMPUTED_VALUE"""),"Create a predetermined task list table for SVT requests.")</f>
        <v>Create a predetermined task list table for SVT requests.</v>
      </c>
      <c r="D866" s="28">
        <f>IFERROR(__xludf.DUMMYFUNCTION("""COMPUTED_VALUE"""),0.25)</f>
        <v>0.25</v>
      </c>
      <c r="E866" s="29">
        <f>IFERROR(__xludf.DUMMYFUNCTION("""COMPUTED_VALUE"""),44088.60416666667)</f>
        <v>44088.60417</v>
      </c>
      <c r="F866" s="26" t="str">
        <f>IFERROR(__xludf.DUMMYFUNCTION("""COMPUTED_VALUE"""),"557058:ed1ddc66-d84d-405c-a815-0fcc6147ba14")</f>
        <v>557058:ed1ddc66-d84d-405c-a815-0fcc6147ba14</v>
      </c>
      <c r="G866" s="26" t="str">
        <f>IFERROR(__xludf.DUMMYFUNCTION("""COMPUTED_VALUE"""),"Mark Corrigan")</f>
        <v>Mark Corrigan</v>
      </c>
      <c r="H866" s="26" t="b">
        <v>0</v>
      </c>
    </row>
    <row r="867" hidden="1">
      <c r="A867" s="26" t="str">
        <f>VLOOKUP(B867,'2020 SRED (JIRA) - Issues and l'!$B:$C,2,FALSE)</f>
        <v>insite-event-SRED</v>
      </c>
      <c r="B867" s="27" t="str">
        <f>IFERROR(__xludf.DUMMYFUNCTION("""COMPUTED_VALUE"""),"ZAPI-136")</f>
        <v>ZAPI-136</v>
      </c>
      <c r="C867" s="26" t="str">
        <f>IFERROR(__xludf.DUMMYFUNCTION("""COMPUTED_VALUE"""),"An error is occurring when webinars are created")</f>
        <v>An error is occurring when webinars are created</v>
      </c>
      <c r="D867" s="28">
        <f>IFERROR(__xludf.DUMMYFUNCTION("""COMPUTED_VALUE"""),2.0)</f>
        <v>2</v>
      </c>
      <c r="E867" s="29">
        <f>IFERROR(__xludf.DUMMYFUNCTION("""COMPUTED_VALUE"""),44088.625)</f>
        <v>44088.625</v>
      </c>
      <c r="F867" s="26" t="str">
        <f>IFERROR(__xludf.DUMMYFUNCTION("""COMPUTED_VALUE"""),"5e95be7f18b8ed0c0f5adb36")</f>
        <v>5e95be7f18b8ed0c0f5adb36</v>
      </c>
      <c r="G867" s="26" t="str">
        <f>IFERROR(__xludf.DUMMYFUNCTION("""COMPUTED_VALUE"""),"Frantisek Trusa")</f>
        <v>Frantisek Trusa</v>
      </c>
      <c r="H867" s="26" t="b">
        <v>0</v>
      </c>
    </row>
    <row r="868" hidden="1">
      <c r="A868" s="26" t="str">
        <f>VLOOKUP(B868,'2020 SRED (JIRA) - Issues and l'!$B:$C,2,FALSE)</f>
        <v>insite-event-SRED</v>
      </c>
      <c r="B868" s="27" t="str">
        <f>IFERROR(__xludf.DUMMYFUNCTION("""COMPUTED_VALUE"""),"ZAPI-147")</f>
        <v>ZAPI-147</v>
      </c>
      <c r="C868" s="26" t="str">
        <f>IFERROR(__xludf.DUMMYFUNCTION("""COMPUTED_VALUE"""),"Deploy web meeting v2 features")</f>
        <v>Deploy web meeting v2 features</v>
      </c>
      <c r="D868" s="28">
        <f>IFERROR(__xludf.DUMMYFUNCTION("""COMPUTED_VALUE"""),1.6)</f>
        <v>1.6</v>
      </c>
      <c r="E868" s="29">
        <f>IFERROR(__xludf.DUMMYFUNCTION("""COMPUTED_VALUE"""),44089.0)</f>
        <v>44089</v>
      </c>
      <c r="F868" s="26" t="str">
        <f>IFERROR(__xludf.DUMMYFUNCTION("""COMPUTED_VALUE"""),"557058:3124a1f0-e92a-405c-93f2-c1d4e621bc77")</f>
        <v>557058:3124a1f0-e92a-405c-93f2-c1d4e621bc77</v>
      </c>
      <c r="G868" s="26" t="str">
        <f>IFERROR(__xludf.DUMMYFUNCTION("""COMPUTED_VALUE"""),"Trevor Coehoorn")</f>
        <v>Trevor Coehoorn</v>
      </c>
      <c r="H868" s="26" t="b">
        <v>0</v>
      </c>
    </row>
    <row r="869" hidden="1">
      <c r="A869" s="26" t="str">
        <f>VLOOKUP(B869,'2020 SRED (JIRA) - Issues and l'!$B:$C,2,FALSE)</f>
        <v>insite-workflow-SRED</v>
      </c>
      <c r="B869" s="27" t="str">
        <f>IFERROR(__xludf.DUMMYFUNCTION("""COMPUTED_VALUE"""),"APPS-414")</f>
        <v>APPS-414</v>
      </c>
      <c r="C869" s="26" t="str">
        <f>IFERROR(__xludf.DUMMYFUNCTION("""COMPUTED_VALUE"""),"Create a predetermined task list table for SVT requests.")</f>
        <v>Create a predetermined task list table for SVT requests.</v>
      </c>
      <c r="D869" s="28">
        <f>IFERROR(__xludf.DUMMYFUNCTION("""COMPUTED_VALUE"""),3.0)</f>
        <v>3</v>
      </c>
      <c r="E869" s="29">
        <f>IFERROR(__xludf.DUMMYFUNCTION("""COMPUTED_VALUE"""),44089.0)</f>
        <v>44089</v>
      </c>
      <c r="F869" s="26" t="str">
        <f>IFERROR(__xludf.DUMMYFUNCTION("""COMPUTED_VALUE"""),"5ee7b6ce868ce30ac49e2521")</f>
        <v>5ee7b6ce868ce30ac49e2521</v>
      </c>
      <c r="G869" s="26" t="str">
        <f>IFERROR(__xludf.DUMMYFUNCTION("""COMPUTED_VALUE"""),"Bryan Le")</f>
        <v>Bryan Le</v>
      </c>
      <c r="H869" s="26" t="b">
        <v>0</v>
      </c>
    </row>
    <row r="870" hidden="1">
      <c r="A870" s="26" t="str">
        <f>VLOOKUP(B870,'2020 SRED (JIRA) - Issues and l'!$B:$C,2,FALSE)</f>
        <v>insite-event-SRED</v>
      </c>
      <c r="B870" s="27" t="str">
        <f>IFERROR(__xludf.DUMMYFUNCTION("""COMPUTED_VALUE"""),"ZAPI-128")</f>
        <v>ZAPI-128</v>
      </c>
      <c r="C870" s="26" t="str">
        <f>IFERROR(__xludf.DUMMYFUNCTION("""COMPUTED_VALUE"""),"As an Impetus staff member, I can view all meetings scheduled via our portal Zoom API on the ‘Impetus Events’ Google Calendar")</f>
        <v>As an Impetus staff member, I can view all meetings scheduled via our portal Zoom API on the ‘Impetus Events’ Google Calendar</v>
      </c>
      <c r="D870" s="28">
        <f>IFERROR(__xludf.DUMMYFUNCTION("""COMPUTED_VALUE"""),0.0666666666666666)</f>
        <v>0.06666666667</v>
      </c>
      <c r="E870" s="29">
        <f>IFERROR(__xludf.DUMMYFUNCTION("""COMPUTED_VALUE"""),44090.0)</f>
        <v>44090</v>
      </c>
      <c r="F870" s="26" t="str">
        <f>IFERROR(__xludf.DUMMYFUNCTION("""COMPUTED_VALUE"""),"557058:3124a1f0-e92a-405c-93f2-c1d4e621bc77")</f>
        <v>557058:3124a1f0-e92a-405c-93f2-c1d4e621bc77</v>
      </c>
      <c r="G870" s="26" t="str">
        <f>IFERROR(__xludf.DUMMYFUNCTION("""COMPUTED_VALUE"""),"Trevor Coehoorn")</f>
        <v>Trevor Coehoorn</v>
      </c>
      <c r="H870" s="26" t="b">
        <v>0</v>
      </c>
    </row>
    <row r="871" hidden="1">
      <c r="A871" s="26" t="str">
        <f>VLOOKUP(B871,'2020 SRED (JIRA) - Issues and l'!$B:$C,2,FALSE)</f>
        <v>insite-event-SRED</v>
      </c>
      <c r="B871" s="27" t="str">
        <f>IFERROR(__xludf.DUMMYFUNCTION("""COMPUTED_VALUE"""),"ZAPI-147")</f>
        <v>ZAPI-147</v>
      </c>
      <c r="C871" s="26" t="str">
        <f>IFERROR(__xludf.DUMMYFUNCTION("""COMPUTED_VALUE"""),"Deploy web meeting v2 features")</f>
        <v>Deploy web meeting v2 features</v>
      </c>
      <c r="D871" s="28">
        <f>IFERROR(__xludf.DUMMYFUNCTION("""COMPUTED_VALUE"""),1.71666666666666)</f>
        <v>1.716666667</v>
      </c>
      <c r="E871" s="29">
        <f>IFERROR(__xludf.DUMMYFUNCTION("""COMPUTED_VALUE"""),44090.0)</f>
        <v>44090</v>
      </c>
      <c r="F871" s="26" t="str">
        <f>IFERROR(__xludf.DUMMYFUNCTION("""COMPUTED_VALUE"""),"557058:3124a1f0-e92a-405c-93f2-c1d4e621bc77")</f>
        <v>557058:3124a1f0-e92a-405c-93f2-c1d4e621bc77</v>
      </c>
      <c r="G871" s="26" t="str">
        <f>IFERROR(__xludf.DUMMYFUNCTION("""COMPUTED_VALUE"""),"Trevor Coehoorn")</f>
        <v>Trevor Coehoorn</v>
      </c>
      <c r="H871" s="26" t="b">
        <v>0</v>
      </c>
    </row>
    <row r="872" hidden="1">
      <c r="A872" s="26" t="str">
        <f>VLOOKUP(B872,'2020 SRED (JIRA) - Issues and l'!$B:$C,2,FALSE)</f>
        <v>insite-event-SRED</v>
      </c>
      <c r="B872" s="27" t="str">
        <f>IFERROR(__xludf.DUMMYFUNCTION("""COMPUTED_VALUE"""),"ZAPI-61")</f>
        <v>ZAPI-61</v>
      </c>
      <c r="C872" s="26" t="str">
        <f>IFERROR(__xludf.DUMMYFUNCTION("""COMPUTED_VALUE"""),"As an Impetus staff member, I can view all scheduled client meetings, dry runs, etc. and their meeting IDs, portal links to join, Impetus resources, etc.")</f>
        <v>As an Impetus staff member, I can view all scheduled client meetings, dry runs, etc. and their meeting IDs, portal links to join, Impetus resources, etc.</v>
      </c>
      <c r="D872" s="28">
        <f>IFERROR(__xludf.DUMMYFUNCTION("""COMPUTED_VALUE"""),2.5)</f>
        <v>2.5</v>
      </c>
      <c r="E872" s="29">
        <f>IFERROR(__xludf.DUMMYFUNCTION("""COMPUTED_VALUE"""),44090.54166666667)</f>
        <v>44090.54167</v>
      </c>
      <c r="F872" s="26" t="str">
        <f>IFERROR(__xludf.DUMMYFUNCTION("""COMPUTED_VALUE"""),"5e95be7f18b8ed0c0f5adb36")</f>
        <v>5e95be7f18b8ed0c0f5adb36</v>
      </c>
      <c r="G872" s="26" t="str">
        <f>IFERROR(__xludf.DUMMYFUNCTION("""COMPUTED_VALUE"""),"Frantisek Trusa")</f>
        <v>Frantisek Trusa</v>
      </c>
      <c r="H872" s="26" t="b">
        <v>0</v>
      </c>
    </row>
    <row r="873" hidden="1">
      <c r="A873" s="26" t="str">
        <f>VLOOKUP(B873,'2020 SRED (JIRA) - Issues and l'!$B:$C,2,FALSE)</f>
        <v>insite-event-SRED</v>
      </c>
      <c r="B873" s="27" t="str">
        <f>IFERROR(__xludf.DUMMYFUNCTION("""COMPUTED_VALUE"""),"ZAPI-132")</f>
        <v>ZAPI-132</v>
      </c>
      <c r="C873" s="26" t="str">
        <f>IFERROR(__xludf.DUMMYFUNCTION("""COMPUTED_VALUE"""),"Update the web meeting registration pane title and description")</f>
        <v>Update the web meeting registration pane title and description</v>
      </c>
      <c r="D873" s="28">
        <f>IFERROR(__xludf.DUMMYFUNCTION("""COMPUTED_VALUE"""),0.5)</f>
        <v>0.5</v>
      </c>
      <c r="E873" s="29">
        <f>IFERROR(__xludf.DUMMYFUNCTION("""COMPUTED_VALUE"""),44090.64583333333)</f>
        <v>44090.64583</v>
      </c>
      <c r="F873" s="26" t="str">
        <f>IFERROR(__xludf.DUMMYFUNCTION("""COMPUTED_VALUE"""),"5e95be7f18b8ed0c0f5adb36")</f>
        <v>5e95be7f18b8ed0c0f5adb36</v>
      </c>
      <c r="G873" s="26" t="str">
        <f>IFERROR(__xludf.DUMMYFUNCTION("""COMPUTED_VALUE"""),"Frantisek Trusa")</f>
        <v>Frantisek Trusa</v>
      </c>
      <c r="H873" s="26" t="b">
        <v>0</v>
      </c>
    </row>
    <row r="874" hidden="1">
      <c r="A874" s="26" t="str">
        <f>VLOOKUP(B874,'2020 SRED (JIRA) - Issues and l'!$B:$C,2,FALSE)</f>
        <v>insite-event-SRED</v>
      </c>
      <c r="B874" s="27" t="str">
        <f>IFERROR(__xludf.DUMMYFUNCTION("""COMPUTED_VALUE"""),"ZAPI-135")</f>
        <v>ZAPI-135</v>
      </c>
      <c r="C874" s="26" t="str">
        <f>IFERROR(__xludf.DUMMYFUNCTION("""COMPUTED_VALUE"""),"Make meeting registration approval link easier to understand")</f>
        <v>Make meeting registration approval link easier to understand</v>
      </c>
      <c r="D874" s="28">
        <f>IFERROR(__xludf.DUMMYFUNCTION("""COMPUTED_VALUE"""),0.5)</f>
        <v>0.5</v>
      </c>
      <c r="E874" s="29">
        <f>IFERROR(__xludf.DUMMYFUNCTION("""COMPUTED_VALUE"""),44090.66666666667)</f>
        <v>44090.66667</v>
      </c>
      <c r="F874" s="26" t="str">
        <f>IFERROR(__xludf.DUMMYFUNCTION("""COMPUTED_VALUE"""),"5e95be7f18b8ed0c0f5adb36")</f>
        <v>5e95be7f18b8ed0c0f5adb36</v>
      </c>
      <c r="G874" s="26" t="str">
        <f>IFERROR(__xludf.DUMMYFUNCTION("""COMPUTED_VALUE"""),"Frantisek Trusa")</f>
        <v>Frantisek Trusa</v>
      </c>
      <c r="H874" s="26" t="b">
        <v>0</v>
      </c>
    </row>
    <row r="875" hidden="1">
      <c r="A875" s="26" t="str">
        <f>VLOOKUP(B875,'2020 SRED (JIRA) - Issues and l'!$B:$C,2,FALSE)</f>
        <v>insite-event-SRED</v>
      </c>
      <c r="B875" s="27" t="str">
        <f>IFERROR(__xludf.DUMMYFUNCTION("""COMPUTED_VALUE"""),"ZAPI-140")</f>
        <v>ZAPI-140</v>
      </c>
      <c r="C875" s="26" t="str">
        <f>IFERROR(__xludf.DUMMYFUNCTION("""COMPUTED_VALUE"""),"Display ""Zoom is processing the video recording, please try again later"" within recording management fieldset")</f>
        <v>Display "Zoom is processing the video recording, please try again later" within recording management fieldset</v>
      </c>
      <c r="D875" s="28">
        <f>IFERROR(__xludf.DUMMYFUNCTION("""COMPUTED_VALUE"""),0.5)</f>
        <v>0.5</v>
      </c>
      <c r="E875" s="29">
        <f>IFERROR(__xludf.DUMMYFUNCTION("""COMPUTED_VALUE"""),44090.6875)</f>
        <v>44090.6875</v>
      </c>
      <c r="F875" s="26" t="str">
        <f>IFERROR(__xludf.DUMMYFUNCTION("""COMPUTED_VALUE"""),"5e95be7f18b8ed0c0f5adb36")</f>
        <v>5e95be7f18b8ed0c0f5adb36</v>
      </c>
      <c r="G875" s="26" t="str">
        <f>IFERROR(__xludf.DUMMYFUNCTION("""COMPUTED_VALUE"""),"Frantisek Trusa")</f>
        <v>Frantisek Trusa</v>
      </c>
      <c r="H875" s="26" t="b">
        <v>0</v>
      </c>
    </row>
    <row r="876" hidden="1">
      <c r="A876" s="26" t="str">
        <f>VLOOKUP(B876,'2020 SRED (JIRA) - Issues and l'!$B:$C,2,FALSE)</f>
        <v>insite-event-SRED</v>
      </c>
      <c r="B876" s="27" t="str">
        <f>IFERROR(__xludf.DUMMYFUNCTION("""COMPUTED_VALUE"""),"ZAPI-139")</f>
        <v>ZAPI-139</v>
      </c>
      <c r="C876" s="26" t="str">
        <f>IFERROR(__xludf.DUMMYFUNCTION("""COMPUTED_VALUE"""),"Join and leaving time should be in EST timezone")</f>
        <v>Join and leaving time should be in EST timezone</v>
      </c>
      <c r="D876" s="28">
        <f>IFERROR(__xludf.DUMMYFUNCTION("""COMPUTED_VALUE"""),0.25)</f>
        <v>0.25</v>
      </c>
      <c r="E876" s="29">
        <f>IFERROR(__xludf.DUMMYFUNCTION("""COMPUTED_VALUE"""),44091.47916666667)</f>
        <v>44091.47917</v>
      </c>
      <c r="F876" s="26" t="str">
        <f>IFERROR(__xludf.DUMMYFUNCTION("""COMPUTED_VALUE"""),"5ec3f07a5269230c34d51fd3")</f>
        <v>5ec3f07a5269230c34d51fd3</v>
      </c>
      <c r="G876" s="26" t="str">
        <f>IFERROR(__xludf.DUMMYFUNCTION("""COMPUTED_VALUE"""),"Nikita Kuzmin")</f>
        <v>Nikita Kuzmin</v>
      </c>
      <c r="H876" s="26" t="b">
        <v>0</v>
      </c>
    </row>
    <row r="877" hidden="1">
      <c r="A877" s="26" t="str">
        <f>VLOOKUP(B877,'2020 SRED (JIRA) - Issues and l'!$B:$C,2,FALSE)</f>
        <v>insite-event-SRED</v>
      </c>
      <c r="B877" s="27" t="str">
        <f>IFERROR(__xludf.DUMMYFUNCTION("""COMPUTED_VALUE"""),"ZAPI-65")</f>
        <v>ZAPI-65</v>
      </c>
      <c r="C877" s="26" t="str">
        <f>IFERROR(__xludf.DUMMYFUNCTION("""COMPUTED_VALUE"""),"Prevent users from trying to add more than 25 polls")</f>
        <v>Prevent users from trying to add more than 25 polls</v>
      </c>
      <c r="D877" s="28">
        <f>IFERROR(__xludf.DUMMYFUNCTION("""COMPUTED_VALUE"""),2.0)</f>
        <v>2</v>
      </c>
      <c r="E877" s="29">
        <f>IFERROR(__xludf.DUMMYFUNCTION("""COMPUTED_VALUE"""),44091.625)</f>
        <v>44091.625</v>
      </c>
      <c r="F877" s="26" t="str">
        <f>IFERROR(__xludf.DUMMYFUNCTION("""COMPUTED_VALUE"""),"5e95be7f18b8ed0c0f5adb36")</f>
        <v>5e95be7f18b8ed0c0f5adb36</v>
      </c>
      <c r="G877" s="26" t="str">
        <f>IFERROR(__xludf.DUMMYFUNCTION("""COMPUTED_VALUE"""),"Frantisek Trusa")</f>
        <v>Frantisek Trusa</v>
      </c>
      <c r="H877" s="26" t="b">
        <v>0</v>
      </c>
    </row>
    <row r="878" hidden="1">
      <c r="A878" s="26" t="str">
        <f>VLOOKUP(B878,'2020 SRED (JIRA) - Issues and l'!$B:$C,2,FALSE)</f>
        <v>insite-event-SRED</v>
      </c>
      <c r="B878" s="27" t="str">
        <f>IFERROR(__xludf.DUMMYFUNCTION("""COMPUTED_VALUE"""),"ZAPI-124")</f>
        <v>ZAPI-124</v>
      </c>
      <c r="C878" s="26" t="str">
        <f>IFERROR(__xludf.DUMMYFUNCTION("""COMPUTED_VALUE"""),"Refresh the videos table when a video is saved")</f>
        <v>Refresh the videos table when a video is saved</v>
      </c>
      <c r="D878" s="28">
        <f>IFERROR(__xludf.DUMMYFUNCTION("""COMPUTED_VALUE"""),2.0)</f>
        <v>2</v>
      </c>
      <c r="E878" s="29">
        <f>IFERROR(__xludf.DUMMYFUNCTION("""COMPUTED_VALUE"""),44091.625)</f>
        <v>44091.625</v>
      </c>
      <c r="F878" s="26" t="str">
        <f>IFERROR(__xludf.DUMMYFUNCTION("""COMPUTED_VALUE"""),"5e95be7f18b8ed0c0f5adb36")</f>
        <v>5e95be7f18b8ed0c0f5adb36</v>
      </c>
      <c r="G878" s="26" t="str">
        <f>IFERROR(__xludf.DUMMYFUNCTION("""COMPUTED_VALUE"""),"Frantisek Trusa")</f>
        <v>Frantisek Trusa</v>
      </c>
      <c r="H878" s="26" t="b">
        <v>0</v>
      </c>
    </row>
    <row r="879" hidden="1">
      <c r="A879" s="26" t="str">
        <f>VLOOKUP(B879,'2020 SRED (JIRA) - Issues and l'!$B:$C,2,FALSE)</f>
        <v>insite-event-SRED</v>
      </c>
      <c r="B879" s="27" t="str">
        <f>IFERROR(__xludf.DUMMYFUNCTION("""COMPUTED_VALUE"""),"ZAPI-123")</f>
        <v>ZAPI-123</v>
      </c>
      <c r="C879" s="26" t="str">
        <f>IFERROR(__xludf.DUMMYFUNCTION("""COMPUTED_VALUE"""),"Create a ""Submit button label"" field on the panel form with default value ""Register""")</f>
        <v>Create a "Submit button label" field on the panel form with default value "Register"</v>
      </c>
      <c r="D879" s="28">
        <f>IFERROR(__xludf.DUMMYFUNCTION("""COMPUTED_VALUE"""),0.383333333333333)</f>
        <v>0.3833333333</v>
      </c>
      <c r="E879" s="29">
        <f>IFERROR(__xludf.DUMMYFUNCTION("""COMPUTED_VALUE"""),44092.0)</f>
        <v>44092</v>
      </c>
      <c r="F879" s="26" t="str">
        <f>IFERROR(__xludf.DUMMYFUNCTION("""COMPUTED_VALUE"""),"557058:3124a1f0-e92a-405c-93f2-c1d4e621bc77")</f>
        <v>557058:3124a1f0-e92a-405c-93f2-c1d4e621bc77</v>
      </c>
      <c r="G879" s="26" t="str">
        <f>IFERROR(__xludf.DUMMYFUNCTION("""COMPUTED_VALUE"""),"Trevor Coehoorn")</f>
        <v>Trevor Coehoorn</v>
      </c>
      <c r="H879" s="26" t="b">
        <v>0</v>
      </c>
    </row>
    <row r="880" hidden="1">
      <c r="A880" s="26" t="str">
        <f>VLOOKUP(B880,'2020 SRED (JIRA) - Issues and l'!$B:$C,2,FALSE)</f>
        <v>insite-event-SRED</v>
      </c>
      <c r="B880" s="27" t="str">
        <f>IFERROR(__xludf.DUMMYFUNCTION("""COMPUTED_VALUE"""),"ZAPI-87")</f>
        <v>ZAPI-87</v>
      </c>
      <c r="C880" s="26" t="str">
        <f>IFERROR(__xludf.DUMMYFUNCTION("""COMPUTED_VALUE"""),"After a meeting has already been started by an admin, change the ""Start meeting"" button label for other admins to ""Join meeting in progress"" ")</f>
        <v>After a meeting has already been started by an admin, change the "Start meeting" button label for other admins to "Join meeting in progress" </v>
      </c>
      <c r="D880" s="28">
        <f>IFERROR(__xludf.DUMMYFUNCTION("""COMPUTED_VALUE"""),0.283333333333333)</f>
        <v>0.2833333333</v>
      </c>
      <c r="E880" s="29">
        <f>IFERROR(__xludf.DUMMYFUNCTION("""COMPUTED_VALUE"""),44092.0)</f>
        <v>44092</v>
      </c>
      <c r="F880" s="26" t="str">
        <f>IFERROR(__xludf.DUMMYFUNCTION("""COMPUTED_VALUE"""),"557058:3124a1f0-e92a-405c-93f2-c1d4e621bc77")</f>
        <v>557058:3124a1f0-e92a-405c-93f2-c1d4e621bc77</v>
      </c>
      <c r="G880" s="26" t="str">
        <f>IFERROR(__xludf.DUMMYFUNCTION("""COMPUTED_VALUE"""),"Trevor Coehoorn")</f>
        <v>Trevor Coehoorn</v>
      </c>
      <c r="H880" s="26" t="b">
        <v>0</v>
      </c>
    </row>
    <row r="881" hidden="1">
      <c r="A881" s="26" t="str">
        <f>VLOOKUP(B881,'2020 SRED (JIRA) - Issues and l'!$B:$C,2,FALSE)</f>
        <v>insite-event-SRED</v>
      </c>
      <c r="B881" s="27" t="str">
        <f>IFERROR(__xludf.DUMMYFUNCTION("""COMPUTED_VALUE"""),"ZAPI-86")</f>
        <v>ZAPI-86</v>
      </c>
      <c r="C881" s="26" t="str">
        <f>IFERROR(__xludf.DUMMYFUNCTION("""COMPUTED_VALUE"""),"Zoom API v2.2 (Cleanup) 🧹")</f>
        <v>Zoom API v2.2 (Cleanup) 🧹</v>
      </c>
      <c r="D881" s="28">
        <f>IFERROR(__xludf.DUMMYFUNCTION("""COMPUTED_VALUE"""),0.533333333333333)</f>
        <v>0.5333333333</v>
      </c>
      <c r="E881" s="29">
        <f>IFERROR(__xludf.DUMMYFUNCTION("""COMPUTED_VALUE"""),44092.0)</f>
        <v>44092</v>
      </c>
      <c r="F881" s="26" t="str">
        <f>IFERROR(__xludf.DUMMYFUNCTION("""COMPUTED_VALUE"""),"557058:3124a1f0-e92a-405c-93f2-c1d4e621bc77")</f>
        <v>557058:3124a1f0-e92a-405c-93f2-c1d4e621bc77</v>
      </c>
      <c r="G881" s="26" t="str">
        <f>IFERROR(__xludf.DUMMYFUNCTION("""COMPUTED_VALUE"""),"Trevor Coehoorn")</f>
        <v>Trevor Coehoorn</v>
      </c>
      <c r="H881" s="26" t="b">
        <v>0</v>
      </c>
    </row>
    <row r="882" hidden="1">
      <c r="A882" s="26" t="str">
        <f>VLOOKUP(B882,'2020 SRED (JIRA) - Issues and l'!$B:$C,2,FALSE)</f>
        <v>insite-event-SRED</v>
      </c>
      <c r="B882" s="27" t="str">
        <f>IFERROR(__xludf.DUMMYFUNCTION("""COMPUTED_VALUE"""),"ZAPI-61")</f>
        <v>ZAPI-61</v>
      </c>
      <c r="C882" s="26" t="str">
        <f>IFERROR(__xludf.DUMMYFUNCTION("""COMPUTED_VALUE"""),"As an Impetus staff member, I can view all scheduled client meetings, dry runs, etc. and their meeting IDs, portal links to join, Impetus resources, etc.")</f>
        <v>As an Impetus staff member, I can view all scheduled client meetings, dry runs, etc. and their meeting IDs, portal links to join, Impetus resources, etc.</v>
      </c>
      <c r="D882" s="28">
        <f>IFERROR(__xludf.DUMMYFUNCTION("""COMPUTED_VALUE"""),4.0)</f>
        <v>4</v>
      </c>
      <c r="E882" s="29">
        <f>IFERROR(__xludf.DUMMYFUNCTION("""COMPUTED_VALUE"""),44092.54166666667)</f>
        <v>44092.54167</v>
      </c>
      <c r="F882" s="26" t="str">
        <f>IFERROR(__xludf.DUMMYFUNCTION("""COMPUTED_VALUE"""),"5e95be7f18b8ed0c0f5adb36")</f>
        <v>5e95be7f18b8ed0c0f5adb36</v>
      </c>
      <c r="G882" s="26" t="str">
        <f>IFERROR(__xludf.DUMMYFUNCTION("""COMPUTED_VALUE"""),"Frantisek Trusa")</f>
        <v>Frantisek Trusa</v>
      </c>
      <c r="H882" s="26" t="b">
        <v>0</v>
      </c>
    </row>
    <row r="883" hidden="1">
      <c r="A883" s="26" t="str">
        <f>VLOOKUP(B883,'2020 SRED (JIRA) - Issues and l'!$B:$C,2,FALSE)</f>
        <v>insite-workflow-SRED</v>
      </c>
      <c r="B883" s="27" t="str">
        <f>IFERROR(__xludf.DUMMYFUNCTION("""COMPUTED_VALUE"""),"APPS-132")</f>
        <v>APPS-132</v>
      </c>
      <c r="C883" s="26" t="str">
        <f>IFERROR(__xludf.DUMMYFUNCTION("""COMPUTED_VALUE"""),"[Old] As a project manager, I can set up a new project based on a final proposal")</f>
        <v>[Old] As a project manager, I can set up a new project based on a final proposal</v>
      </c>
      <c r="D883" s="28">
        <f>IFERROR(__xludf.DUMMYFUNCTION("""COMPUTED_VALUE"""),7.0)</f>
        <v>7</v>
      </c>
      <c r="E883" s="29">
        <f>IFERROR(__xludf.DUMMYFUNCTION("""COMPUTED_VALUE"""),44095.0)</f>
        <v>44095</v>
      </c>
      <c r="F883" s="26" t="str">
        <f>IFERROR(__xludf.DUMMYFUNCTION("""COMPUTED_VALUE"""),"5ee7b6ce868ce30ac49e2521")</f>
        <v>5ee7b6ce868ce30ac49e2521</v>
      </c>
      <c r="G883" s="26" t="str">
        <f>IFERROR(__xludf.DUMMYFUNCTION("""COMPUTED_VALUE"""),"Bryan Le")</f>
        <v>Bryan Le</v>
      </c>
      <c r="H883" s="26" t="b">
        <v>0</v>
      </c>
    </row>
    <row r="884" hidden="1">
      <c r="A884" s="26" t="str">
        <f>VLOOKUP(B884,'2020 SRED (JIRA) - Issues and l'!$B:$C,2,FALSE)</f>
        <v>insite-workflow-SRED</v>
      </c>
      <c r="B884" s="27" t="str">
        <f>IFERROR(__xludf.DUMMYFUNCTION("""COMPUTED_VALUE"""),"APPS-460")</f>
        <v>APPS-460</v>
      </c>
      <c r="C884" s="26" t="str">
        <f>IFERROR(__xludf.DUMMYFUNCTION("""COMPUTED_VALUE"""),"Changes to sales opportunity details view")</f>
        <v>Changes to sales opportunity details view</v>
      </c>
      <c r="D884" s="28">
        <f>IFERROR(__xludf.DUMMYFUNCTION("""COMPUTED_VALUE"""),7.0)</f>
        <v>7</v>
      </c>
      <c r="E884" s="29">
        <f>IFERROR(__xludf.DUMMYFUNCTION("""COMPUTED_VALUE"""),44095.0)</f>
        <v>44095</v>
      </c>
      <c r="F884" s="26" t="str">
        <f>IFERROR(__xludf.DUMMYFUNCTION("""COMPUTED_VALUE"""),"5ee7b6cf02b4400ac4b65399")</f>
        <v>5ee7b6cf02b4400ac4b65399</v>
      </c>
      <c r="G884" s="26" t="str">
        <f>IFERROR(__xludf.DUMMYFUNCTION("""COMPUTED_VALUE"""),"Jessica Obando")</f>
        <v>Jessica Obando</v>
      </c>
      <c r="H884" s="26" t="b">
        <v>0</v>
      </c>
    </row>
    <row r="885" hidden="1">
      <c r="A885" s="26" t="str">
        <f>VLOOKUP(B885,'2020 SRED (JIRA) - Issues and l'!$B:$C,2,FALSE)</f>
        <v>insite-event-SRED</v>
      </c>
      <c r="B885" s="27" t="str">
        <f>IFERROR(__xludf.DUMMYFUNCTION("""COMPUTED_VALUE"""),"ZAPI-155")</f>
        <v>ZAPI-155</v>
      </c>
      <c r="C885" s="26" t="str">
        <f>IFERROR(__xludf.DUMMYFUNCTION("""COMPUTED_VALUE"""),"As an authenticated user, I can register for meetings")</f>
        <v>As an authenticated user, I can register for meetings</v>
      </c>
      <c r="D885" s="28">
        <f>IFERROR(__xludf.DUMMYFUNCTION("""COMPUTED_VALUE"""),0.166666666666666)</f>
        <v>0.1666666667</v>
      </c>
      <c r="E885" s="29">
        <f>IFERROR(__xludf.DUMMYFUNCTION("""COMPUTED_VALUE"""),44096.0)</f>
        <v>44096</v>
      </c>
      <c r="F885" s="26" t="str">
        <f>IFERROR(__xludf.DUMMYFUNCTION("""COMPUTED_VALUE"""),"557058:3124a1f0-e92a-405c-93f2-c1d4e621bc77")</f>
        <v>557058:3124a1f0-e92a-405c-93f2-c1d4e621bc77</v>
      </c>
      <c r="G885" s="26" t="str">
        <f>IFERROR(__xludf.DUMMYFUNCTION("""COMPUTED_VALUE"""),"Trevor Coehoorn")</f>
        <v>Trevor Coehoorn</v>
      </c>
      <c r="H885" s="26" t="b">
        <v>0</v>
      </c>
    </row>
    <row r="886">
      <c r="A886" s="26" t="str">
        <f>VLOOKUP(B886,'2020 SRED (JIRA) - Issues and l'!$B:$C,2,FALSE)</f>
        <v>insite-workflow-SRED</v>
      </c>
      <c r="B886" s="27" t="str">
        <f>IFERROR(__xludf.DUMMYFUNCTION("""COMPUTED_VALUE"""),"APPS-508")</f>
        <v>APPS-508</v>
      </c>
      <c r="C886" s="26" t="str">
        <f>IFERROR(__xludf.DUMMYFUNCTION("""COMPUTED_VALUE"""),"Calculating additional fees for duration and participants")</f>
        <v>Calculating additional fees for duration and participants</v>
      </c>
      <c r="D886" s="28">
        <f>IFERROR(__xludf.DUMMYFUNCTION("""COMPUTED_VALUE"""),0.25)</f>
        <v>0.25</v>
      </c>
      <c r="E886" s="29">
        <f>IFERROR(__xludf.DUMMYFUNCTION("""COMPUTED_VALUE"""),44096.0)</f>
        <v>44096</v>
      </c>
      <c r="F886" s="26" t="str">
        <f>IFERROR(__xludf.DUMMYFUNCTION("""COMPUTED_VALUE"""),"557058:ed1ddc66-d84d-405c-a815-0fcc6147ba14")</f>
        <v>557058:ed1ddc66-d84d-405c-a815-0fcc6147ba14</v>
      </c>
      <c r="G886" s="26" t="str">
        <f>IFERROR(__xludf.DUMMYFUNCTION("""COMPUTED_VALUE"""),"Mark Corrigan")</f>
        <v>Mark Corrigan</v>
      </c>
      <c r="H886" s="26" t="b">
        <v>0</v>
      </c>
    </row>
    <row r="887">
      <c r="A887" s="26" t="str">
        <f>VLOOKUP(B887,'2020 SRED (JIRA) - Issues and l'!$B:$C,2,FALSE)</f>
        <v>insite-event-SRED</v>
      </c>
      <c r="B887" s="27" t="str">
        <f>IFERROR(__xludf.DUMMYFUNCTION("""COMPUTED_VALUE"""),"PDP-242")</f>
        <v>PDP-242</v>
      </c>
      <c r="C887" s="26" t="str">
        <f>IFERROR(__xludf.DUMMYFUNCTION("""COMPUTED_VALUE"""),"Research webform component options for tags")</f>
        <v>Research webform component options for tags</v>
      </c>
      <c r="D887" s="28">
        <f>IFERROR(__xludf.DUMMYFUNCTION("""COMPUTED_VALUE"""),0.5)</f>
        <v>0.5</v>
      </c>
      <c r="E887" s="29">
        <f>IFERROR(__xludf.DUMMYFUNCTION("""COMPUTED_VALUE"""),44096.0)</f>
        <v>44096</v>
      </c>
      <c r="F887" s="26" t="str">
        <f>IFERROR(__xludf.DUMMYFUNCTION("""COMPUTED_VALUE"""),"557058:ed1ddc66-d84d-405c-a815-0fcc6147ba14")</f>
        <v>557058:ed1ddc66-d84d-405c-a815-0fcc6147ba14</v>
      </c>
      <c r="G887" s="26" t="str">
        <f>IFERROR(__xludf.DUMMYFUNCTION("""COMPUTED_VALUE"""),"Mark Corrigan")</f>
        <v>Mark Corrigan</v>
      </c>
      <c r="H887" s="26" t="b">
        <v>0</v>
      </c>
    </row>
    <row r="888">
      <c r="A888" s="26" t="str">
        <f>VLOOKUP(B888,'2020 SRED (JIRA) - Issues and l'!$B:$C,2,FALSE)</f>
        <v>insite-workflow-SRED</v>
      </c>
      <c r="B888" s="27" t="str">
        <f>IFERROR(__xludf.DUMMYFUNCTION("""COMPUTED_VALUE"""),"APPS-435")</f>
        <v>APPS-435</v>
      </c>
      <c r="C888" s="26" t="str">
        <f>IFERROR(__xludf.DUMMYFUNCTION("""COMPUTED_VALUE"""),"Troubleshoot AppSheet iframe not showing in Safari")</f>
        <v>Troubleshoot AppSheet iframe not showing in Safari</v>
      </c>
      <c r="D888" s="28">
        <f>IFERROR(__xludf.DUMMYFUNCTION("""COMPUTED_VALUE"""),0.5)</f>
        <v>0.5</v>
      </c>
      <c r="E888" s="29">
        <f>IFERROR(__xludf.DUMMYFUNCTION("""COMPUTED_VALUE"""),44096.0)</f>
        <v>44096</v>
      </c>
      <c r="F888" s="26" t="str">
        <f>IFERROR(__xludf.DUMMYFUNCTION("""COMPUTED_VALUE"""),"557058:ed1ddc66-d84d-405c-a815-0fcc6147ba14")</f>
        <v>557058:ed1ddc66-d84d-405c-a815-0fcc6147ba14</v>
      </c>
      <c r="G888" s="26" t="str">
        <f>IFERROR(__xludf.DUMMYFUNCTION("""COMPUTED_VALUE"""),"Mark Corrigan")</f>
        <v>Mark Corrigan</v>
      </c>
      <c r="H888" s="26" t="b">
        <v>0</v>
      </c>
    </row>
    <row r="889" hidden="1">
      <c r="A889" s="26" t="str">
        <f>VLOOKUP(B889,'2020 SRED (JIRA) - Issues and l'!$B:$C,2,FALSE)</f>
        <v>insite-workflow-SRED</v>
      </c>
      <c r="B889" s="27" t="str">
        <f>IFERROR(__xludf.DUMMYFUNCTION("""COMPUTED_VALUE"""),"APPS-435")</f>
        <v>APPS-435</v>
      </c>
      <c r="C889" s="26" t="str">
        <f>IFERROR(__xludf.DUMMYFUNCTION("""COMPUTED_VALUE"""),"Troubleshoot AppSheet iframe not showing in Safari")</f>
        <v>Troubleshoot AppSheet iframe not showing in Safari</v>
      </c>
      <c r="D889" s="28">
        <f>IFERROR(__xludf.DUMMYFUNCTION("""COMPUTED_VALUE"""),7.0)</f>
        <v>7</v>
      </c>
      <c r="E889" s="29">
        <f>IFERROR(__xludf.DUMMYFUNCTION("""COMPUTED_VALUE"""),44096.0)</f>
        <v>44096</v>
      </c>
      <c r="F889" s="26" t="str">
        <f>IFERROR(__xludf.DUMMYFUNCTION("""COMPUTED_VALUE"""),"5ee7b6cf02b4400ac4b65399")</f>
        <v>5ee7b6cf02b4400ac4b65399</v>
      </c>
      <c r="G889" s="26" t="str">
        <f>IFERROR(__xludf.DUMMYFUNCTION("""COMPUTED_VALUE"""),"Jessica Obando")</f>
        <v>Jessica Obando</v>
      </c>
      <c r="H889" s="26" t="b">
        <v>0</v>
      </c>
    </row>
    <row r="890">
      <c r="A890" s="26" t="str">
        <f>VLOOKUP(B890,'2020 SRED (JIRA) - Issues and l'!$B:$C,2,FALSE)</f>
        <v>insite-workflow-SRED</v>
      </c>
      <c r="B890" s="27" t="str">
        <f>IFERROR(__xludf.DUMMYFUNCTION("""COMPUTED_VALUE"""),"APPS-10")</f>
        <v>APPS-10</v>
      </c>
      <c r="C890" s="26" t="str">
        <f>IFERROR(__xludf.DUMMYFUNCTION("""COMPUTED_VALUE"""),"Sales Pipeline app (v1)")</f>
        <v>Sales Pipeline app (v1)</v>
      </c>
      <c r="D890" s="28">
        <f>IFERROR(__xludf.DUMMYFUNCTION("""COMPUTED_VALUE"""),0.5)</f>
        <v>0.5</v>
      </c>
      <c r="E890" s="29">
        <f>IFERROR(__xludf.DUMMYFUNCTION("""COMPUTED_VALUE"""),44097.0)</f>
        <v>44097</v>
      </c>
      <c r="F890" s="26" t="str">
        <f>IFERROR(__xludf.DUMMYFUNCTION("""COMPUTED_VALUE"""),"557058:ed1ddc66-d84d-405c-a815-0fcc6147ba14")</f>
        <v>557058:ed1ddc66-d84d-405c-a815-0fcc6147ba14</v>
      </c>
      <c r="G890" s="26" t="str">
        <f>IFERROR(__xludf.DUMMYFUNCTION("""COMPUTED_VALUE"""),"Mark Corrigan")</f>
        <v>Mark Corrigan</v>
      </c>
      <c r="H890" s="26" t="b">
        <v>0</v>
      </c>
    </row>
    <row r="891">
      <c r="A891" s="26" t="str">
        <f>VLOOKUP(B891,'2020 SRED (JIRA) - Issues and l'!$B:$C,2,FALSE)</f>
        <v>insite-workflow-SRED</v>
      </c>
      <c r="B891" s="27" t="str">
        <f>IFERROR(__xludf.DUMMYFUNCTION("""COMPUTED_VALUE"""),"APPS-461")</f>
        <v>APPS-461</v>
      </c>
      <c r="C891" s="26" t="str">
        <f>IFERROR(__xludf.DUMMYFUNCTION("""COMPUTED_VALUE"""),"Migrate from prototype app to Sales Pipeline")</f>
        <v>Migrate from prototype app to Sales Pipeline</v>
      </c>
      <c r="D891" s="28">
        <f>IFERROR(__xludf.DUMMYFUNCTION("""COMPUTED_VALUE"""),0.5)</f>
        <v>0.5</v>
      </c>
      <c r="E891" s="29">
        <f>IFERROR(__xludf.DUMMYFUNCTION("""COMPUTED_VALUE"""),44097.0)</f>
        <v>44097</v>
      </c>
      <c r="F891" s="26" t="str">
        <f>IFERROR(__xludf.DUMMYFUNCTION("""COMPUTED_VALUE"""),"557058:ed1ddc66-d84d-405c-a815-0fcc6147ba14")</f>
        <v>557058:ed1ddc66-d84d-405c-a815-0fcc6147ba14</v>
      </c>
      <c r="G891" s="26" t="str">
        <f>IFERROR(__xludf.DUMMYFUNCTION("""COMPUTED_VALUE"""),"Mark Corrigan")</f>
        <v>Mark Corrigan</v>
      </c>
      <c r="H891" s="26" t="b">
        <v>0</v>
      </c>
    </row>
    <row r="892" hidden="1">
      <c r="A892" s="26" t="str">
        <f>VLOOKUP(B892,'2020 SRED (JIRA) - Issues and l'!$B:$C,2,FALSE)</f>
        <v>insite-workflow-SRED</v>
      </c>
      <c r="B892" s="27" t="str">
        <f>IFERROR(__xludf.DUMMYFUNCTION("""COMPUTED_VALUE"""),"APPS-465")</f>
        <v>APPS-465</v>
      </c>
      <c r="C892" s="26" t="str">
        <f>IFERROR(__xludf.DUMMYFUNCTION("""COMPUTED_VALUE"""),"Do a test of an email download and then ask kirsti if she received it to outreach and after she approves it , verify if i have received download ")</f>
        <v>Do a test of an email download and then ask kirsti if she received it to outreach and after she approves it , verify if i have received download </v>
      </c>
      <c r="D892" s="28">
        <f>IFERROR(__xludf.DUMMYFUNCTION("""COMPUTED_VALUE"""),7.0)</f>
        <v>7</v>
      </c>
      <c r="E892" s="29">
        <f>IFERROR(__xludf.DUMMYFUNCTION("""COMPUTED_VALUE"""),44097.0)</f>
        <v>44097</v>
      </c>
      <c r="F892" s="26" t="str">
        <f>IFERROR(__xludf.DUMMYFUNCTION("""COMPUTED_VALUE"""),"5ee7b6cf02b4400ac4b65399")</f>
        <v>5ee7b6cf02b4400ac4b65399</v>
      </c>
      <c r="G892" s="26" t="str">
        <f>IFERROR(__xludf.DUMMYFUNCTION("""COMPUTED_VALUE"""),"Jessica Obando")</f>
        <v>Jessica Obando</v>
      </c>
      <c r="H892" s="26" t="b">
        <v>0</v>
      </c>
    </row>
    <row r="893" hidden="1">
      <c r="A893" s="26" t="str">
        <f>VLOOKUP(B893,'2020 SRED (JIRA) - Issues and l'!$B:$C,2,FALSE)</f>
        <v>insite-event-SRED</v>
      </c>
      <c r="B893" s="27" t="str">
        <f>IFERROR(__xludf.DUMMYFUNCTION("""COMPUTED_VALUE"""),"PDP-242")</f>
        <v>PDP-242</v>
      </c>
      <c r="C893" s="26" t="str">
        <f>IFERROR(__xludf.DUMMYFUNCTION("""COMPUTED_VALUE"""),"Research webform component options for tags")</f>
        <v>Research webform component options for tags</v>
      </c>
      <c r="D893" s="28">
        <f>IFERROR(__xludf.DUMMYFUNCTION("""COMPUTED_VALUE"""),0.116666666666666)</f>
        <v>0.1166666667</v>
      </c>
      <c r="E893" s="29">
        <f>IFERROR(__xludf.DUMMYFUNCTION("""COMPUTED_VALUE"""),44097.46666666667)</f>
        <v>44097.46667</v>
      </c>
      <c r="F893" s="26" t="str">
        <f>IFERROR(__xludf.DUMMYFUNCTION("""COMPUTED_VALUE"""),"557058:3124a1f0-e92a-405c-93f2-c1d4e621bc77")</f>
        <v>557058:3124a1f0-e92a-405c-93f2-c1d4e621bc77</v>
      </c>
      <c r="G893" s="26" t="str">
        <f>IFERROR(__xludf.DUMMYFUNCTION("""COMPUTED_VALUE"""),"Trevor Coehoorn")</f>
        <v>Trevor Coehoorn</v>
      </c>
      <c r="H893" s="26" t="b">
        <v>0</v>
      </c>
    </row>
    <row r="894" hidden="1">
      <c r="A894" s="26" t="str">
        <f>VLOOKUP(B894,'2020 SRED (JIRA) - Issues and l'!$B:$C,2,FALSE)</f>
        <v>portal-builder-SRED</v>
      </c>
      <c r="B894" s="27" t="str">
        <f>IFERROR(__xludf.DUMMYFUNCTION("""COMPUTED_VALUE"""),"ITP-1873")</f>
        <v>ITP-1873</v>
      </c>
      <c r="C894" s="26" t="str">
        <f>IFERROR(__xludf.DUMMYFUNCTION("""COMPUTED_VALUE"""),"Remove the previous submissions link from submitted webform pages")</f>
        <v>Remove the previous submissions link from submitted webform pages</v>
      </c>
      <c r="D894" s="28">
        <f>IFERROR(__xludf.DUMMYFUNCTION("""COMPUTED_VALUE"""),0.5)</f>
        <v>0.5</v>
      </c>
      <c r="E894" s="29">
        <f>IFERROR(__xludf.DUMMYFUNCTION("""COMPUTED_VALUE"""),44097.6875)</f>
        <v>44097.6875</v>
      </c>
      <c r="F894" s="26" t="str">
        <f>IFERROR(__xludf.DUMMYFUNCTION("""COMPUTED_VALUE"""),"5f5125a6333edb00434bffaf")</f>
        <v>5f5125a6333edb00434bffaf</v>
      </c>
      <c r="G894" s="26" t="str">
        <f>IFERROR(__xludf.DUMMYFUNCTION("""COMPUTED_VALUE"""),"Terry Waldner")</f>
        <v>Terry Waldner</v>
      </c>
      <c r="H894" s="26" t="b">
        <v>0</v>
      </c>
    </row>
    <row r="895">
      <c r="A895" s="26" t="str">
        <f>VLOOKUP(B895,'2020 SRED (JIRA) - Issues and l'!$B:$C,2,FALSE)</f>
        <v>insite-event-SRED</v>
      </c>
      <c r="B895" s="27" t="str">
        <f>IFERROR(__xludf.DUMMYFUNCTION("""COMPUTED_VALUE"""),"ZAPI-6")</f>
        <v>ZAPI-6</v>
      </c>
      <c r="C895" s="26" t="str">
        <f>IFERROR(__xludf.DUMMYFUNCTION("""COMPUTED_VALUE"""),"Zoom API v2 (Registration Flow and Reporting)")</f>
        <v>Zoom API v2 (Registration Flow and Reporting)</v>
      </c>
      <c r="D895" s="28">
        <f>IFERROR(__xludf.DUMMYFUNCTION("""COMPUTED_VALUE"""),0.5)</f>
        <v>0.5</v>
      </c>
      <c r="E895" s="29">
        <f>IFERROR(__xludf.DUMMYFUNCTION("""COMPUTED_VALUE"""),44098.0)</f>
        <v>44098</v>
      </c>
      <c r="F895" s="26" t="str">
        <f>IFERROR(__xludf.DUMMYFUNCTION("""COMPUTED_VALUE"""),"557058:ed1ddc66-d84d-405c-a815-0fcc6147ba14")</f>
        <v>557058:ed1ddc66-d84d-405c-a815-0fcc6147ba14</v>
      </c>
      <c r="G895" s="26" t="str">
        <f>IFERROR(__xludf.DUMMYFUNCTION("""COMPUTED_VALUE"""),"Mark Corrigan")</f>
        <v>Mark Corrigan</v>
      </c>
      <c r="H895" s="26" t="b">
        <v>0</v>
      </c>
    </row>
    <row r="896">
      <c r="A896" s="26" t="str">
        <f>VLOOKUP(B896,'2020 SRED (JIRA) - Issues and l'!$B:$C,2,FALSE)</f>
        <v>insite-event-SRED</v>
      </c>
      <c r="B896" s="27" t="str">
        <f>IFERROR(__xludf.DUMMYFUNCTION("""COMPUTED_VALUE"""),"ZAPI-86")</f>
        <v>ZAPI-86</v>
      </c>
      <c r="C896" s="26" t="str">
        <f>IFERROR(__xludf.DUMMYFUNCTION("""COMPUTED_VALUE"""),"Zoom API v2.2 (Cleanup) 🧹")</f>
        <v>Zoom API v2.2 (Cleanup) 🧹</v>
      </c>
      <c r="D896" s="28">
        <f>IFERROR(__xludf.DUMMYFUNCTION("""COMPUTED_VALUE"""),3.0)</f>
        <v>3</v>
      </c>
      <c r="E896" s="29">
        <f>IFERROR(__xludf.DUMMYFUNCTION("""COMPUTED_VALUE"""),44098.0)</f>
        <v>44098</v>
      </c>
      <c r="F896" s="26" t="str">
        <f>IFERROR(__xludf.DUMMYFUNCTION("""COMPUTED_VALUE"""),"557058:ed1ddc66-d84d-405c-a815-0fcc6147ba14")</f>
        <v>557058:ed1ddc66-d84d-405c-a815-0fcc6147ba14</v>
      </c>
      <c r="G896" s="26" t="str">
        <f>IFERROR(__xludf.DUMMYFUNCTION("""COMPUTED_VALUE"""),"Mark Corrigan")</f>
        <v>Mark Corrigan</v>
      </c>
      <c r="H896" s="26" t="b">
        <v>0</v>
      </c>
    </row>
    <row r="897">
      <c r="A897" s="26" t="str">
        <f>VLOOKUP(B897,'2020 SRED (JIRA) - Issues and l'!$B:$C,2,FALSE)</f>
        <v>portal-builder-SRED</v>
      </c>
      <c r="B897" s="27" t="str">
        <f>IFERROR(__xludf.DUMMYFUNCTION("""COMPUTED_VALUE"""),"IOP-1357")</f>
        <v>IOP-1357</v>
      </c>
      <c r="C897" s="26" t="str">
        <f>IFERROR(__xludf.DUMMYFUNCTION("""COMPUTED_VALUE"""),"Product development meetings")</f>
        <v>Product development meetings</v>
      </c>
      <c r="D897" s="28">
        <f>IFERROR(__xludf.DUMMYFUNCTION("""COMPUTED_VALUE"""),0.5)</f>
        <v>0.5</v>
      </c>
      <c r="E897" s="29">
        <f>IFERROR(__xludf.DUMMYFUNCTION("""COMPUTED_VALUE"""),44098.0)</f>
        <v>44098</v>
      </c>
      <c r="F897" s="26" t="str">
        <f>IFERROR(__xludf.DUMMYFUNCTION("""COMPUTED_VALUE"""),"557058:ed1ddc66-d84d-405c-a815-0fcc6147ba14")</f>
        <v>557058:ed1ddc66-d84d-405c-a815-0fcc6147ba14</v>
      </c>
      <c r="G897" s="26" t="str">
        <f>IFERROR(__xludf.DUMMYFUNCTION("""COMPUTED_VALUE"""),"Mark Corrigan")</f>
        <v>Mark Corrigan</v>
      </c>
      <c r="H897" s="26" t="b">
        <v>0</v>
      </c>
    </row>
    <row r="898" hidden="1">
      <c r="A898" s="26" t="str">
        <f>VLOOKUP(B898,'2020 SRED (JIRA) - Issues and l'!$B:$C,2,FALSE)</f>
        <v>insite-workflow-SRED</v>
      </c>
      <c r="B898" s="27" t="str">
        <f>IFERROR(__xludf.DUMMYFUNCTION("""COMPUTED_VALUE"""),"APPS-463")</f>
        <v>APPS-463</v>
      </c>
      <c r="C898" s="26" t="str">
        <f>IFERROR(__xludf.DUMMYFUNCTION("""COMPUTED_VALUE"""),"Data modelling and project planning for Impetus IT/HR app")</f>
        <v>Data modelling and project planning for Impetus IT/HR app</v>
      </c>
      <c r="D898" s="28">
        <f>IFERROR(__xludf.DUMMYFUNCTION("""COMPUTED_VALUE"""),7.0)</f>
        <v>7</v>
      </c>
      <c r="E898" s="29">
        <f>IFERROR(__xludf.DUMMYFUNCTION("""COMPUTED_VALUE"""),44098.0)</f>
        <v>44098</v>
      </c>
      <c r="F898" s="26" t="str">
        <f>IFERROR(__xludf.DUMMYFUNCTION("""COMPUTED_VALUE"""),"5ee7b6cf02b4400ac4b65399")</f>
        <v>5ee7b6cf02b4400ac4b65399</v>
      </c>
      <c r="G898" s="26" t="str">
        <f>IFERROR(__xludf.DUMMYFUNCTION("""COMPUTED_VALUE"""),"Jessica Obando")</f>
        <v>Jessica Obando</v>
      </c>
      <c r="H898" s="26" t="b">
        <v>0</v>
      </c>
    </row>
    <row r="899" hidden="1">
      <c r="A899" s="26" t="str">
        <f>VLOOKUP(B899,'2020 SRED (JIRA) - Issues and l'!$B:$C,2,FALSE)</f>
        <v>portal-builder-SRED</v>
      </c>
      <c r="B899" s="27" t="str">
        <f>IFERROR(__xludf.DUMMYFUNCTION("""COMPUTED_VALUE"""),"ITP-1873")</f>
        <v>ITP-1873</v>
      </c>
      <c r="C899" s="26" t="str">
        <f>IFERROR(__xludf.DUMMYFUNCTION("""COMPUTED_VALUE"""),"Remove the previous submissions link from submitted webform pages")</f>
        <v>Remove the previous submissions link from submitted webform pages</v>
      </c>
      <c r="D899" s="28">
        <f>IFERROR(__xludf.DUMMYFUNCTION("""COMPUTED_VALUE"""),3.0)</f>
        <v>3</v>
      </c>
      <c r="E899" s="29">
        <f>IFERROR(__xludf.DUMMYFUNCTION("""COMPUTED_VALUE"""),44098.35416666667)</f>
        <v>44098.35417</v>
      </c>
      <c r="F899" s="26" t="str">
        <f>IFERROR(__xludf.DUMMYFUNCTION("""COMPUTED_VALUE"""),"5f5125a6333edb00434bffaf")</f>
        <v>5f5125a6333edb00434bffaf</v>
      </c>
      <c r="G899" s="26" t="str">
        <f>IFERROR(__xludf.DUMMYFUNCTION("""COMPUTED_VALUE"""),"Terry Waldner")</f>
        <v>Terry Waldner</v>
      </c>
      <c r="H899" s="26" t="b">
        <v>0</v>
      </c>
    </row>
    <row r="900" hidden="1">
      <c r="A900" s="26" t="str">
        <f>VLOOKUP(B900,'2020 SRED (JIRA) - Issues and l'!$B:$C,2,FALSE)</f>
        <v>portal-builder-SRED</v>
      </c>
      <c r="B900" s="27" t="str">
        <f>IFERROR(__xludf.DUMMYFUNCTION("""COMPUTED_VALUE"""),"ITP-1873")</f>
        <v>ITP-1873</v>
      </c>
      <c r="C900" s="26" t="str">
        <f>IFERROR(__xludf.DUMMYFUNCTION("""COMPUTED_VALUE"""),"Remove the previous submissions link from submitted webform pages")</f>
        <v>Remove the previous submissions link from submitted webform pages</v>
      </c>
      <c r="D900" s="28">
        <f>IFERROR(__xludf.DUMMYFUNCTION("""COMPUTED_VALUE"""),0.25)</f>
        <v>0.25</v>
      </c>
      <c r="E900" s="29">
        <f>IFERROR(__xludf.DUMMYFUNCTION("""COMPUTED_VALUE"""),44098.38541666667)</f>
        <v>44098.38542</v>
      </c>
      <c r="F900" s="26" t="str">
        <f>IFERROR(__xludf.DUMMYFUNCTION("""COMPUTED_VALUE"""),"557058:3124a1f0-e92a-405c-93f2-c1d4e621bc77")</f>
        <v>557058:3124a1f0-e92a-405c-93f2-c1d4e621bc77</v>
      </c>
      <c r="G900" s="26" t="str">
        <f>IFERROR(__xludf.DUMMYFUNCTION("""COMPUTED_VALUE"""),"Trevor Coehoorn")</f>
        <v>Trevor Coehoorn</v>
      </c>
      <c r="H900" s="26" t="b">
        <v>0</v>
      </c>
    </row>
    <row r="901" hidden="1">
      <c r="A901" s="26" t="str">
        <f>VLOOKUP(B901,'2020 SRED (JIRA) - Issues and l'!$B:$C,2,FALSE)</f>
        <v>portal-builder-SRED</v>
      </c>
      <c r="B901" s="27" t="str">
        <f>IFERROR(__xludf.DUMMYFUNCTION("""COMPUTED_VALUE"""),"ITP-1873")</f>
        <v>ITP-1873</v>
      </c>
      <c r="C901" s="26" t="str">
        <f>IFERROR(__xludf.DUMMYFUNCTION("""COMPUTED_VALUE"""),"Remove the previous submissions link from submitted webform pages")</f>
        <v>Remove the previous submissions link from submitted webform pages</v>
      </c>
      <c r="D901" s="28">
        <f>IFERROR(__xludf.DUMMYFUNCTION("""COMPUTED_VALUE"""),0.25)</f>
        <v>0.25</v>
      </c>
      <c r="E901" s="29">
        <f>IFERROR(__xludf.DUMMYFUNCTION("""COMPUTED_VALUE"""),44098.41666666667)</f>
        <v>44098.41667</v>
      </c>
      <c r="F901" s="26" t="str">
        <f>IFERROR(__xludf.DUMMYFUNCTION("""COMPUTED_VALUE"""),"557058:3124a1f0-e92a-405c-93f2-c1d4e621bc77")</f>
        <v>557058:3124a1f0-e92a-405c-93f2-c1d4e621bc77</v>
      </c>
      <c r="G901" s="26" t="str">
        <f>IFERROR(__xludf.DUMMYFUNCTION("""COMPUTED_VALUE"""),"Trevor Coehoorn")</f>
        <v>Trevor Coehoorn</v>
      </c>
      <c r="H901" s="26" t="b">
        <v>0</v>
      </c>
    </row>
    <row r="902" hidden="1">
      <c r="A902" s="26" t="str">
        <f>VLOOKUP(B902,'2020 SRED (JIRA) - Issues and l'!$B:$C,2,FALSE)</f>
        <v>insite-event-SRED</v>
      </c>
      <c r="B902" s="27" t="str">
        <f>IFERROR(__xludf.DUMMYFUNCTION("""COMPUTED_VALUE"""),"ZAPI-86")</f>
        <v>ZAPI-86</v>
      </c>
      <c r="C902" s="26" t="str">
        <f>IFERROR(__xludf.DUMMYFUNCTION("""COMPUTED_VALUE"""),"Zoom API v2.2 (Cleanup) 🧹")</f>
        <v>Zoom API v2.2 (Cleanup) 🧹</v>
      </c>
      <c r="D902" s="28">
        <f>IFERROR(__xludf.DUMMYFUNCTION("""COMPUTED_VALUE"""),0.5)</f>
        <v>0.5</v>
      </c>
      <c r="E902" s="29">
        <f>IFERROR(__xludf.DUMMYFUNCTION("""COMPUTED_VALUE"""),44098.44791666667)</f>
        <v>44098.44792</v>
      </c>
      <c r="F902" s="26" t="str">
        <f>IFERROR(__xludf.DUMMYFUNCTION("""COMPUTED_VALUE"""),"557058:3124a1f0-e92a-405c-93f2-c1d4e621bc77")</f>
        <v>557058:3124a1f0-e92a-405c-93f2-c1d4e621bc77</v>
      </c>
      <c r="G902" s="26" t="str">
        <f>IFERROR(__xludf.DUMMYFUNCTION("""COMPUTED_VALUE"""),"Trevor Coehoorn")</f>
        <v>Trevor Coehoorn</v>
      </c>
      <c r="H902" s="26" t="b">
        <v>0</v>
      </c>
    </row>
    <row r="903" hidden="1">
      <c r="A903" s="26" t="str">
        <f>VLOOKUP(B903,'2020 SRED (JIRA) - Issues and l'!$B:$C,2,FALSE)</f>
        <v>insite-event-SRED</v>
      </c>
      <c r="B903" s="27" t="str">
        <f>IFERROR(__xludf.DUMMYFUNCTION("""COMPUTED_VALUE"""),"ZAPI-66")</f>
        <v>ZAPI-66</v>
      </c>
      <c r="C903" s="26" t="str">
        <f>IFERROR(__xludf.DUMMYFUNCTION("""COMPUTED_VALUE"""),"Add polls in the correct order when web meetings are created")</f>
        <v>Add polls in the correct order when web meetings are created</v>
      </c>
      <c r="D903" s="28">
        <f>IFERROR(__xludf.DUMMYFUNCTION("""COMPUTED_VALUE"""),0.5)</f>
        <v>0.5</v>
      </c>
      <c r="E903" s="29">
        <f>IFERROR(__xludf.DUMMYFUNCTION("""COMPUTED_VALUE"""),44098.47916666667)</f>
        <v>44098.47917</v>
      </c>
      <c r="F903" s="26" t="str">
        <f>IFERROR(__xludf.DUMMYFUNCTION("""COMPUTED_VALUE"""),"557058:3124a1f0-e92a-405c-93f2-c1d4e621bc77")</f>
        <v>557058:3124a1f0-e92a-405c-93f2-c1d4e621bc77</v>
      </c>
      <c r="G903" s="26" t="str">
        <f>IFERROR(__xludf.DUMMYFUNCTION("""COMPUTED_VALUE"""),"Trevor Coehoorn")</f>
        <v>Trevor Coehoorn</v>
      </c>
      <c r="H903" s="26" t="b">
        <v>0</v>
      </c>
    </row>
    <row r="904" hidden="1">
      <c r="A904" s="26" t="str">
        <f>VLOOKUP(B904,'2020 SRED (JIRA) - Issues and l'!$B:$C,2,FALSE)</f>
        <v>portal-builder-SRED</v>
      </c>
      <c r="B904" s="27" t="str">
        <f>IFERROR(__xludf.DUMMYFUNCTION("""COMPUTED_VALUE"""),"ITP-1873")</f>
        <v>ITP-1873</v>
      </c>
      <c r="C904" s="26" t="str">
        <f>IFERROR(__xludf.DUMMYFUNCTION("""COMPUTED_VALUE"""),"Remove the previous submissions link from submitted webform pages")</f>
        <v>Remove the previous submissions link from submitted webform pages</v>
      </c>
      <c r="D904" s="28">
        <f>IFERROR(__xludf.DUMMYFUNCTION("""COMPUTED_VALUE"""),1.25)</f>
        <v>1.25</v>
      </c>
      <c r="E904" s="29">
        <f>IFERROR(__xludf.DUMMYFUNCTION("""COMPUTED_VALUE"""),44098.48958333333)</f>
        <v>44098.48958</v>
      </c>
      <c r="F904" s="26" t="str">
        <f>IFERROR(__xludf.DUMMYFUNCTION("""COMPUTED_VALUE"""),"5f5125a6333edb00434bffaf")</f>
        <v>5f5125a6333edb00434bffaf</v>
      </c>
      <c r="G904" s="26" t="str">
        <f>IFERROR(__xludf.DUMMYFUNCTION("""COMPUTED_VALUE"""),"Terry Waldner")</f>
        <v>Terry Waldner</v>
      </c>
      <c r="H904" s="26" t="b">
        <v>0</v>
      </c>
    </row>
    <row r="905" hidden="1">
      <c r="A905" s="26" t="str">
        <f>VLOOKUP(B905,'2020 SRED (JIRA) - Issues and l'!$B:$C,2,FALSE)</f>
        <v>portal-builder-SRED</v>
      </c>
      <c r="B905" s="27" t="str">
        <f>IFERROR(__xludf.DUMMYFUNCTION("""COMPUTED_VALUE"""),"ITP-1873")</f>
        <v>ITP-1873</v>
      </c>
      <c r="C905" s="26" t="str">
        <f>IFERROR(__xludf.DUMMYFUNCTION("""COMPUTED_VALUE"""),"Remove the previous submissions link from submitted webform pages")</f>
        <v>Remove the previous submissions link from submitted webform pages</v>
      </c>
      <c r="D905" s="28">
        <f>IFERROR(__xludf.DUMMYFUNCTION("""COMPUTED_VALUE"""),0.5)</f>
        <v>0.5</v>
      </c>
      <c r="E905" s="29">
        <f>IFERROR(__xludf.DUMMYFUNCTION("""COMPUTED_VALUE"""),44098.5)</f>
        <v>44098.5</v>
      </c>
      <c r="F905" s="26" t="str">
        <f>IFERROR(__xludf.DUMMYFUNCTION("""COMPUTED_VALUE"""),"557058:3124a1f0-e92a-405c-93f2-c1d4e621bc77")</f>
        <v>557058:3124a1f0-e92a-405c-93f2-c1d4e621bc77</v>
      </c>
      <c r="G905" s="26" t="str">
        <f>IFERROR(__xludf.DUMMYFUNCTION("""COMPUTED_VALUE"""),"Trevor Coehoorn")</f>
        <v>Trevor Coehoorn</v>
      </c>
      <c r="H905" s="26" t="b">
        <v>0</v>
      </c>
    </row>
    <row r="906" hidden="1">
      <c r="A906" s="26" t="str">
        <f>VLOOKUP(B906,'2020 SRED (JIRA) - Issues and l'!$B:$C,2,FALSE)</f>
        <v>insite-event-SRED</v>
      </c>
      <c r="B906" s="27" t="str">
        <f>IFERROR(__xludf.DUMMYFUNCTION("""COMPUTED_VALUE"""),"ZAPI-140")</f>
        <v>ZAPI-140</v>
      </c>
      <c r="C906" s="26" t="str">
        <f>IFERROR(__xludf.DUMMYFUNCTION("""COMPUTED_VALUE"""),"Display ""Zoom is processing the video recording, please try again later"" within recording management fieldset")</f>
        <v>Display "Zoom is processing the video recording, please try again later" within recording management fieldset</v>
      </c>
      <c r="D906" s="28">
        <f>IFERROR(__xludf.DUMMYFUNCTION("""COMPUTED_VALUE"""),0.25)</f>
        <v>0.25</v>
      </c>
      <c r="E906" s="29">
        <f>IFERROR(__xludf.DUMMYFUNCTION("""COMPUTED_VALUE"""),44098.5625)</f>
        <v>44098.5625</v>
      </c>
      <c r="F906" s="26" t="str">
        <f>IFERROR(__xludf.DUMMYFUNCTION("""COMPUTED_VALUE"""),"557058:3124a1f0-e92a-405c-93f2-c1d4e621bc77")</f>
        <v>557058:3124a1f0-e92a-405c-93f2-c1d4e621bc77</v>
      </c>
      <c r="G906" s="26" t="str">
        <f>IFERROR(__xludf.DUMMYFUNCTION("""COMPUTED_VALUE"""),"Trevor Coehoorn")</f>
        <v>Trevor Coehoorn</v>
      </c>
      <c r="H906" s="26" t="b">
        <v>0</v>
      </c>
    </row>
    <row r="907" hidden="1">
      <c r="A907" s="26" t="str">
        <f>VLOOKUP(B907,'2020 SRED (JIRA) - Issues and l'!$B:$C,2,FALSE)</f>
        <v>portal-builder-SRED</v>
      </c>
      <c r="B907" s="27" t="str">
        <f>IFERROR(__xludf.DUMMYFUNCTION("""COMPUTED_VALUE"""),"ITP-1873")</f>
        <v>ITP-1873</v>
      </c>
      <c r="C907" s="26" t="str">
        <f>IFERROR(__xludf.DUMMYFUNCTION("""COMPUTED_VALUE"""),"Remove the previous submissions link from submitted webform pages")</f>
        <v>Remove the previous submissions link from submitted webform pages</v>
      </c>
      <c r="D907" s="28">
        <f>IFERROR(__xludf.DUMMYFUNCTION("""COMPUTED_VALUE"""),2.25)</f>
        <v>2.25</v>
      </c>
      <c r="E907" s="29">
        <f>IFERROR(__xludf.DUMMYFUNCTION("""COMPUTED_VALUE"""),44098.5625)</f>
        <v>44098.5625</v>
      </c>
      <c r="F907" s="26" t="str">
        <f>IFERROR(__xludf.DUMMYFUNCTION("""COMPUTED_VALUE"""),"5f5125a6333edb00434bffaf")</f>
        <v>5f5125a6333edb00434bffaf</v>
      </c>
      <c r="G907" s="26" t="str">
        <f>IFERROR(__xludf.DUMMYFUNCTION("""COMPUTED_VALUE"""),"Terry Waldner")</f>
        <v>Terry Waldner</v>
      </c>
      <c r="H907" s="26" t="b">
        <v>0</v>
      </c>
    </row>
    <row r="908" hidden="1">
      <c r="A908" s="26" t="str">
        <f>VLOOKUP(B908,'2020 SRED (JIRA) - Issues and l'!$B:$C,2,FALSE)</f>
        <v>insite-event-SRED</v>
      </c>
      <c r="B908" s="27" t="str">
        <f>IFERROR(__xludf.DUMMYFUNCTION("""COMPUTED_VALUE"""),"ZAPI-61")</f>
        <v>ZAPI-61</v>
      </c>
      <c r="C908" s="26" t="str">
        <f>IFERROR(__xludf.DUMMYFUNCTION("""COMPUTED_VALUE"""),"As an Impetus staff member, I can view all scheduled client meetings, dry runs, etc. and their meeting IDs, portal links to join, Impetus resources, etc.")</f>
        <v>As an Impetus staff member, I can view all scheduled client meetings, dry runs, etc. and their meeting IDs, portal links to join, Impetus resources, etc.</v>
      </c>
      <c r="D908" s="28">
        <f>IFERROR(__xludf.DUMMYFUNCTION("""COMPUTED_VALUE"""),0.25)</f>
        <v>0.25</v>
      </c>
      <c r="E908" s="29">
        <f>IFERROR(__xludf.DUMMYFUNCTION("""COMPUTED_VALUE"""),44098.57291666667)</f>
        <v>44098.57292</v>
      </c>
      <c r="F908" s="26" t="str">
        <f>IFERROR(__xludf.DUMMYFUNCTION("""COMPUTED_VALUE"""),"557058:3124a1f0-e92a-405c-93f2-c1d4e621bc77")</f>
        <v>557058:3124a1f0-e92a-405c-93f2-c1d4e621bc77</v>
      </c>
      <c r="G908" s="26" t="str">
        <f>IFERROR(__xludf.DUMMYFUNCTION("""COMPUTED_VALUE"""),"Trevor Coehoorn")</f>
        <v>Trevor Coehoorn</v>
      </c>
      <c r="H908" s="26" t="b">
        <v>0</v>
      </c>
    </row>
    <row r="909" hidden="1">
      <c r="A909" s="26" t="str">
        <f>VLOOKUP(B909,'2020 SRED (JIRA) - Issues and l'!$B:$C,2,FALSE)</f>
        <v>insite-event-SRED</v>
      </c>
      <c r="B909" s="27" t="str">
        <f>IFERROR(__xludf.DUMMYFUNCTION("""COMPUTED_VALUE"""),"ZAPI-61")</f>
        <v>ZAPI-61</v>
      </c>
      <c r="C909" s="26" t="str">
        <f>IFERROR(__xludf.DUMMYFUNCTION("""COMPUTED_VALUE"""),"As an Impetus staff member, I can view all scheduled client meetings, dry runs, etc. and their meeting IDs, portal links to join, Impetus resources, etc.")</f>
        <v>As an Impetus staff member, I can view all scheduled client meetings, dry runs, etc. and their meeting IDs, portal links to join, Impetus resources, etc.</v>
      </c>
      <c r="D909" s="28">
        <f>IFERROR(__xludf.DUMMYFUNCTION("""COMPUTED_VALUE"""),0.25)</f>
        <v>0.25</v>
      </c>
      <c r="E909" s="29">
        <f>IFERROR(__xludf.DUMMYFUNCTION("""COMPUTED_VALUE"""),44098.58333333333)</f>
        <v>44098.58333</v>
      </c>
      <c r="F909" s="26" t="str">
        <f>IFERROR(__xludf.DUMMYFUNCTION("""COMPUTED_VALUE"""),"557058:3124a1f0-e92a-405c-93f2-c1d4e621bc77")</f>
        <v>557058:3124a1f0-e92a-405c-93f2-c1d4e621bc77</v>
      </c>
      <c r="G909" s="26" t="str">
        <f>IFERROR(__xludf.DUMMYFUNCTION("""COMPUTED_VALUE"""),"Trevor Coehoorn")</f>
        <v>Trevor Coehoorn</v>
      </c>
      <c r="H909" s="26" t="b">
        <v>0</v>
      </c>
    </row>
    <row r="910" hidden="1">
      <c r="A910" s="26" t="str">
        <f>VLOOKUP(B910,'2020 SRED (JIRA) - Issues and l'!$B:$C,2,FALSE)</f>
        <v>portal-builder-SRED</v>
      </c>
      <c r="B910" s="27" t="str">
        <f>IFERROR(__xludf.DUMMYFUNCTION("""COMPUTED_VALUE"""),"ITP-1873")</f>
        <v>ITP-1873</v>
      </c>
      <c r="C910" s="26" t="str">
        <f>IFERROR(__xludf.DUMMYFUNCTION("""COMPUTED_VALUE"""),"Remove the previous submissions link from submitted webform pages")</f>
        <v>Remove the previous submissions link from submitted webform pages</v>
      </c>
      <c r="D910" s="28">
        <f>IFERROR(__xludf.DUMMYFUNCTION("""COMPUTED_VALUE"""),0.25)</f>
        <v>0.25</v>
      </c>
      <c r="E910" s="29">
        <f>IFERROR(__xludf.DUMMYFUNCTION("""COMPUTED_VALUE"""),44098.59375)</f>
        <v>44098.59375</v>
      </c>
      <c r="F910" s="26" t="str">
        <f>IFERROR(__xludf.DUMMYFUNCTION("""COMPUTED_VALUE"""),"557058:3124a1f0-e92a-405c-93f2-c1d4e621bc77")</f>
        <v>557058:3124a1f0-e92a-405c-93f2-c1d4e621bc77</v>
      </c>
      <c r="G910" s="26" t="str">
        <f>IFERROR(__xludf.DUMMYFUNCTION("""COMPUTED_VALUE"""),"Trevor Coehoorn")</f>
        <v>Trevor Coehoorn</v>
      </c>
      <c r="H910" s="26" t="b">
        <v>0</v>
      </c>
    </row>
    <row r="911" hidden="1">
      <c r="A911" s="26" t="str">
        <f>VLOOKUP(B911,'2020 SRED (JIRA) - Issues and l'!$B:$C,2,FALSE)</f>
        <v>insite-event-SRED</v>
      </c>
      <c r="B911" s="27" t="str">
        <f>IFERROR(__xludf.DUMMYFUNCTION("""COMPUTED_VALUE"""),"ZAPI-74")</f>
        <v>ZAPI-74</v>
      </c>
      <c r="C911" s="26" t="str">
        <f>IFERROR(__xludf.DUMMYFUNCTION("""COMPUTED_VALUE"""),"Allow users to register for web meetings on anonymous pages")</f>
        <v>Allow users to register for web meetings on anonymous pages</v>
      </c>
      <c r="D911" s="28">
        <f>IFERROR(__xludf.DUMMYFUNCTION("""COMPUTED_VALUE"""),0.5)</f>
        <v>0.5</v>
      </c>
      <c r="E911" s="29">
        <f>IFERROR(__xludf.DUMMYFUNCTION("""COMPUTED_VALUE"""),44098.60416666667)</f>
        <v>44098.60417</v>
      </c>
      <c r="F911" s="26" t="str">
        <f>IFERROR(__xludf.DUMMYFUNCTION("""COMPUTED_VALUE"""),"557058:3124a1f0-e92a-405c-93f2-c1d4e621bc77")</f>
        <v>557058:3124a1f0-e92a-405c-93f2-c1d4e621bc77</v>
      </c>
      <c r="G911" s="26" t="str">
        <f>IFERROR(__xludf.DUMMYFUNCTION("""COMPUTED_VALUE"""),"Trevor Coehoorn")</f>
        <v>Trevor Coehoorn</v>
      </c>
      <c r="H911" s="26" t="b">
        <v>0</v>
      </c>
    </row>
    <row r="912" hidden="1">
      <c r="A912" s="26" t="str">
        <f>VLOOKUP(B912,'2020 SRED (JIRA) - Issues and l'!$B:$C,2,FALSE)</f>
        <v>insite-event-SRED</v>
      </c>
      <c r="B912" s="27" t="str">
        <f>IFERROR(__xludf.DUMMYFUNCTION("""COMPUTED_VALUE"""),"ZAPI-155")</f>
        <v>ZAPI-155</v>
      </c>
      <c r="C912" s="26" t="str">
        <f>IFERROR(__xludf.DUMMYFUNCTION("""COMPUTED_VALUE"""),"As an authenticated user, I can register for meetings")</f>
        <v>As an authenticated user, I can register for meetings</v>
      </c>
      <c r="D912" s="28">
        <f>IFERROR(__xludf.DUMMYFUNCTION("""COMPUTED_VALUE"""),0.25)</f>
        <v>0.25</v>
      </c>
      <c r="E912" s="29">
        <f>IFERROR(__xludf.DUMMYFUNCTION("""COMPUTED_VALUE"""),44098.625)</f>
        <v>44098.625</v>
      </c>
      <c r="F912" s="26" t="str">
        <f>IFERROR(__xludf.DUMMYFUNCTION("""COMPUTED_VALUE"""),"557058:3124a1f0-e92a-405c-93f2-c1d4e621bc77")</f>
        <v>557058:3124a1f0-e92a-405c-93f2-c1d4e621bc77</v>
      </c>
      <c r="G912" s="26" t="str">
        <f>IFERROR(__xludf.DUMMYFUNCTION("""COMPUTED_VALUE"""),"Trevor Coehoorn")</f>
        <v>Trevor Coehoorn</v>
      </c>
      <c r="H912" s="26" t="b">
        <v>0</v>
      </c>
    </row>
    <row r="913" hidden="1">
      <c r="A913" s="26" t="str">
        <f>VLOOKUP(B913,'2020 SRED (JIRA) - Issues and l'!$B:$C,2,FALSE)</f>
        <v>portal-builder-SRED</v>
      </c>
      <c r="B913" s="27" t="str">
        <f>IFERROR(__xludf.DUMMYFUNCTION("""COMPUTED_VALUE"""),"ITP-1873")</f>
        <v>ITP-1873</v>
      </c>
      <c r="C913" s="26" t="str">
        <f>IFERROR(__xludf.DUMMYFUNCTION("""COMPUTED_VALUE"""),"Remove the previous submissions link from submitted webform pages")</f>
        <v>Remove the previous submissions link from submitted webform pages</v>
      </c>
      <c r="D913" s="28">
        <f>IFERROR(__xludf.DUMMYFUNCTION("""COMPUTED_VALUE"""),0.5)</f>
        <v>0.5</v>
      </c>
      <c r="E913" s="29">
        <f>IFERROR(__xludf.DUMMYFUNCTION("""COMPUTED_VALUE"""),44098.65625)</f>
        <v>44098.65625</v>
      </c>
      <c r="F913" s="26" t="str">
        <f>IFERROR(__xludf.DUMMYFUNCTION("""COMPUTED_VALUE"""),"557058:3124a1f0-e92a-405c-93f2-c1d4e621bc77")</f>
        <v>557058:3124a1f0-e92a-405c-93f2-c1d4e621bc77</v>
      </c>
      <c r="G913" s="26" t="str">
        <f>IFERROR(__xludf.DUMMYFUNCTION("""COMPUTED_VALUE"""),"Trevor Coehoorn")</f>
        <v>Trevor Coehoorn</v>
      </c>
      <c r="H913" s="26" t="b">
        <v>0</v>
      </c>
    </row>
    <row r="914" hidden="1">
      <c r="A914" s="26" t="str">
        <f>VLOOKUP(B914,'2020 SRED (JIRA) - Issues and l'!$B:$C,2,FALSE)</f>
        <v>portal-builder-SRED</v>
      </c>
      <c r="B914" s="27" t="str">
        <f>IFERROR(__xludf.DUMMYFUNCTION("""COMPUTED_VALUE"""),"ITP-1873")</f>
        <v>ITP-1873</v>
      </c>
      <c r="C914" s="26" t="str">
        <f>IFERROR(__xludf.DUMMYFUNCTION("""COMPUTED_VALUE"""),"Remove the previous submissions link from submitted webform pages")</f>
        <v>Remove the previous submissions link from submitted webform pages</v>
      </c>
      <c r="D914" s="28">
        <f>IFERROR(__xludf.DUMMYFUNCTION("""COMPUTED_VALUE"""),0.5)</f>
        <v>0.5</v>
      </c>
      <c r="E914" s="29">
        <f>IFERROR(__xludf.DUMMYFUNCTION("""COMPUTED_VALUE"""),44098.6875)</f>
        <v>44098.6875</v>
      </c>
      <c r="F914" s="26" t="str">
        <f>IFERROR(__xludf.DUMMYFUNCTION("""COMPUTED_VALUE"""),"557058:3124a1f0-e92a-405c-93f2-c1d4e621bc77")</f>
        <v>557058:3124a1f0-e92a-405c-93f2-c1d4e621bc77</v>
      </c>
      <c r="G914" s="26" t="str">
        <f>IFERROR(__xludf.DUMMYFUNCTION("""COMPUTED_VALUE"""),"Trevor Coehoorn")</f>
        <v>Trevor Coehoorn</v>
      </c>
      <c r="H914" s="26" t="b">
        <v>0</v>
      </c>
    </row>
    <row r="915">
      <c r="A915" s="26" t="str">
        <f>VLOOKUP(B915,'2020 SRED (JIRA) - Issues and l'!$B:$C,2,FALSE)</f>
        <v>insite-event-SRED</v>
      </c>
      <c r="B915" s="27" t="str">
        <f>IFERROR(__xludf.DUMMYFUNCTION("""COMPUTED_VALUE"""),"ZAPI-86")</f>
        <v>ZAPI-86</v>
      </c>
      <c r="C915" s="26" t="str">
        <f>IFERROR(__xludf.DUMMYFUNCTION("""COMPUTED_VALUE"""),"Zoom API v2.2 (Cleanup) 🧹")</f>
        <v>Zoom API v2.2 (Cleanup) 🧹</v>
      </c>
      <c r="D915" s="28">
        <f>IFERROR(__xludf.DUMMYFUNCTION("""COMPUTED_VALUE"""),0.5)</f>
        <v>0.5</v>
      </c>
      <c r="E915" s="29">
        <f>IFERROR(__xludf.DUMMYFUNCTION("""COMPUTED_VALUE"""),44098.961111111115)</f>
        <v>44098.96111</v>
      </c>
      <c r="F915" s="26" t="str">
        <f>IFERROR(__xludf.DUMMYFUNCTION("""COMPUTED_VALUE"""),"557058:ed1ddc66-d84d-405c-a815-0fcc6147ba14")</f>
        <v>557058:ed1ddc66-d84d-405c-a815-0fcc6147ba14</v>
      </c>
      <c r="G915" s="26" t="str">
        <f>IFERROR(__xludf.DUMMYFUNCTION("""COMPUTED_VALUE"""),"Mark Corrigan")</f>
        <v>Mark Corrigan</v>
      </c>
      <c r="H915" s="26" t="b">
        <v>0</v>
      </c>
    </row>
    <row r="916">
      <c r="A916" s="26" t="str">
        <f>VLOOKUP(B916,'2020 SRED (JIRA) - Issues and l'!$B:$C,2,FALSE)</f>
        <v>insite-workflow-SRED</v>
      </c>
      <c r="B916" s="27" t="str">
        <f>IFERROR(__xludf.DUMMYFUNCTION("""COMPUTED_VALUE"""),"APPS-508")</f>
        <v>APPS-508</v>
      </c>
      <c r="C916" s="26" t="str">
        <f>IFERROR(__xludf.DUMMYFUNCTION("""COMPUTED_VALUE"""),"Calculating additional fees for duration and participants")</f>
        <v>Calculating additional fees for duration and participants</v>
      </c>
      <c r="D916" s="28">
        <f>IFERROR(__xludf.DUMMYFUNCTION("""COMPUTED_VALUE"""),1.0)</f>
        <v>1</v>
      </c>
      <c r="E916" s="29">
        <f>IFERROR(__xludf.DUMMYFUNCTION("""COMPUTED_VALUE"""),44098.9875)</f>
        <v>44098.9875</v>
      </c>
      <c r="F916" s="26" t="str">
        <f>IFERROR(__xludf.DUMMYFUNCTION("""COMPUTED_VALUE"""),"557058:ed1ddc66-d84d-405c-a815-0fcc6147ba14")</f>
        <v>557058:ed1ddc66-d84d-405c-a815-0fcc6147ba14</v>
      </c>
      <c r="G916" s="26" t="str">
        <f>IFERROR(__xludf.DUMMYFUNCTION("""COMPUTED_VALUE"""),"Mark Corrigan")</f>
        <v>Mark Corrigan</v>
      </c>
      <c r="H916" s="26" t="b">
        <v>0</v>
      </c>
    </row>
    <row r="917">
      <c r="A917" s="26" t="str">
        <f>VLOOKUP(B917,'2020 SRED (JIRA) - Issues and l'!$B:$C,2,FALSE)</f>
        <v>insite-workflow-SRED</v>
      </c>
      <c r="B917" s="27" t="str">
        <f>IFERROR(__xludf.DUMMYFUNCTION("""COMPUTED_VALUE"""),"APPS-142")</f>
        <v>APPS-142</v>
      </c>
      <c r="C917" s="26" t="str">
        <f>IFERROR(__xludf.DUMMYFUNCTION("""COMPUTED_VALUE"""),"As a salesperson, I can export a proposal to Google Docs and invite the client to review")</f>
        <v>As a salesperson, I can export a proposal to Google Docs and invite the client to review</v>
      </c>
      <c r="D917" s="28">
        <f>IFERROR(__xludf.DUMMYFUNCTION("""COMPUTED_VALUE"""),0.5)</f>
        <v>0.5</v>
      </c>
      <c r="E917" s="29">
        <f>IFERROR(__xludf.DUMMYFUNCTION("""COMPUTED_VALUE"""),44099.0)</f>
        <v>44099</v>
      </c>
      <c r="F917" s="26" t="str">
        <f>IFERROR(__xludf.DUMMYFUNCTION("""COMPUTED_VALUE"""),"557058:ed1ddc66-d84d-405c-a815-0fcc6147ba14")</f>
        <v>557058:ed1ddc66-d84d-405c-a815-0fcc6147ba14</v>
      </c>
      <c r="G917" s="26" t="str">
        <f>IFERROR(__xludf.DUMMYFUNCTION("""COMPUTED_VALUE"""),"Mark Corrigan")</f>
        <v>Mark Corrigan</v>
      </c>
      <c r="H917" s="26" t="b">
        <v>0</v>
      </c>
    </row>
    <row r="918">
      <c r="A918" s="26" t="str">
        <f>VLOOKUP(B918,'2020 SRED (JIRA) - Issues and l'!$B:$C,2,FALSE)</f>
        <v>insite-event-SRED</v>
      </c>
      <c r="B918" s="27" t="str">
        <f>IFERROR(__xludf.DUMMYFUNCTION("""COMPUTED_VALUE"""),"ZAPI-161")</f>
        <v>ZAPI-161</v>
      </c>
      <c r="C918" s="26" t="str">
        <f>IFERROR(__xludf.DUMMYFUNCTION("""COMPUTED_VALUE"""),"Illegal choice' validation error when selecting visible reports for a webinar")</f>
        <v>Illegal choice' validation error when selecting visible reports for a webinar</v>
      </c>
      <c r="D918" s="28">
        <f>IFERROR(__xludf.DUMMYFUNCTION("""COMPUTED_VALUE"""),0.25)</f>
        <v>0.25</v>
      </c>
      <c r="E918" s="29">
        <f>IFERROR(__xludf.DUMMYFUNCTION("""COMPUTED_VALUE"""),44099.0)</f>
        <v>44099</v>
      </c>
      <c r="F918" s="26" t="str">
        <f>IFERROR(__xludf.DUMMYFUNCTION("""COMPUTED_VALUE"""),"557058:ed1ddc66-d84d-405c-a815-0fcc6147ba14")</f>
        <v>557058:ed1ddc66-d84d-405c-a815-0fcc6147ba14</v>
      </c>
      <c r="G918" s="26" t="str">
        <f>IFERROR(__xludf.DUMMYFUNCTION("""COMPUTED_VALUE"""),"Mark Corrigan")</f>
        <v>Mark Corrigan</v>
      </c>
      <c r="H918" s="26" t="b">
        <v>0</v>
      </c>
    </row>
    <row r="919">
      <c r="A919" s="26" t="str">
        <f>VLOOKUP(B919,'2020 SRED (JIRA) - Issues and l'!$B:$C,2,FALSE)</f>
        <v>insite-event-SRED</v>
      </c>
      <c r="B919" s="27" t="str">
        <f>IFERROR(__xludf.DUMMYFUNCTION("""COMPUTED_VALUE"""),"ZAPI-74")</f>
        <v>ZAPI-74</v>
      </c>
      <c r="C919" s="26" t="str">
        <f>IFERROR(__xludf.DUMMYFUNCTION("""COMPUTED_VALUE"""),"Allow users to register for web meetings on anonymous pages")</f>
        <v>Allow users to register for web meetings on anonymous pages</v>
      </c>
      <c r="D919" s="28">
        <f>IFERROR(__xludf.DUMMYFUNCTION("""COMPUTED_VALUE"""),0.5)</f>
        <v>0.5</v>
      </c>
      <c r="E919" s="29">
        <f>IFERROR(__xludf.DUMMYFUNCTION("""COMPUTED_VALUE"""),44099.0)</f>
        <v>44099</v>
      </c>
      <c r="F919" s="26" t="str">
        <f>IFERROR(__xludf.DUMMYFUNCTION("""COMPUTED_VALUE"""),"557058:ed1ddc66-d84d-405c-a815-0fcc6147ba14")</f>
        <v>557058:ed1ddc66-d84d-405c-a815-0fcc6147ba14</v>
      </c>
      <c r="G919" s="26" t="str">
        <f>IFERROR(__xludf.DUMMYFUNCTION("""COMPUTED_VALUE"""),"Mark Corrigan")</f>
        <v>Mark Corrigan</v>
      </c>
      <c r="H919" s="26" t="b">
        <v>0</v>
      </c>
    </row>
    <row r="920" hidden="1">
      <c r="A920" s="26" t="str">
        <f>VLOOKUP(B920,'2020 SRED (JIRA) - Issues and l'!$B:$C,2,FALSE)</f>
        <v>insite-workflow-SRED</v>
      </c>
      <c r="B920" s="27" t="str">
        <f>IFERROR(__xludf.DUMMYFUNCTION("""COMPUTED_VALUE"""),"APPS-466")</f>
        <v>APPS-466</v>
      </c>
      <c r="C920" s="26" t="str">
        <f>IFERROR(__xludf.DUMMYFUNCTION("""COMPUTED_VALUE"""),"review name of columns on follow up manager tables")</f>
        <v>review name of columns on follow up manager tables</v>
      </c>
      <c r="D920" s="28">
        <f>IFERROR(__xludf.DUMMYFUNCTION("""COMPUTED_VALUE"""),5.0)</f>
        <v>5</v>
      </c>
      <c r="E920" s="29">
        <f>IFERROR(__xludf.DUMMYFUNCTION("""COMPUTED_VALUE"""),44099.0)</f>
        <v>44099</v>
      </c>
      <c r="F920" s="26" t="str">
        <f>IFERROR(__xludf.DUMMYFUNCTION("""COMPUTED_VALUE"""),"5ee7b6cf02b4400ac4b65399")</f>
        <v>5ee7b6cf02b4400ac4b65399</v>
      </c>
      <c r="G920" s="26" t="str">
        <f>IFERROR(__xludf.DUMMYFUNCTION("""COMPUTED_VALUE"""),"Jessica Obando")</f>
        <v>Jessica Obando</v>
      </c>
      <c r="H920" s="26" t="b">
        <v>0</v>
      </c>
    </row>
    <row r="921" hidden="1">
      <c r="A921" s="26" t="str">
        <f>VLOOKUP(B921,'2020 SRED (JIRA) - Issues and l'!$B:$C,2,FALSE)</f>
        <v>portal-builder-SRED</v>
      </c>
      <c r="B921" s="27" t="str">
        <f>IFERROR(__xludf.DUMMYFUNCTION("""COMPUTED_VALUE"""),"ITP-1810")</f>
        <v>ITP-1810</v>
      </c>
      <c r="C921" s="26" t="str">
        <f>IFERROR(__xludf.DUMMYFUNCTION("""COMPUTED_VALUE"""),"Add empty icons to the menu for incomplete touchpoint activities")</f>
        <v>Add empty icons to the menu for incomplete touchpoint activities</v>
      </c>
      <c r="D921" s="28">
        <f>IFERROR(__xludf.DUMMYFUNCTION("""COMPUTED_VALUE"""),0.5)</f>
        <v>0.5</v>
      </c>
      <c r="E921" s="29">
        <f>IFERROR(__xludf.DUMMYFUNCTION("""COMPUTED_VALUE"""),44099.35416666667)</f>
        <v>44099.35417</v>
      </c>
      <c r="F921" s="26" t="str">
        <f>IFERROR(__xludf.DUMMYFUNCTION("""COMPUTED_VALUE"""),"5f5125a6333edb00434bffaf")</f>
        <v>5f5125a6333edb00434bffaf</v>
      </c>
      <c r="G921" s="26" t="str">
        <f>IFERROR(__xludf.DUMMYFUNCTION("""COMPUTED_VALUE"""),"Terry Waldner")</f>
        <v>Terry Waldner</v>
      </c>
      <c r="H921" s="26" t="b">
        <v>0</v>
      </c>
    </row>
    <row r="922" hidden="1">
      <c r="A922" s="26" t="str">
        <f>VLOOKUP(B922,'2020 SRED (JIRA) - Issues and l'!$B:$C,2,FALSE)</f>
        <v>portal-builder-SRED</v>
      </c>
      <c r="B922" s="27" t="str">
        <f>IFERROR(__xludf.DUMMYFUNCTION("""COMPUTED_VALUE"""),"ITP-1810")</f>
        <v>ITP-1810</v>
      </c>
      <c r="C922" s="26" t="str">
        <f>IFERROR(__xludf.DUMMYFUNCTION("""COMPUTED_VALUE"""),"Add empty icons to the menu for incomplete touchpoint activities")</f>
        <v>Add empty icons to the menu for incomplete touchpoint activities</v>
      </c>
      <c r="D922" s="28">
        <f>IFERROR(__xludf.DUMMYFUNCTION("""COMPUTED_VALUE"""),3.25)</f>
        <v>3.25</v>
      </c>
      <c r="E922" s="29">
        <f>IFERROR(__xludf.DUMMYFUNCTION("""COMPUTED_VALUE"""),44099.39583333333)</f>
        <v>44099.39583</v>
      </c>
      <c r="F922" s="26" t="str">
        <f>IFERROR(__xludf.DUMMYFUNCTION("""COMPUTED_VALUE"""),"5f5125a6333edb00434bffaf")</f>
        <v>5f5125a6333edb00434bffaf</v>
      </c>
      <c r="G922" s="26" t="str">
        <f>IFERROR(__xludf.DUMMYFUNCTION("""COMPUTED_VALUE"""),"Terry Waldner")</f>
        <v>Terry Waldner</v>
      </c>
      <c r="H922" s="26" t="b">
        <v>0</v>
      </c>
    </row>
    <row r="923" hidden="1">
      <c r="A923" s="26" t="str">
        <f>VLOOKUP(B923,'2020 SRED (JIRA) - Issues and l'!$B:$C,2,FALSE)</f>
        <v>portal-builder-SRED</v>
      </c>
      <c r="B923" s="27" t="str">
        <f>IFERROR(__xludf.DUMMYFUNCTION("""COMPUTED_VALUE"""),"ITP-1873")</f>
        <v>ITP-1873</v>
      </c>
      <c r="C923" s="26" t="str">
        <f>IFERROR(__xludf.DUMMYFUNCTION("""COMPUTED_VALUE"""),"Remove the previous submissions link from submitted webform pages")</f>
        <v>Remove the previous submissions link from submitted webform pages</v>
      </c>
      <c r="D923" s="28">
        <f>IFERROR(__xludf.DUMMYFUNCTION("""COMPUTED_VALUE"""),0.25)</f>
        <v>0.25</v>
      </c>
      <c r="E923" s="29">
        <f>IFERROR(__xludf.DUMMYFUNCTION("""COMPUTED_VALUE"""),44099.48958333333)</f>
        <v>44099.48958</v>
      </c>
      <c r="F923" s="26" t="str">
        <f>IFERROR(__xludf.DUMMYFUNCTION("""COMPUTED_VALUE"""),"557058:3124a1f0-e92a-405c-93f2-c1d4e621bc77")</f>
        <v>557058:3124a1f0-e92a-405c-93f2-c1d4e621bc77</v>
      </c>
      <c r="G923" s="26" t="str">
        <f>IFERROR(__xludf.DUMMYFUNCTION("""COMPUTED_VALUE"""),"Trevor Coehoorn")</f>
        <v>Trevor Coehoorn</v>
      </c>
      <c r="H923" s="26" t="b">
        <v>0</v>
      </c>
    </row>
    <row r="924" hidden="1">
      <c r="A924" s="26" t="str">
        <f>VLOOKUP(B924,'2020 SRED (JIRA) - Issues and l'!$B:$C,2,FALSE)</f>
        <v>insite-event-SRED</v>
      </c>
      <c r="B924" s="27" t="str">
        <f>IFERROR(__xludf.DUMMYFUNCTION("""COMPUTED_VALUE"""),"ZAPI-154")</f>
        <v>ZAPI-154</v>
      </c>
      <c r="C924" s="26" t="str">
        <f>IFERROR(__xludf.DUMMYFUNCTION("""COMPUTED_VALUE"""),"Zoom recordings database table is not created during update")</f>
        <v>Zoom recordings database table is not created during update</v>
      </c>
      <c r="D924" s="28">
        <f>IFERROR(__xludf.DUMMYFUNCTION("""COMPUTED_VALUE"""),0.25)</f>
        <v>0.25</v>
      </c>
      <c r="E924" s="29">
        <f>IFERROR(__xludf.DUMMYFUNCTION("""COMPUTED_VALUE"""),44099.51041666667)</f>
        <v>44099.51042</v>
      </c>
      <c r="F924" s="26" t="str">
        <f>IFERROR(__xludf.DUMMYFUNCTION("""COMPUTED_VALUE"""),"557058:3124a1f0-e92a-405c-93f2-c1d4e621bc77")</f>
        <v>557058:3124a1f0-e92a-405c-93f2-c1d4e621bc77</v>
      </c>
      <c r="G924" s="26" t="str">
        <f>IFERROR(__xludf.DUMMYFUNCTION("""COMPUTED_VALUE"""),"Trevor Coehoorn")</f>
        <v>Trevor Coehoorn</v>
      </c>
      <c r="H924" s="26" t="b">
        <v>0</v>
      </c>
    </row>
    <row r="925" hidden="1">
      <c r="A925" s="26" t="str">
        <f>VLOOKUP(B925,'2020 SRED (JIRA) - Issues and l'!$B:$C,2,FALSE)</f>
        <v>insite-event-SRED</v>
      </c>
      <c r="B925" s="27" t="str">
        <f>IFERROR(__xludf.DUMMYFUNCTION("""COMPUTED_VALUE"""),"ZAPI-154")</f>
        <v>ZAPI-154</v>
      </c>
      <c r="C925" s="26" t="str">
        <f>IFERROR(__xludf.DUMMYFUNCTION("""COMPUTED_VALUE"""),"Zoom recordings database table is not created during update")</f>
        <v>Zoom recordings database table is not created during update</v>
      </c>
      <c r="D925" s="28">
        <f>IFERROR(__xludf.DUMMYFUNCTION("""COMPUTED_VALUE"""),0.5)</f>
        <v>0.5</v>
      </c>
      <c r="E925" s="29">
        <f>IFERROR(__xludf.DUMMYFUNCTION("""COMPUTED_VALUE"""),44099.55208333333)</f>
        <v>44099.55208</v>
      </c>
      <c r="F925" s="26" t="str">
        <f>IFERROR(__xludf.DUMMYFUNCTION("""COMPUTED_VALUE"""),"557058:3124a1f0-e92a-405c-93f2-c1d4e621bc77")</f>
        <v>557058:3124a1f0-e92a-405c-93f2-c1d4e621bc77</v>
      </c>
      <c r="G925" s="26" t="str">
        <f>IFERROR(__xludf.DUMMYFUNCTION("""COMPUTED_VALUE"""),"Trevor Coehoorn")</f>
        <v>Trevor Coehoorn</v>
      </c>
      <c r="H925" s="26" t="b">
        <v>0</v>
      </c>
    </row>
    <row r="926" hidden="1">
      <c r="A926" s="26" t="str">
        <f>VLOOKUP(B926,'2020 SRED (JIRA) - Issues and l'!$B:$C,2,FALSE)</f>
        <v>portal-builder-SRED</v>
      </c>
      <c r="B926" s="27" t="str">
        <f>IFERROR(__xludf.DUMMYFUNCTION("""COMPUTED_VALUE"""),"ITP-1873")</f>
        <v>ITP-1873</v>
      </c>
      <c r="C926" s="26" t="str">
        <f>IFERROR(__xludf.DUMMYFUNCTION("""COMPUTED_VALUE"""),"Remove the previous submissions link from submitted webform pages")</f>
        <v>Remove the previous submissions link from submitted webform pages</v>
      </c>
      <c r="D926" s="28">
        <f>IFERROR(__xludf.DUMMYFUNCTION("""COMPUTED_VALUE"""),1.75)</f>
        <v>1.75</v>
      </c>
      <c r="E926" s="29">
        <f>IFERROR(__xludf.DUMMYFUNCTION("""COMPUTED_VALUE"""),44099.55208333333)</f>
        <v>44099.55208</v>
      </c>
      <c r="F926" s="26" t="str">
        <f>IFERROR(__xludf.DUMMYFUNCTION("""COMPUTED_VALUE"""),"5f5125a6333edb00434bffaf")</f>
        <v>5f5125a6333edb00434bffaf</v>
      </c>
      <c r="G926" s="26" t="str">
        <f>IFERROR(__xludf.DUMMYFUNCTION("""COMPUTED_VALUE"""),"Terry Waldner")</f>
        <v>Terry Waldner</v>
      </c>
      <c r="H926" s="26" t="b">
        <v>0</v>
      </c>
    </row>
    <row r="927" hidden="1">
      <c r="A927" s="26" t="str">
        <f>VLOOKUP(B927,'2020 SRED (JIRA) - Issues and l'!$B:$C,2,FALSE)</f>
        <v>portal-builder-SRED</v>
      </c>
      <c r="B927" s="27" t="str">
        <f>IFERROR(__xludf.DUMMYFUNCTION("""COMPUTED_VALUE"""),"ITP-1810")</f>
        <v>ITP-1810</v>
      </c>
      <c r="C927" s="26" t="str">
        <f>IFERROR(__xludf.DUMMYFUNCTION("""COMPUTED_VALUE"""),"Add empty icons to the menu for incomplete touchpoint activities")</f>
        <v>Add empty icons to the menu for incomplete touchpoint activities</v>
      </c>
      <c r="D927" s="28">
        <f>IFERROR(__xludf.DUMMYFUNCTION("""COMPUTED_VALUE"""),1.25)</f>
        <v>1.25</v>
      </c>
      <c r="E927" s="29">
        <f>IFERROR(__xludf.DUMMYFUNCTION("""COMPUTED_VALUE"""),44099.57291666667)</f>
        <v>44099.57292</v>
      </c>
      <c r="F927" s="26" t="str">
        <f>IFERROR(__xludf.DUMMYFUNCTION("""COMPUTED_VALUE"""),"557058:3124a1f0-e92a-405c-93f2-c1d4e621bc77")</f>
        <v>557058:3124a1f0-e92a-405c-93f2-c1d4e621bc77</v>
      </c>
      <c r="G927" s="26" t="str">
        <f>IFERROR(__xludf.DUMMYFUNCTION("""COMPUTED_VALUE"""),"Trevor Coehoorn")</f>
        <v>Trevor Coehoorn</v>
      </c>
      <c r="H927" s="26" t="b">
        <v>0</v>
      </c>
    </row>
    <row r="928" hidden="1">
      <c r="A928" s="26" t="str">
        <f>VLOOKUP(B928,'2020 SRED (JIRA) - Issues and l'!$B:$C,2,FALSE)</f>
        <v>portal-builder-SRED</v>
      </c>
      <c r="B928" s="27" t="str">
        <f>IFERROR(__xludf.DUMMYFUNCTION("""COMPUTED_VALUE"""),"ITP-1868")</f>
        <v>ITP-1868</v>
      </c>
      <c r="C928" s="26" t="str">
        <f>IFERROR(__xludf.DUMMYFUNCTION("""COMPUTED_VALUE"""),"Alternating line colours in annotated pdf reports")</f>
        <v>Alternating line colours in annotated pdf reports</v>
      </c>
      <c r="D928" s="28">
        <f>IFERROR(__xludf.DUMMYFUNCTION("""COMPUTED_VALUE"""),1.25)</f>
        <v>1.25</v>
      </c>
      <c r="E928" s="29">
        <f>IFERROR(__xludf.DUMMYFUNCTION("""COMPUTED_VALUE"""),44099.625)</f>
        <v>44099.625</v>
      </c>
      <c r="F928" s="26" t="str">
        <f>IFERROR(__xludf.DUMMYFUNCTION("""COMPUTED_VALUE"""),"557058:3124a1f0-e92a-405c-93f2-c1d4e621bc77")</f>
        <v>557058:3124a1f0-e92a-405c-93f2-c1d4e621bc77</v>
      </c>
      <c r="G928" s="26" t="str">
        <f>IFERROR(__xludf.DUMMYFUNCTION("""COMPUTED_VALUE"""),"Trevor Coehoorn")</f>
        <v>Trevor Coehoorn</v>
      </c>
      <c r="H928" s="26" t="b">
        <v>0</v>
      </c>
    </row>
    <row r="929" hidden="1">
      <c r="A929" s="26" t="str">
        <f>VLOOKUP(B929,'2020 SRED (JIRA) - Issues and l'!$B:$C,2,FALSE)</f>
        <v>portal-builder-SRED</v>
      </c>
      <c r="B929" s="27" t="str">
        <f>IFERROR(__xludf.DUMMYFUNCTION("""COMPUTED_VALUE"""),"ITP-1810")</f>
        <v>ITP-1810</v>
      </c>
      <c r="C929" s="26" t="str">
        <f>IFERROR(__xludf.DUMMYFUNCTION("""COMPUTED_VALUE"""),"Add empty icons to the menu for incomplete touchpoint activities")</f>
        <v>Add empty icons to the menu for incomplete touchpoint activities</v>
      </c>
      <c r="D929" s="28">
        <f>IFERROR(__xludf.DUMMYFUNCTION("""COMPUTED_VALUE"""),1.25)</f>
        <v>1.25</v>
      </c>
      <c r="E929" s="29">
        <f>IFERROR(__xludf.DUMMYFUNCTION("""COMPUTED_VALUE"""),44099.65625)</f>
        <v>44099.65625</v>
      </c>
      <c r="F929" s="26" t="str">
        <f>IFERROR(__xludf.DUMMYFUNCTION("""COMPUTED_VALUE"""),"5f5125a6333edb00434bffaf")</f>
        <v>5f5125a6333edb00434bffaf</v>
      </c>
      <c r="G929" s="26" t="str">
        <f>IFERROR(__xludf.DUMMYFUNCTION("""COMPUTED_VALUE"""),"Terry Waldner")</f>
        <v>Terry Waldner</v>
      </c>
      <c r="H929" s="26" t="b">
        <v>0</v>
      </c>
    </row>
    <row r="930" hidden="1">
      <c r="A930" s="26" t="str">
        <f>VLOOKUP(B930,'2020 SRED (JIRA) - Issues and l'!$B:$C,2,FALSE)</f>
        <v>insite-event-SRED</v>
      </c>
      <c r="B930" s="27" t="str">
        <f>IFERROR(__xludf.DUMMYFUNCTION("""COMPUTED_VALUE"""),"ZAPI-154")</f>
        <v>ZAPI-154</v>
      </c>
      <c r="C930" s="26" t="str">
        <f>IFERROR(__xludf.DUMMYFUNCTION("""COMPUTED_VALUE"""),"Zoom recordings database table is not created during update")</f>
        <v>Zoom recordings database table is not created during update</v>
      </c>
      <c r="D930" s="28">
        <f>IFERROR(__xludf.DUMMYFUNCTION("""COMPUTED_VALUE"""),0.5)</f>
        <v>0.5</v>
      </c>
      <c r="E930" s="29">
        <f>IFERROR(__xludf.DUMMYFUNCTION("""COMPUTED_VALUE"""),44099.67708333333)</f>
        <v>44099.67708</v>
      </c>
      <c r="F930" s="26" t="str">
        <f>IFERROR(__xludf.DUMMYFUNCTION("""COMPUTED_VALUE"""),"557058:3124a1f0-e92a-405c-93f2-c1d4e621bc77")</f>
        <v>557058:3124a1f0-e92a-405c-93f2-c1d4e621bc77</v>
      </c>
      <c r="G930" s="26" t="str">
        <f>IFERROR(__xludf.DUMMYFUNCTION("""COMPUTED_VALUE"""),"Trevor Coehoorn")</f>
        <v>Trevor Coehoorn</v>
      </c>
      <c r="H930" s="26" t="b">
        <v>0</v>
      </c>
    </row>
    <row r="931" hidden="1">
      <c r="A931" s="26" t="str">
        <f>VLOOKUP(B931,'2020 SRED (JIRA) - Issues and l'!$B:$C,2,FALSE)</f>
        <v>portal-builder-SRED</v>
      </c>
      <c r="B931" s="27" t="str">
        <f>IFERROR(__xludf.DUMMYFUNCTION("""COMPUTED_VALUE"""),"ITP-1797")</f>
        <v>ITP-1797</v>
      </c>
      <c r="C931" s="26" t="str">
        <f>IFERROR(__xludf.DUMMYFUNCTION("""COMPUTED_VALUE"""),"Automate customized Friday digest")</f>
        <v>Automate customized Friday digest</v>
      </c>
      <c r="D931" s="28">
        <f>IFERROR(__xludf.DUMMYFUNCTION("""COMPUTED_VALUE"""),0.25)</f>
        <v>0.25</v>
      </c>
      <c r="E931" s="29">
        <f>IFERROR(__xludf.DUMMYFUNCTION("""COMPUTED_VALUE"""),44099.69791666667)</f>
        <v>44099.69792</v>
      </c>
      <c r="F931" s="26" t="str">
        <f>IFERROR(__xludf.DUMMYFUNCTION("""COMPUTED_VALUE"""),"557058:3124a1f0-e92a-405c-93f2-c1d4e621bc77")</f>
        <v>557058:3124a1f0-e92a-405c-93f2-c1d4e621bc77</v>
      </c>
      <c r="G931" s="26" t="str">
        <f>IFERROR(__xludf.DUMMYFUNCTION("""COMPUTED_VALUE"""),"Trevor Coehoorn")</f>
        <v>Trevor Coehoorn</v>
      </c>
      <c r="H931" s="26" t="b">
        <v>0</v>
      </c>
    </row>
    <row r="932">
      <c r="A932" s="26" t="str">
        <f>VLOOKUP(B932,'2020 SRED (JIRA) - Issues and l'!$B:$C,2,FALSE)</f>
        <v>insite-event-SRED</v>
      </c>
      <c r="B932" s="27" t="str">
        <f>IFERROR(__xludf.DUMMYFUNCTION("""COMPUTED_VALUE"""),"ZAPI-6")</f>
        <v>ZAPI-6</v>
      </c>
      <c r="C932" s="26" t="str">
        <f>IFERROR(__xludf.DUMMYFUNCTION("""COMPUTED_VALUE"""),"Zoom API v2 (Registration Flow and Reporting)")</f>
        <v>Zoom API v2 (Registration Flow and Reporting)</v>
      </c>
      <c r="D932" s="28">
        <f>IFERROR(__xludf.DUMMYFUNCTION("""COMPUTED_VALUE"""),0.5)</f>
        <v>0.5</v>
      </c>
      <c r="E932" s="29">
        <f>IFERROR(__xludf.DUMMYFUNCTION("""COMPUTED_VALUE"""),44102.0)</f>
        <v>44102</v>
      </c>
      <c r="F932" s="26" t="str">
        <f>IFERROR(__xludf.DUMMYFUNCTION("""COMPUTED_VALUE"""),"557058:ed1ddc66-d84d-405c-a815-0fcc6147ba14")</f>
        <v>557058:ed1ddc66-d84d-405c-a815-0fcc6147ba14</v>
      </c>
      <c r="G932" s="26" t="str">
        <f>IFERROR(__xludf.DUMMYFUNCTION("""COMPUTED_VALUE"""),"Mark Corrigan")</f>
        <v>Mark Corrigan</v>
      </c>
      <c r="H932" s="26" t="b">
        <v>0</v>
      </c>
    </row>
    <row r="933">
      <c r="A933" s="26" t="str">
        <f>VLOOKUP(B933,'2020 SRED (JIRA) - Issues and l'!$B:$C,2,FALSE)</f>
        <v>insite-workflow-SRED</v>
      </c>
      <c r="B933" s="27" t="str">
        <f>IFERROR(__xludf.DUMMYFUNCTION("""COMPUTED_VALUE"""),"APPS-451")</f>
        <v>APPS-451</v>
      </c>
      <c r="C933" s="26" t="str">
        <f>IFERROR(__xludf.DUMMYFUNCTION("""COMPUTED_VALUE"""),"Add touchpoint timeline graphic to top of proposal template")</f>
        <v>Add touchpoint timeline graphic to top of proposal template</v>
      </c>
      <c r="D933" s="28">
        <f>IFERROR(__xludf.DUMMYFUNCTION("""COMPUTED_VALUE"""),0.25)</f>
        <v>0.25</v>
      </c>
      <c r="E933" s="29">
        <f>IFERROR(__xludf.DUMMYFUNCTION("""COMPUTED_VALUE"""),44102.0)</f>
        <v>44102</v>
      </c>
      <c r="F933" s="26" t="str">
        <f>IFERROR(__xludf.DUMMYFUNCTION("""COMPUTED_VALUE"""),"557058:ed1ddc66-d84d-405c-a815-0fcc6147ba14")</f>
        <v>557058:ed1ddc66-d84d-405c-a815-0fcc6147ba14</v>
      </c>
      <c r="G933" s="26" t="str">
        <f>IFERROR(__xludf.DUMMYFUNCTION("""COMPUTED_VALUE"""),"Mark Corrigan")</f>
        <v>Mark Corrigan</v>
      </c>
      <c r="H933" s="26" t="b">
        <v>0</v>
      </c>
    </row>
    <row r="934">
      <c r="A934" s="26" t="str">
        <f>VLOOKUP(B934,'2020 SRED (JIRA) - Issues and l'!$B:$C,2,FALSE)</f>
        <v>insite-workflow-SRED</v>
      </c>
      <c r="B934" s="27" t="str">
        <f>IFERROR(__xludf.DUMMYFUNCTION("""COMPUTED_VALUE"""),"APPS-252")</f>
        <v>APPS-252</v>
      </c>
      <c r="C934" s="26" t="str">
        <f>IFERROR(__xludf.DUMMYFUNCTION("""COMPUTED_VALUE"""),"As Impetus IT, I can create and modify staff member records")</f>
        <v>As Impetus IT, I can create and modify staff member records</v>
      </c>
      <c r="D934" s="28">
        <f>IFERROR(__xludf.DUMMYFUNCTION("""COMPUTED_VALUE"""),0.25)</f>
        <v>0.25</v>
      </c>
      <c r="E934" s="29">
        <f>IFERROR(__xludf.DUMMYFUNCTION("""COMPUTED_VALUE"""),44102.0)</f>
        <v>44102</v>
      </c>
      <c r="F934" s="26" t="str">
        <f>IFERROR(__xludf.DUMMYFUNCTION("""COMPUTED_VALUE"""),"557058:ed1ddc66-d84d-405c-a815-0fcc6147ba14")</f>
        <v>557058:ed1ddc66-d84d-405c-a815-0fcc6147ba14</v>
      </c>
      <c r="G934" s="26" t="str">
        <f>IFERROR(__xludf.DUMMYFUNCTION("""COMPUTED_VALUE"""),"Mark Corrigan")</f>
        <v>Mark Corrigan</v>
      </c>
      <c r="H934" s="26" t="b">
        <v>0</v>
      </c>
    </row>
    <row r="935">
      <c r="A935" s="26" t="str">
        <f>VLOOKUP(B935,'2020 SRED (JIRA) - Issues and l'!$B:$C,2,FALSE)</f>
        <v>insite-event-SRED</v>
      </c>
      <c r="B935" s="27" t="str">
        <f>IFERROR(__xludf.DUMMYFUNCTION("""COMPUTED_VALUE"""),"ZAPI-154")</f>
        <v>ZAPI-154</v>
      </c>
      <c r="C935" s="26" t="str">
        <f>IFERROR(__xludf.DUMMYFUNCTION("""COMPUTED_VALUE"""),"Zoom recordings database table is not created during update")</f>
        <v>Zoom recordings database table is not created during update</v>
      </c>
      <c r="D935" s="28">
        <f>IFERROR(__xludf.DUMMYFUNCTION("""COMPUTED_VALUE"""),0.25)</f>
        <v>0.25</v>
      </c>
      <c r="E935" s="29">
        <f>IFERROR(__xludf.DUMMYFUNCTION("""COMPUTED_VALUE"""),44102.0)</f>
        <v>44102</v>
      </c>
      <c r="F935" s="26" t="str">
        <f>IFERROR(__xludf.DUMMYFUNCTION("""COMPUTED_VALUE"""),"557058:ed1ddc66-d84d-405c-a815-0fcc6147ba14")</f>
        <v>557058:ed1ddc66-d84d-405c-a815-0fcc6147ba14</v>
      </c>
      <c r="G935" s="26" t="str">
        <f>IFERROR(__xludf.DUMMYFUNCTION("""COMPUTED_VALUE"""),"Mark Corrigan")</f>
        <v>Mark Corrigan</v>
      </c>
      <c r="H935" s="26" t="b">
        <v>0</v>
      </c>
    </row>
    <row r="936">
      <c r="A936" s="26" t="str">
        <f>VLOOKUP(B936,'2020 SRED (JIRA) - Issues and l'!$B:$C,2,FALSE)</f>
        <v>insite-workflow-SRED</v>
      </c>
      <c r="B936" s="27" t="str">
        <f>IFERROR(__xludf.DUMMYFUNCTION("""COMPUTED_VALUE"""),"APPS-462")</f>
        <v>APPS-462</v>
      </c>
      <c r="C936" s="26" t="str">
        <f>IFERROR(__xludf.DUMMYFUNCTION("""COMPUTED_VALUE"""),"Migrate Impetus Staff table to HR app database")</f>
        <v>Migrate Impetus Staff table to HR app database</v>
      </c>
      <c r="D936" s="28">
        <f>IFERROR(__xludf.DUMMYFUNCTION("""COMPUTED_VALUE"""),0.25)</f>
        <v>0.25</v>
      </c>
      <c r="E936" s="29">
        <f>IFERROR(__xludf.DUMMYFUNCTION("""COMPUTED_VALUE"""),44102.0)</f>
        <v>44102</v>
      </c>
      <c r="F936" s="26" t="str">
        <f>IFERROR(__xludf.DUMMYFUNCTION("""COMPUTED_VALUE"""),"557058:ed1ddc66-d84d-405c-a815-0fcc6147ba14")</f>
        <v>557058:ed1ddc66-d84d-405c-a815-0fcc6147ba14</v>
      </c>
      <c r="G936" s="26" t="str">
        <f>IFERROR(__xludf.DUMMYFUNCTION("""COMPUTED_VALUE"""),"Mark Corrigan")</f>
        <v>Mark Corrigan</v>
      </c>
      <c r="H936" s="26" t="b">
        <v>0</v>
      </c>
    </row>
    <row r="937">
      <c r="A937" s="26" t="str">
        <f>VLOOKUP(B937,'2020 SRED (JIRA) - Issues and l'!$B:$C,2,FALSE)</f>
        <v>insite-event-SRED</v>
      </c>
      <c r="B937" s="27" t="str">
        <f>IFERROR(__xludf.DUMMYFUNCTION("""COMPUTED_VALUE"""),"ZAPI-141")</f>
        <v>ZAPI-141</v>
      </c>
      <c r="C937" s="26" t="str">
        <f>IFERROR(__xludf.DUMMYFUNCTION("""COMPUTED_VALUE"""),"Multiple recording fieldsets displayed in web meeting reports and recordings widget ")</f>
        <v>Multiple recording fieldsets displayed in web meeting reports and recordings widget </v>
      </c>
      <c r="D937" s="28">
        <f>IFERROR(__xludf.DUMMYFUNCTION("""COMPUTED_VALUE"""),0.25)</f>
        <v>0.25</v>
      </c>
      <c r="E937" s="29">
        <f>IFERROR(__xludf.DUMMYFUNCTION("""COMPUTED_VALUE"""),44102.0)</f>
        <v>44102</v>
      </c>
      <c r="F937" s="26" t="str">
        <f>IFERROR(__xludf.DUMMYFUNCTION("""COMPUTED_VALUE"""),"557058:ed1ddc66-d84d-405c-a815-0fcc6147ba14")</f>
        <v>557058:ed1ddc66-d84d-405c-a815-0fcc6147ba14</v>
      </c>
      <c r="G937" s="26" t="str">
        <f>IFERROR(__xludf.DUMMYFUNCTION("""COMPUTED_VALUE"""),"Mark Corrigan")</f>
        <v>Mark Corrigan</v>
      </c>
      <c r="H937" s="26" t="b">
        <v>0</v>
      </c>
    </row>
    <row r="938">
      <c r="A938" s="26" t="str">
        <f>VLOOKUP(B938,'2020 SRED (JIRA) - Issues and l'!$B:$C,2,FALSE)</f>
        <v>insite-workflow-SRED</v>
      </c>
      <c r="B938" s="27" t="str">
        <f>IFERROR(__xludf.DUMMYFUNCTION("""COMPUTED_VALUE"""),"APPS-142")</f>
        <v>APPS-142</v>
      </c>
      <c r="C938" s="26" t="str">
        <f>IFERROR(__xludf.DUMMYFUNCTION("""COMPUTED_VALUE"""),"As a salesperson, I can export a proposal to Google Docs and invite the client to review")</f>
        <v>As a salesperson, I can export a proposal to Google Docs and invite the client to review</v>
      </c>
      <c r="D938" s="28">
        <f>IFERROR(__xludf.DUMMYFUNCTION("""COMPUTED_VALUE"""),1.0)</f>
        <v>1</v>
      </c>
      <c r="E938" s="29">
        <f>IFERROR(__xludf.DUMMYFUNCTION("""COMPUTED_VALUE"""),44102.0)</f>
        <v>44102</v>
      </c>
      <c r="F938" s="26" t="str">
        <f>IFERROR(__xludf.DUMMYFUNCTION("""COMPUTED_VALUE"""),"557058:ed1ddc66-d84d-405c-a815-0fcc6147ba14")</f>
        <v>557058:ed1ddc66-d84d-405c-a815-0fcc6147ba14</v>
      </c>
      <c r="G938" s="26" t="str">
        <f>IFERROR(__xludf.DUMMYFUNCTION("""COMPUTED_VALUE"""),"Mark Corrigan")</f>
        <v>Mark Corrigan</v>
      </c>
      <c r="H938" s="26" t="b">
        <v>0</v>
      </c>
    </row>
    <row r="939" hidden="1">
      <c r="A939" s="26" t="str">
        <f>VLOOKUP(B939,'2020 SRED (JIRA) - Issues and l'!$B:$C,2,FALSE)</f>
        <v>insite-workflow-SRED</v>
      </c>
      <c r="B939" s="27" t="str">
        <f>IFERROR(__xludf.DUMMYFUNCTION("""COMPUTED_VALUE"""),"APPS-437")</f>
        <v>APPS-437</v>
      </c>
      <c r="C939" s="26" t="str">
        <f>IFERROR(__xludf.DUMMYFUNCTION("""COMPUTED_VALUE"""),"Possible to change “View” link to “View all” on in-line tables?")</f>
        <v>Possible to change “View” link to “View all” on in-line tables?</v>
      </c>
      <c r="D939" s="28">
        <f>IFERROR(__xludf.DUMMYFUNCTION("""COMPUTED_VALUE"""),2.0)</f>
        <v>2</v>
      </c>
      <c r="E939" s="29">
        <f>IFERROR(__xludf.DUMMYFUNCTION("""COMPUTED_VALUE"""),44102.0)</f>
        <v>44102</v>
      </c>
      <c r="F939" s="26" t="str">
        <f>IFERROR(__xludf.DUMMYFUNCTION("""COMPUTED_VALUE"""),"5ee7b6ce868ce30ac49e2521")</f>
        <v>5ee7b6ce868ce30ac49e2521</v>
      </c>
      <c r="G939" s="26" t="str">
        <f>IFERROR(__xludf.DUMMYFUNCTION("""COMPUTED_VALUE"""),"Bryan Le")</f>
        <v>Bryan Le</v>
      </c>
      <c r="H939" s="26" t="b">
        <v>0</v>
      </c>
    </row>
    <row r="940" hidden="1">
      <c r="A940" s="26" t="str">
        <f>VLOOKUP(B940,'2020 SRED (JIRA) - Issues and l'!$B:$C,2,FALSE)</f>
        <v>insite-workflow-SRED</v>
      </c>
      <c r="B940" s="27" t="str">
        <f>IFERROR(__xludf.DUMMYFUNCTION("""COMPUTED_VALUE"""),"APPS-461")</f>
        <v>APPS-461</v>
      </c>
      <c r="C940" s="26" t="str">
        <f>IFERROR(__xludf.DUMMYFUNCTION("""COMPUTED_VALUE"""),"Migrate from prototype app to Sales Pipeline")</f>
        <v>Migrate from prototype app to Sales Pipeline</v>
      </c>
      <c r="D940" s="28">
        <f>IFERROR(__xludf.DUMMYFUNCTION("""COMPUTED_VALUE"""),7.0)</f>
        <v>7</v>
      </c>
      <c r="E940" s="29">
        <f>IFERROR(__xludf.DUMMYFUNCTION("""COMPUTED_VALUE"""),44102.0)</f>
        <v>44102</v>
      </c>
      <c r="F940" s="26" t="str">
        <f>IFERROR(__xludf.DUMMYFUNCTION("""COMPUTED_VALUE"""),"5ee7b6cf02b4400ac4b65399")</f>
        <v>5ee7b6cf02b4400ac4b65399</v>
      </c>
      <c r="G940" s="26" t="str">
        <f>IFERROR(__xludf.DUMMYFUNCTION("""COMPUTED_VALUE"""),"Jessica Obando")</f>
        <v>Jessica Obando</v>
      </c>
      <c r="H940" s="26" t="b">
        <v>0</v>
      </c>
    </row>
    <row r="941" hidden="1">
      <c r="A941" s="26" t="str">
        <f>VLOOKUP(B941,'2020 SRED (JIRA) - Issues and l'!$B:$C,2,FALSE)</f>
        <v>portal-builder-SRED</v>
      </c>
      <c r="B941" s="27" t="str">
        <f>IFERROR(__xludf.DUMMYFUNCTION("""COMPUTED_VALUE"""),"ITP-1810")</f>
        <v>ITP-1810</v>
      </c>
      <c r="C941" s="26" t="str">
        <f>IFERROR(__xludf.DUMMYFUNCTION("""COMPUTED_VALUE"""),"Add empty icons to the menu for incomplete touchpoint activities")</f>
        <v>Add empty icons to the menu for incomplete touchpoint activities</v>
      </c>
      <c r="D941" s="28">
        <f>IFERROR(__xludf.DUMMYFUNCTION("""COMPUTED_VALUE"""),3.5)</f>
        <v>3.5</v>
      </c>
      <c r="E941" s="29">
        <f>IFERROR(__xludf.DUMMYFUNCTION("""COMPUTED_VALUE"""),44102.33333333333)</f>
        <v>44102.33333</v>
      </c>
      <c r="F941" s="26" t="str">
        <f>IFERROR(__xludf.DUMMYFUNCTION("""COMPUTED_VALUE"""),"5f5125a6333edb00434bffaf")</f>
        <v>5f5125a6333edb00434bffaf</v>
      </c>
      <c r="G941" s="26" t="str">
        <f>IFERROR(__xludf.DUMMYFUNCTION("""COMPUTED_VALUE"""),"Terry Waldner")</f>
        <v>Terry Waldner</v>
      </c>
      <c r="H941" s="26" t="b">
        <v>0</v>
      </c>
    </row>
    <row r="942" hidden="1">
      <c r="A942" s="26" t="str">
        <f>VLOOKUP(B942,'2020 SRED (JIRA) - Issues and l'!$B:$C,2,FALSE)</f>
        <v>portal-builder-SRED</v>
      </c>
      <c r="B942" s="27" t="str">
        <f>IFERROR(__xludf.DUMMYFUNCTION("""COMPUTED_VALUE"""),"ITP-1877")</f>
        <v>ITP-1877</v>
      </c>
      <c r="C942" s="26" t="str">
        <f>IFERROR(__xludf.DUMMYFUNCTION("""COMPUTED_VALUE"""),"TP builder makes pages with section titles longer than allowed character limit ")</f>
        <v>TP builder makes pages with section titles longer than allowed character limit </v>
      </c>
      <c r="D942" s="28">
        <f>IFERROR(__xludf.DUMMYFUNCTION("""COMPUTED_VALUE"""),0.75)</f>
        <v>0.75</v>
      </c>
      <c r="E942" s="29">
        <f>IFERROR(__xludf.DUMMYFUNCTION("""COMPUTED_VALUE"""),44102.35416666667)</f>
        <v>44102.35417</v>
      </c>
      <c r="F942" s="26" t="str">
        <f>IFERROR(__xludf.DUMMYFUNCTION("""COMPUTED_VALUE"""),"557058:3124a1f0-e92a-405c-93f2-c1d4e621bc77")</f>
        <v>557058:3124a1f0-e92a-405c-93f2-c1d4e621bc77</v>
      </c>
      <c r="G942" s="26" t="str">
        <f>IFERROR(__xludf.DUMMYFUNCTION("""COMPUTED_VALUE"""),"Trevor Coehoorn")</f>
        <v>Trevor Coehoorn</v>
      </c>
      <c r="H942" s="26" t="b">
        <v>0</v>
      </c>
    </row>
    <row r="943" hidden="1">
      <c r="A943" s="26" t="str">
        <f>VLOOKUP(B943,'2020 SRED (JIRA) - Issues and l'!$B:$C,2,FALSE)</f>
        <v>portal-builder-SRED</v>
      </c>
      <c r="B943" s="27" t="str">
        <f>IFERROR(__xludf.DUMMYFUNCTION("""COMPUTED_VALUE"""),"ITP-1810")</f>
        <v>ITP-1810</v>
      </c>
      <c r="C943" s="26" t="str">
        <f>IFERROR(__xludf.DUMMYFUNCTION("""COMPUTED_VALUE"""),"Add empty icons to the menu for incomplete touchpoint activities")</f>
        <v>Add empty icons to the menu for incomplete touchpoint activities</v>
      </c>
      <c r="D943" s="28">
        <f>IFERROR(__xludf.DUMMYFUNCTION("""COMPUTED_VALUE"""),0.5)</f>
        <v>0.5</v>
      </c>
      <c r="E943" s="29">
        <f>IFERROR(__xludf.DUMMYFUNCTION("""COMPUTED_VALUE"""),44102.39583333333)</f>
        <v>44102.39583</v>
      </c>
      <c r="F943" s="26" t="str">
        <f>IFERROR(__xludf.DUMMYFUNCTION("""COMPUTED_VALUE"""),"557058:3124a1f0-e92a-405c-93f2-c1d4e621bc77")</f>
        <v>557058:3124a1f0-e92a-405c-93f2-c1d4e621bc77</v>
      </c>
      <c r="G943" s="26" t="str">
        <f>IFERROR(__xludf.DUMMYFUNCTION("""COMPUTED_VALUE"""),"Trevor Coehoorn")</f>
        <v>Trevor Coehoorn</v>
      </c>
      <c r="H943" s="26" t="b">
        <v>0</v>
      </c>
    </row>
    <row r="944" hidden="1">
      <c r="A944" s="26" t="str">
        <f>VLOOKUP(B944,'2020 SRED (JIRA) - Issues and l'!$B:$C,2,FALSE)</f>
        <v>portal-builder-SRED</v>
      </c>
      <c r="B944" s="27" t="str">
        <f>IFERROR(__xludf.DUMMYFUNCTION("""COMPUTED_VALUE"""),"ITP-1873")</f>
        <v>ITP-1873</v>
      </c>
      <c r="C944" s="26" t="str">
        <f>IFERROR(__xludf.DUMMYFUNCTION("""COMPUTED_VALUE"""),"Remove the previous submissions link from submitted webform pages")</f>
        <v>Remove the previous submissions link from submitted webform pages</v>
      </c>
      <c r="D944" s="28">
        <f>IFERROR(__xludf.DUMMYFUNCTION("""COMPUTED_VALUE"""),0.75)</f>
        <v>0.75</v>
      </c>
      <c r="E944" s="29">
        <f>IFERROR(__xludf.DUMMYFUNCTION("""COMPUTED_VALUE"""),44102.42708333333)</f>
        <v>44102.42708</v>
      </c>
      <c r="F944" s="26" t="str">
        <f>IFERROR(__xludf.DUMMYFUNCTION("""COMPUTED_VALUE"""),"557058:3124a1f0-e92a-405c-93f2-c1d4e621bc77")</f>
        <v>557058:3124a1f0-e92a-405c-93f2-c1d4e621bc77</v>
      </c>
      <c r="G944" s="26" t="str">
        <f>IFERROR(__xludf.DUMMYFUNCTION("""COMPUTED_VALUE"""),"Trevor Coehoorn")</f>
        <v>Trevor Coehoorn</v>
      </c>
      <c r="H944" s="26" t="b">
        <v>0</v>
      </c>
    </row>
    <row r="945" hidden="1">
      <c r="A945" s="26" t="str">
        <f>VLOOKUP(B945,'2020 SRED (JIRA) - Issues and l'!$B:$C,2,FALSE)</f>
        <v>portal-builder-SRED</v>
      </c>
      <c r="B945" s="27" t="str">
        <f>IFERROR(__xludf.DUMMYFUNCTION("""COMPUTED_VALUE"""),"ITP-1810")</f>
        <v>ITP-1810</v>
      </c>
      <c r="C945" s="26" t="str">
        <f>IFERROR(__xludf.DUMMYFUNCTION("""COMPUTED_VALUE"""),"Add empty icons to the menu for incomplete touchpoint activities")</f>
        <v>Add empty icons to the menu for incomplete touchpoint activities</v>
      </c>
      <c r="D945" s="28">
        <f>IFERROR(__xludf.DUMMYFUNCTION("""COMPUTED_VALUE"""),0.25)</f>
        <v>0.25</v>
      </c>
      <c r="E945" s="29">
        <f>IFERROR(__xludf.DUMMYFUNCTION("""COMPUTED_VALUE"""),44102.48958333333)</f>
        <v>44102.48958</v>
      </c>
      <c r="F945" s="26" t="str">
        <f>IFERROR(__xludf.DUMMYFUNCTION("""COMPUTED_VALUE"""),"557058:3124a1f0-e92a-405c-93f2-c1d4e621bc77")</f>
        <v>557058:3124a1f0-e92a-405c-93f2-c1d4e621bc77</v>
      </c>
      <c r="G945" s="26" t="str">
        <f>IFERROR(__xludf.DUMMYFUNCTION("""COMPUTED_VALUE"""),"Trevor Coehoorn")</f>
        <v>Trevor Coehoorn</v>
      </c>
      <c r="H945" s="26" t="b">
        <v>0</v>
      </c>
    </row>
    <row r="946" hidden="1">
      <c r="A946" s="26" t="str">
        <f>VLOOKUP(B946,'2020 SRED (JIRA) - Issues and l'!$B:$C,2,FALSE)</f>
        <v>portal-builder-SRED</v>
      </c>
      <c r="B946" s="27" t="str">
        <f>IFERROR(__xludf.DUMMYFUNCTION("""COMPUTED_VALUE"""),"ITP-1810")</f>
        <v>ITP-1810</v>
      </c>
      <c r="C946" s="26" t="str">
        <f>IFERROR(__xludf.DUMMYFUNCTION("""COMPUTED_VALUE"""),"Add empty icons to the menu for incomplete touchpoint activities")</f>
        <v>Add empty icons to the menu for incomplete touchpoint activities</v>
      </c>
      <c r="D946" s="28">
        <f>IFERROR(__xludf.DUMMYFUNCTION("""COMPUTED_VALUE"""),0.75)</f>
        <v>0.75</v>
      </c>
      <c r="E946" s="29">
        <f>IFERROR(__xludf.DUMMYFUNCTION("""COMPUTED_VALUE"""),44102.48958333333)</f>
        <v>44102.48958</v>
      </c>
      <c r="F946" s="26" t="str">
        <f>IFERROR(__xludf.DUMMYFUNCTION("""COMPUTED_VALUE"""),"5f5125a6333edb00434bffaf")</f>
        <v>5f5125a6333edb00434bffaf</v>
      </c>
      <c r="G946" s="26" t="str">
        <f>IFERROR(__xludf.DUMMYFUNCTION("""COMPUTED_VALUE"""),"Terry Waldner")</f>
        <v>Terry Waldner</v>
      </c>
      <c r="H946" s="26" t="b">
        <v>0</v>
      </c>
    </row>
    <row r="947" hidden="1">
      <c r="A947" s="26" t="str">
        <f>VLOOKUP(B947,'2020 SRED (JIRA) - Issues and l'!$B:$C,2,FALSE)</f>
        <v>insite-event-SRED</v>
      </c>
      <c r="B947" s="27" t="str">
        <f>IFERROR(__xludf.DUMMYFUNCTION("""COMPUTED_VALUE"""),"ZAPI-141")</f>
        <v>ZAPI-141</v>
      </c>
      <c r="C947" s="26" t="str">
        <f>IFERROR(__xludf.DUMMYFUNCTION("""COMPUTED_VALUE"""),"Multiple recording fieldsets displayed in web meeting reports and recordings widget ")</f>
        <v>Multiple recording fieldsets displayed in web meeting reports and recordings widget </v>
      </c>
      <c r="D947" s="28">
        <f>IFERROR(__xludf.DUMMYFUNCTION("""COMPUTED_VALUE"""),4.0)</f>
        <v>4</v>
      </c>
      <c r="E947" s="29">
        <f>IFERROR(__xludf.DUMMYFUNCTION("""COMPUTED_VALUE"""),44102.54166666667)</f>
        <v>44102.54167</v>
      </c>
      <c r="F947" s="26" t="str">
        <f>IFERROR(__xludf.DUMMYFUNCTION("""COMPUTED_VALUE"""),"5e95be7f18b8ed0c0f5adb36")</f>
        <v>5e95be7f18b8ed0c0f5adb36</v>
      </c>
      <c r="G947" s="26" t="str">
        <f>IFERROR(__xludf.DUMMYFUNCTION("""COMPUTED_VALUE"""),"Frantisek Trusa")</f>
        <v>Frantisek Trusa</v>
      </c>
      <c r="H947" s="26" t="b">
        <v>0</v>
      </c>
    </row>
    <row r="948" hidden="1">
      <c r="A948" s="26" t="str">
        <f>VLOOKUP(B948,'2020 SRED (JIRA) - Issues and l'!$B:$C,2,FALSE)</f>
        <v>portal-builder-SRED</v>
      </c>
      <c r="B948" s="27" t="str">
        <f>IFERROR(__xludf.DUMMYFUNCTION("""COMPUTED_VALUE"""),"ITP-1874")</f>
        <v>ITP-1874</v>
      </c>
      <c r="C948" s="26" t="str">
        <f>IFERROR(__xludf.DUMMYFUNCTION("""COMPUTED_VALUE"""),"Multiple webform submission group conditions")</f>
        <v>Multiple webform submission group conditions</v>
      </c>
      <c r="D948" s="28">
        <f>IFERROR(__xludf.DUMMYFUNCTION("""COMPUTED_VALUE"""),3.5)</f>
        <v>3.5</v>
      </c>
      <c r="E948" s="29">
        <f>IFERROR(__xludf.DUMMYFUNCTION("""COMPUTED_VALUE"""),44102.54166666667)</f>
        <v>44102.54167</v>
      </c>
      <c r="F948" s="26" t="str">
        <f>IFERROR(__xludf.DUMMYFUNCTION("""COMPUTED_VALUE"""),"5f5125a6333edb00434bffaf")</f>
        <v>5f5125a6333edb00434bffaf</v>
      </c>
      <c r="G948" s="26" t="str">
        <f>IFERROR(__xludf.DUMMYFUNCTION("""COMPUTED_VALUE"""),"Terry Waldner")</f>
        <v>Terry Waldner</v>
      </c>
      <c r="H948" s="26" t="b">
        <v>0</v>
      </c>
    </row>
    <row r="949" hidden="1">
      <c r="A949" s="26" t="str">
        <f>VLOOKUP(B949,'2020 SRED (JIRA) - Issues and l'!$B:$C,2,FALSE)</f>
        <v>insite-event-SRED</v>
      </c>
      <c r="B949" s="27" t="str">
        <f>IFERROR(__xludf.DUMMYFUNCTION("""COMPUTED_VALUE"""),"ZAPI-124")</f>
        <v>ZAPI-124</v>
      </c>
      <c r="C949" s="26" t="str">
        <f>IFERROR(__xludf.DUMMYFUNCTION("""COMPUTED_VALUE"""),"Refresh the videos table when a video is saved")</f>
        <v>Refresh the videos table when a video is saved</v>
      </c>
      <c r="D949" s="28">
        <f>IFERROR(__xludf.DUMMYFUNCTION("""COMPUTED_VALUE"""),0.5)</f>
        <v>0.5</v>
      </c>
      <c r="E949" s="29">
        <f>IFERROR(__xludf.DUMMYFUNCTION("""COMPUTED_VALUE"""),44102.55208333333)</f>
        <v>44102.55208</v>
      </c>
      <c r="F949" s="26" t="str">
        <f>IFERROR(__xludf.DUMMYFUNCTION("""COMPUTED_VALUE"""),"557058:3124a1f0-e92a-405c-93f2-c1d4e621bc77")</f>
        <v>557058:3124a1f0-e92a-405c-93f2-c1d4e621bc77</v>
      </c>
      <c r="G949" s="26" t="str">
        <f>IFERROR(__xludf.DUMMYFUNCTION("""COMPUTED_VALUE"""),"Trevor Coehoorn")</f>
        <v>Trevor Coehoorn</v>
      </c>
      <c r="H949" s="26" t="b">
        <v>0</v>
      </c>
    </row>
    <row r="950" hidden="1">
      <c r="A950" s="26" t="str">
        <f>VLOOKUP(B950,'2020 SRED (JIRA) - Issues and l'!$B:$C,2,FALSE)</f>
        <v>insite-event-SRED</v>
      </c>
      <c r="B950" s="27" t="str">
        <f>IFERROR(__xludf.DUMMYFUNCTION("""COMPUTED_VALUE"""),"ZAPI-122")</f>
        <v>ZAPI-122</v>
      </c>
      <c r="C950" s="26" t="str">
        <f>IFERROR(__xludf.DUMMYFUNCTION("""COMPUTED_VALUE"""),"if ""custom url"" is selected, add email address parameter to URL for registrants who need to be manually approved ")</f>
        <v>if "custom url" is selected, add email address parameter to URL for registrants who need to be manually approved </v>
      </c>
      <c r="D950" s="28">
        <f>IFERROR(__xludf.DUMMYFUNCTION("""COMPUTED_VALUE"""),0.25)</f>
        <v>0.25</v>
      </c>
      <c r="E950" s="29">
        <f>IFERROR(__xludf.DUMMYFUNCTION("""COMPUTED_VALUE"""),44102.57291666667)</f>
        <v>44102.57292</v>
      </c>
      <c r="F950" s="26" t="str">
        <f>IFERROR(__xludf.DUMMYFUNCTION("""COMPUTED_VALUE"""),"557058:3124a1f0-e92a-405c-93f2-c1d4e621bc77")</f>
        <v>557058:3124a1f0-e92a-405c-93f2-c1d4e621bc77</v>
      </c>
      <c r="G950" s="26" t="str">
        <f>IFERROR(__xludf.DUMMYFUNCTION("""COMPUTED_VALUE"""),"Trevor Coehoorn")</f>
        <v>Trevor Coehoorn</v>
      </c>
      <c r="H950" s="26" t="b">
        <v>0</v>
      </c>
    </row>
    <row r="951" hidden="1">
      <c r="A951" s="26" t="str">
        <f>VLOOKUP(B951,'2020 SRED (JIRA) - Issues and l'!$B:$C,2,FALSE)</f>
        <v>insite-event-SRED</v>
      </c>
      <c r="B951" s="27" t="str">
        <f>IFERROR(__xludf.DUMMYFUNCTION("""COMPUTED_VALUE"""),"ZAPI-65")</f>
        <v>ZAPI-65</v>
      </c>
      <c r="C951" s="26" t="str">
        <f>IFERROR(__xludf.DUMMYFUNCTION("""COMPUTED_VALUE"""),"Prevent users from trying to add more than 25 polls")</f>
        <v>Prevent users from trying to add more than 25 polls</v>
      </c>
      <c r="D951" s="28">
        <f>IFERROR(__xludf.DUMMYFUNCTION("""COMPUTED_VALUE"""),0.5)</f>
        <v>0.5</v>
      </c>
      <c r="E951" s="29">
        <f>IFERROR(__xludf.DUMMYFUNCTION("""COMPUTED_VALUE"""),44102.58333333333)</f>
        <v>44102.58333</v>
      </c>
      <c r="F951" s="26" t="str">
        <f>IFERROR(__xludf.DUMMYFUNCTION("""COMPUTED_VALUE"""),"557058:3124a1f0-e92a-405c-93f2-c1d4e621bc77")</f>
        <v>557058:3124a1f0-e92a-405c-93f2-c1d4e621bc77</v>
      </c>
      <c r="G951" s="26" t="str">
        <f>IFERROR(__xludf.DUMMYFUNCTION("""COMPUTED_VALUE"""),"Trevor Coehoorn")</f>
        <v>Trevor Coehoorn</v>
      </c>
      <c r="H951" s="26" t="b">
        <v>0</v>
      </c>
    </row>
    <row r="952" hidden="1">
      <c r="A952" s="26" t="str">
        <f>VLOOKUP(B952,'2020 SRED (JIRA) - Issues and l'!$B:$C,2,FALSE)</f>
        <v>portal-builder-SRED</v>
      </c>
      <c r="B952" s="27" t="str">
        <f>IFERROR(__xludf.DUMMYFUNCTION("""COMPUTED_VALUE"""),"ITP-1871")</f>
        <v>ITP-1871</v>
      </c>
      <c r="C952" s="26" t="str">
        <f>IFERROR(__xludf.DUMMYFUNCTION("""COMPUTED_VALUE"""),"Add touchpoint completion indicator to the top of each touchpoint page")</f>
        <v>Add touchpoint completion indicator to the top of each touchpoint page</v>
      </c>
      <c r="D952" s="28">
        <f>IFERROR(__xludf.DUMMYFUNCTION("""COMPUTED_VALUE"""),0.5)</f>
        <v>0.5</v>
      </c>
      <c r="E952" s="29">
        <f>IFERROR(__xludf.DUMMYFUNCTION("""COMPUTED_VALUE"""),44102.625)</f>
        <v>44102.625</v>
      </c>
      <c r="F952" s="26" t="str">
        <f>IFERROR(__xludf.DUMMYFUNCTION("""COMPUTED_VALUE"""),"557058:3124a1f0-e92a-405c-93f2-c1d4e621bc77")</f>
        <v>557058:3124a1f0-e92a-405c-93f2-c1d4e621bc77</v>
      </c>
      <c r="G952" s="26" t="str">
        <f>IFERROR(__xludf.DUMMYFUNCTION("""COMPUTED_VALUE"""),"Trevor Coehoorn")</f>
        <v>Trevor Coehoorn</v>
      </c>
      <c r="H952" s="26" t="b">
        <v>0</v>
      </c>
    </row>
    <row r="953" hidden="1">
      <c r="A953" s="26" t="str">
        <f>VLOOKUP(B953,'2020 SRED (JIRA) - Issues and l'!$B:$C,2,FALSE)</f>
        <v>portal-builder-SRED</v>
      </c>
      <c r="B953" s="27" t="str">
        <f>IFERROR(__xludf.DUMMYFUNCTION("""COMPUTED_VALUE"""),"ITP-1874")</f>
        <v>ITP-1874</v>
      </c>
      <c r="C953" s="26" t="str">
        <f>IFERROR(__xludf.DUMMYFUNCTION("""COMPUTED_VALUE"""),"Multiple webform submission group conditions")</f>
        <v>Multiple webform submission group conditions</v>
      </c>
      <c r="D953" s="28">
        <f>IFERROR(__xludf.DUMMYFUNCTION("""COMPUTED_VALUE"""),0.5)</f>
        <v>0.5</v>
      </c>
      <c r="E953" s="29">
        <f>IFERROR(__xludf.DUMMYFUNCTION("""COMPUTED_VALUE"""),44102.64583333333)</f>
        <v>44102.64583</v>
      </c>
      <c r="F953" s="26" t="str">
        <f>IFERROR(__xludf.DUMMYFUNCTION("""COMPUTED_VALUE"""),"557058:3124a1f0-e92a-405c-93f2-c1d4e621bc77")</f>
        <v>557058:3124a1f0-e92a-405c-93f2-c1d4e621bc77</v>
      </c>
      <c r="G953" s="26" t="str">
        <f>IFERROR(__xludf.DUMMYFUNCTION("""COMPUTED_VALUE"""),"Trevor Coehoorn")</f>
        <v>Trevor Coehoorn</v>
      </c>
      <c r="H953" s="26" t="b">
        <v>0</v>
      </c>
    </row>
    <row r="954" hidden="1">
      <c r="A954" s="26" t="str">
        <f>VLOOKUP(B954,'2020 SRED (JIRA) - Issues and l'!$B:$C,2,FALSE)</f>
        <v>portal-builder-SRED</v>
      </c>
      <c r="B954" s="27" t="str">
        <f>IFERROR(__xludf.DUMMYFUNCTION("""COMPUTED_VALUE"""),"ITP-1864")</f>
        <v>ITP-1864</v>
      </c>
      <c r="C954" s="26" t="str">
        <f>IFERROR(__xludf.DUMMYFUNCTION("""COMPUTED_VALUE"""),"Prevent file widget video files from automatically playing when they are downloaded")</f>
        <v>Prevent file widget video files from automatically playing when they are downloaded</v>
      </c>
      <c r="D954" s="28">
        <f>IFERROR(__xludf.DUMMYFUNCTION("""COMPUTED_VALUE"""),0.25)</f>
        <v>0.25</v>
      </c>
      <c r="E954" s="29">
        <f>IFERROR(__xludf.DUMMYFUNCTION("""COMPUTED_VALUE"""),44102.6875)</f>
        <v>44102.6875</v>
      </c>
      <c r="F954" s="26" t="str">
        <f>IFERROR(__xludf.DUMMYFUNCTION("""COMPUTED_VALUE"""),"557058:3124a1f0-e92a-405c-93f2-c1d4e621bc77")</f>
        <v>557058:3124a1f0-e92a-405c-93f2-c1d4e621bc77</v>
      </c>
      <c r="G954" s="26" t="str">
        <f>IFERROR(__xludf.DUMMYFUNCTION("""COMPUTED_VALUE"""),"Trevor Coehoorn")</f>
        <v>Trevor Coehoorn</v>
      </c>
      <c r="H954" s="26" t="b">
        <v>0</v>
      </c>
    </row>
    <row r="955" hidden="1">
      <c r="A955" s="26" t="str">
        <f>VLOOKUP(B955,'2020 SRED (JIRA) - Issues and l'!$B:$C,2,FALSE)</f>
        <v>portal-builder-SRED</v>
      </c>
      <c r="B955" s="27" t="str">
        <f>IFERROR(__xludf.DUMMYFUNCTION("""COMPUTED_VALUE"""),"ITP-1797")</f>
        <v>ITP-1797</v>
      </c>
      <c r="C955" s="26" t="str">
        <f>IFERROR(__xludf.DUMMYFUNCTION("""COMPUTED_VALUE"""),"Automate customized Friday digest")</f>
        <v>Automate customized Friday digest</v>
      </c>
      <c r="D955" s="28">
        <f>IFERROR(__xludf.DUMMYFUNCTION("""COMPUTED_VALUE"""),0.25)</f>
        <v>0.25</v>
      </c>
      <c r="E955" s="29">
        <f>IFERROR(__xludf.DUMMYFUNCTION("""COMPUTED_VALUE"""),44102.69791666667)</f>
        <v>44102.69792</v>
      </c>
      <c r="F955" s="26" t="str">
        <f>IFERROR(__xludf.DUMMYFUNCTION("""COMPUTED_VALUE"""),"557058:3124a1f0-e92a-405c-93f2-c1d4e621bc77")</f>
        <v>557058:3124a1f0-e92a-405c-93f2-c1d4e621bc77</v>
      </c>
      <c r="G955" s="26" t="str">
        <f>IFERROR(__xludf.DUMMYFUNCTION("""COMPUTED_VALUE"""),"Trevor Coehoorn")</f>
        <v>Trevor Coehoorn</v>
      </c>
      <c r="H955" s="26" t="b">
        <v>0</v>
      </c>
    </row>
    <row r="956">
      <c r="A956" s="26" t="str">
        <f>VLOOKUP(B956,'2020 SRED (JIRA) - Issues and l'!$B:$C,2,FALSE)</f>
        <v>insite-workflow-SRED</v>
      </c>
      <c r="B956" s="27" t="str">
        <f>IFERROR(__xludf.DUMMYFUNCTION("""COMPUTED_VALUE"""),"APPS-142")</f>
        <v>APPS-142</v>
      </c>
      <c r="C956" s="26" t="str">
        <f>IFERROR(__xludf.DUMMYFUNCTION("""COMPUTED_VALUE"""),"As a salesperson, I can export a proposal to Google Docs and invite the client to review")</f>
        <v>As a salesperson, I can export a proposal to Google Docs and invite the client to review</v>
      </c>
      <c r="D956" s="28">
        <f>IFERROR(__xludf.DUMMYFUNCTION("""COMPUTED_VALUE"""),0.5)</f>
        <v>0.5</v>
      </c>
      <c r="E956" s="29">
        <f>IFERROR(__xludf.DUMMYFUNCTION("""COMPUTED_VALUE"""),44103.0)</f>
        <v>44103</v>
      </c>
      <c r="F956" s="26" t="str">
        <f>IFERROR(__xludf.DUMMYFUNCTION("""COMPUTED_VALUE"""),"557058:ed1ddc66-d84d-405c-a815-0fcc6147ba14")</f>
        <v>557058:ed1ddc66-d84d-405c-a815-0fcc6147ba14</v>
      </c>
      <c r="G956" s="26" t="str">
        <f>IFERROR(__xludf.DUMMYFUNCTION("""COMPUTED_VALUE"""),"Mark Corrigan")</f>
        <v>Mark Corrigan</v>
      </c>
      <c r="H956" s="26" t="b">
        <v>0</v>
      </c>
    </row>
    <row r="957">
      <c r="A957" s="26" t="str">
        <f>VLOOKUP(B957,'2020 SRED (JIRA) - Issues and l'!$B:$C,2,FALSE)</f>
        <v>portal-builder-SRED</v>
      </c>
      <c r="B957" s="27" t="str">
        <f>IFERROR(__xludf.DUMMYFUNCTION("""COMPUTED_VALUE"""),"ITP-1864")</f>
        <v>ITP-1864</v>
      </c>
      <c r="C957" s="26" t="str">
        <f>IFERROR(__xludf.DUMMYFUNCTION("""COMPUTED_VALUE"""),"Prevent file widget video files from automatically playing when they are downloaded")</f>
        <v>Prevent file widget video files from automatically playing when they are downloaded</v>
      </c>
      <c r="D957" s="28">
        <f>IFERROR(__xludf.DUMMYFUNCTION("""COMPUTED_VALUE"""),0.25)</f>
        <v>0.25</v>
      </c>
      <c r="E957" s="29">
        <f>IFERROR(__xludf.DUMMYFUNCTION("""COMPUTED_VALUE"""),44103.0)</f>
        <v>44103</v>
      </c>
      <c r="F957" s="26" t="str">
        <f>IFERROR(__xludf.DUMMYFUNCTION("""COMPUTED_VALUE"""),"557058:ed1ddc66-d84d-405c-a815-0fcc6147ba14")</f>
        <v>557058:ed1ddc66-d84d-405c-a815-0fcc6147ba14</v>
      </c>
      <c r="G957" s="26" t="str">
        <f>IFERROR(__xludf.DUMMYFUNCTION("""COMPUTED_VALUE"""),"Mark Corrigan")</f>
        <v>Mark Corrigan</v>
      </c>
      <c r="H957" s="26" t="b">
        <v>0</v>
      </c>
    </row>
    <row r="958">
      <c r="A958" s="26" t="str">
        <f>VLOOKUP(B958,'2020 SRED (JIRA) - Issues and l'!$B:$C,2,FALSE)</f>
        <v>portal-builder-SRED</v>
      </c>
      <c r="B958" s="27" t="str">
        <f>IFERROR(__xludf.DUMMYFUNCTION("""COMPUTED_VALUE"""),"ITP-1797")</f>
        <v>ITP-1797</v>
      </c>
      <c r="C958" s="26" t="str">
        <f>IFERROR(__xludf.DUMMYFUNCTION("""COMPUTED_VALUE"""),"Automate customized Friday digest")</f>
        <v>Automate customized Friday digest</v>
      </c>
      <c r="D958" s="28">
        <f>IFERROR(__xludf.DUMMYFUNCTION("""COMPUTED_VALUE"""),0.25)</f>
        <v>0.25</v>
      </c>
      <c r="E958" s="29">
        <f>IFERROR(__xludf.DUMMYFUNCTION("""COMPUTED_VALUE"""),44103.0)</f>
        <v>44103</v>
      </c>
      <c r="F958" s="26" t="str">
        <f>IFERROR(__xludf.DUMMYFUNCTION("""COMPUTED_VALUE"""),"557058:ed1ddc66-d84d-405c-a815-0fcc6147ba14")</f>
        <v>557058:ed1ddc66-d84d-405c-a815-0fcc6147ba14</v>
      </c>
      <c r="G958" s="26" t="str">
        <f>IFERROR(__xludf.DUMMYFUNCTION("""COMPUTED_VALUE"""),"Mark Corrigan")</f>
        <v>Mark Corrigan</v>
      </c>
      <c r="H958" s="26" t="b">
        <v>0</v>
      </c>
    </row>
    <row r="959">
      <c r="A959" s="26" t="str">
        <f>VLOOKUP(B959,'2020 SRED (JIRA) - Issues and l'!$B:$C,2,FALSE)</f>
        <v>insite-workflow-SRED</v>
      </c>
      <c r="B959" s="27" t="str">
        <f>IFERROR(__xludf.DUMMYFUNCTION("""COMPUTED_VALUE"""),"APPS-461")</f>
        <v>APPS-461</v>
      </c>
      <c r="C959" s="26" t="str">
        <f>IFERROR(__xludf.DUMMYFUNCTION("""COMPUTED_VALUE"""),"Migrate from prototype app to Sales Pipeline")</f>
        <v>Migrate from prototype app to Sales Pipeline</v>
      </c>
      <c r="D959" s="28">
        <f>IFERROR(__xludf.DUMMYFUNCTION("""COMPUTED_VALUE"""),1.0)</f>
        <v>1</v>
      </c>
      <c r="E959" s="29">
        <f>IFERROR(__xludf.DUMMYFUNCTION("""COMPUTED_VALUE"""),44103.0)</f>
        <v>44103</v>
      </c>
      <c r="F959" s="26" t="str">
        <f>IFERROR(__xludf.DUMMYFUNCTION("""COMPUTED_VALUE"""),"557058:ed1ddc66-d84d-405c-a815-0fcc6147ba14")</f>
        <v>557058:ed1ddc66-d84d-405c-a815-0fcc6147ba14</v>
      </c>
      <c r="G959" s="26" t="str">
        <f>IFERROR(__xludf.DUMMYFUNCTION("""COMPUTED_VALUE"""),"Mark Corrigan")</f>
        <v>Mark Corrigan</v>
      </c>
      <c r="H959" s="26" t="b">
        <v>0</v>
      </c>
    </row>
    <row r="960">
      <c r="A960" s="26" t="str">
        <f>VLOOKUP(B960,'2020 SRED (JIRA) - Issues and l'!$B:$C,2,FALSE)</f>
        <v>insite-workflow-SRED</v>
      </c>
      <c r="B960" s="27" t="str">
        <f>IFERROR(__xludf.DUMMYFUNCTION("""COMPUTED_VALUE"""),"APPS-508")</f>
        <v>APPS-508</v>
      </c>
      <c r="C960" s="26" t="str">
        <f>IFERROR(__xludf.DUMMYFUNCTION("""COMPUTED_VALUE"""),"Calculating additional fees for duration and participants")</f>
        <v>Calculating additional fees for duration and participants</v>
      </c>
      <c r="D960" s="28">
        <f>IFERROR(__xludf.DUMMYFUNCTION("""COMPUTED_VALUE"""),0.5)</f>
        <v>0.5</v>
      </c>
      <c r="E960" s="29">
        <f>IFERROR(__xludf.DUMMYFUNCTION("""COMPUTED_VALUE"""),44103.0)</f>
        <v>44103</v>
      </c>
      <c r="F960" s="26" t="str">
        <f>IFERROR(__xludf.DUMMYFUNCTION("""COMPUTED_VALUE"""),"557058:ed1ddc66-d84d-405c-a815-0fcc6147ba14")</f>
        <v>557058:ed1ddc66-d84d-405c-a815-0fcc6147ba14</v>
      </c>
      <c r="G960" s="26" t="str">
        <f>IFERROR(__xludf.DUMMYFUNCTION("""COMPUTED_VALUE"""),"Mark Corrigan")</f>
        <v>Mark Corrigan</v>
      </c>
      <c r="H960" s="26" t="b">
        <v>0</v>
      </c>
    </row>
    <row r="961" hidden="1">
      <c r="A961" s="26" t="str">
        <f>VLOOKUP(B961,'2020 SRED (JIRA) - Issues and l'!$B:$C,2,FALSE)</f>
        <v>insite-workflow-SRED</v>
      </c>
      <c r="B961" s="27" t="str">
        <f>IFERROR(__xludf.DUMMYFUNCTION("""COMPUTED_VALUE"""),"APPS-462")</f>
        <v>APPS-462</v>
      </c>
      <c r="C961" s="26" t="str">
        <f>IFERROR(__xludf.DUMMYFUNCTION("""COMPUTED_VALUE"""),"Migrate Impetus Staff table to HR app database")</f>
        <v>Migrate Impetus Staff table to HR app database</v>
      </c>
      <c r="D961" s="28">
        <f>IFERROR(__xludf.DUMMYFUNCTION("""COMPUTED_VALUE"""),7.0)</f>
        <v>7</v>
      </c>
      <c r="E961" s="29">
        <f>IFERROR(__xludf.DUMMYFUNCTION("""COMPUTED_VALUE"""),44103.0)</f>
        <v>44103</v>
      </c>
      <c r="F961" s="26" t="str">
        <f>IFERROR(__xludf.DUMMYFUNCTION("""COMPUTED_VALUE"""),"5ee7b6cf02b4400ac4b65399")</f>
        <v>5ee7b6cf02b4400ac4b65399</v>
      </c>
      <c r="G961" s="26" t="str">
        <f>IFERROR(__xludf.DUMMYFUNCTION("""COMPUTED_VALUE"""),"Jessica Obando")</f>
        <v>Jessica Obando</v>
      </c>
      <c r="H961" s="26" t="b">
        <v>0</v>
      </c>
    </row>
    <row r="962" hidden="1">
      <c r="A962" s="26" t="str">
        <f>VLOOKUP(B962,'2020 SRED (JIRA) - Issues and l'!$B:$C,2,FALSE)</f>
        <v>portal-builder-SRED</v>
      </c>
      <c r="B962" s="27" t="str">
        <f>IFERROR(__xludf.DUMMYFUNCTION("""COMPUTED_VALUE"""),"ITP-1810")</f>
        <v>ITP-1810</v>
      </c>
      <c r="C962" s="26" t="str">
        <f>IFERROR(__xludf.DUMMYFUNCTION("""COMPUTED_VALUE"""),"Add empty icons to the menu for incomplete touchpoint activities")</f>
        <v>Add empty icons to the menu for incomplete touchpoint activities</v>
      </c>
      <c r="D962" s="28">
        <f>IFERROR(__xludf.DUMMYFUNCTION("""COMPUTED_VALUE"""),0.75)</f>
        <v>0.75</v>
      </c>
      <c r="E962" s="29">
        <f>IFERROR(__xludf.DUMMYFUNCTION("""COMPUTED_VALUE"""),44103.35416666667)</f>
        <v>44103.35417</v>
      </c>
      <c r="F962" s="26" t="str">
        <f>IFERROR(__xludf.DUMMYFUNCTION("""COMPUTED_VALUE"""),"5f5125a6333edb00434bffaf")</f>
        <v>5f5125a6333edb00434bffaf</v>
      </c>
      <c r="G962" s="26" t="str">
        <f>IFERROR(__xludf.DUMMYFUNCTION("""COMPUTED_VALUE"""),"Terry Waldner")</f>
        <v>Terry Waldner</v>
      </c>
      <c r="H962" s="26" t="b">
        <v>0</v>
      </c>
    </row>
    <row r="963" hidden="1">
      <c r="A963" s="26" t="str">
        <f>VLOOKUP(B963,'2020 SRED (JIRA) - Issues and l'!$B:$C,2,FALSE)</f>
        <v>portal-builder-SRED</v>
      </c>
      <c r="B963" s="27" t="str">
        <f>IFERROR(__xludf.DUMMYFUNCTION("""COMPUTED_VALUE"""),"ITP-1874")</f>
        <v>ITP-1874</v>
      </c>
      <c r="C963" s="26" t="str">
        <f>IFERROR(__xludf.DUMMYFUNCTION("""COMPUTED_VALUE"""),"Multiple webform submission group conditions")</f>
        <v>Multiple webform submission group conditions</v>
      </c>
      <c r="D963" s="28">
        <f>IFERROR(__xludf.DUMMYFUNCTION("""COMPUTED_VALUE"""),0.75)</f>
        <v>0.75</v>
      </c>
      <c r="E963" s="29">
        <f>IFERROR(__xludf.DUMMYFUNCTION("""COMPUTED_VALUE"""),44103.41666666667)</f>
        <v>44103.41667</v>
      </c>
      <c r="F963" s="26" t="str">
        <f>IFERROR(__xludf.DUMMYFUNCTION("""COMPUTED_VALUE"""),"557058:3124a1f0-e92a-405c-93f2-c1d4e621bc77")</f>
        <v>557058:3124a1f0-e92a-405c-93f2-c1d4e621bc77</v>
      </c>
      <c r="G963" s="26" t="str">
        <f>IFERROR(__xludf.DUMMYFUNCTION("""COMPUTED_VALUE"""),"Trevor Coehoorn")</f>
        <v>Trevor Coehoorn</v>
      </c>
      <c r="H963" s="26" t="b">
        <v>0</v>
      </c>
    </row>
    <row r="964" hidden="1">
      <c r="A964" s="26" t="str">
        <f>VLOOKUP(B964,'2020 SRED (JIRA) - Issues and l'!$B:$C,2,FALSE)</f>
        <v>portal-builder-SRED</v>
      </c>
      <c r="B964" s="27" t="str">
        <f>IFERROR(__xludf.DUMMYFUNCTION("""COMPUTED_VALUE"""),"ITP-1874")</f>
        <v>ITP-1874</v>
      </c>
      <c r="C964" s="26" t="str">
        <f>IFERROR(__xludf.DUMMYFUNCTION("""COMPUTED_VALUE"""),"Multiple webform submission group conditions")</f>
        <v>Multiple webform submission group conditions</v>
      </c>
      <c r="D964" s="28">
        <f>IFERROR(__xludf.DUMMYFUNCTION("""COMPUTED_VALUE"""),0.75)</f>
        <v>0.75</v>
      </c>
      <c r="E964" s="29">
        <f>IFERROR(__xludf.DUMMYFUNCTION("""COMPUTED_VALUE"""),44103.46875)</f>
        <v>44103.46875</v>
      </c>
      <c r="F964" s="26" t="str">
        <f>IFERROR(__xludf.DUMMYFUNCTION("""COMPUTED_VALUE"""),"5f5125a6333edb00434bffaf")</f>
        <v>5f5125a6333edb00434bffaf</v>
      </c>
      <c r="G964" s="26" t="str">
        <f>IFERROR(__xludf.DUMMYFUNCTION("""COMPUTED_VALUE"""),"Terry Waldner")</f>
        <v>Terry Waldner</v>
      </c>
      <c r="H964" s="26" t="b">
        <v>0</v>
      </c>
    </row>
    <row r="965" hidden="1">
      <c r="A965" s="26" t="str">
        <f>VLOOKUP(B965,'2020 SRED (JIRA) - Issues and l'!$B:$C,2,FALSE)</f>
        <v>portal-builder-SRED</v>
      </c>
      <c r="B965" s="27" t="str">
        <f>IFERROR(__xludf.DUMMYFUNCTION("""COMPUTED_VALUE"""),"ITP-1810")</f>
        <v>ITP-1810</v>
      </c>
      <c r="C965" s="26" t="str">
        <f>IFERROR(__xludf.DUMMYFUNCTION("""COMPUTED_VALUE"""),"Add empty icons to the menu for incomplete touchpoint activities")</f>
        <v>Add empty icons to the menu for incomplete touchpoint activities</v>
      </c>
      <c r="D965" s="28">
        <f>IFERROR(__xludf.DUMMYFUNCTION("""COMPUTED_VALUE"""),0.5)</f>
        <v>0.5</v>
      </c>
      <c r="E965" s="29">
        <f>IFERROR(__xludf.DUMMYFUNCTION("""COMPUTED_VALUE"""),44103.5)</f>
        <v>44103.5</v>
      </c>
      <c r="F965" s="26" t="str">
        <f>IFERROR(__xludf.DUMMYFUNCTION("""COMPUTED_VALUE"""),"5f5125a6333edb00434bffaf")</f>
        <v>5f5125a6333edb00434bffaf</v>
      </c>
      <c r="G965" s="26" t="str">
        <f>IFERROR(__xludf.DUMMYFUNCTION("""COMPUTED_VALUE"""),"Terry Waldner")</f>
        <v>Terry Waldner</v>
      </c>
      <c r="H965" s="26" t="b">
        <v>0</v>
      </c>
    </row>
    <row r="966" hidden="1">
      <c r="A966" s="26" t="str">
        <f>VLOOKUP(B966,'2020 SRED (JIRA) - Issues and l'!$B:$C,2,FALSE)</f>
        <v>insite-event-SRED</v>
      </c>
      <c r="B966" s="27" t="str">
        <f>IFERROR(__xludf.DUMMYFUNCTION("""COMPUTED_VALUE"""),"ZAPI-122")</f>
        <v>ZAPI-122</v>
      </c>
      <c r="C966" s="26" t="str">
        <f>IFERROR(__xludf.DUMMYFUNCTION("""COMPUTED_VALUE"""),"if ""custom url"" is selected, add email address parameter to URL for registrants who need to be manually approved ")</f>
        <v>if "custom url" is selected, add email address parameter to URL for registrants who need to be manually approved </v>
      </c>
      <c r="D966" s="28">
        <f>IFERROR(__xludf.DUMMYFUNCTION("""COMPUTED_VALUE"""),0.5)</f>
        <v>0.5</v>
      </c>
      <c r="E966" s="29">
        <f>IFERROR(__xludf.DUMMYFUNCTION("""COMPUTED_VALUE"""),44103.54166666667)</f>
        <v>44103.54167</v>
      </c>
      <c r="F966" s="26" t="str">
        <f>IFERROR(__xludf.DUMMYFUNCTION("""COMPUTED_VALUE"""),"557058:3124a1f0-e92a-405c-93f2-c1d4e621bc77")</f>
        <v>557058:3124a1f0-e92a-405c-93f2-c1d4e621bc77</v>
      </c>
      <c r="G966" s="26" t="str">
        <f>IFERROR(__xludf.DUMMYFUNCTION("""COMPUTED_VALUE"""),"Trevor Coehoorn")</f>
        <v>Trevor Coehoorn</v>
      </c>
      <c r="H966" s="26" t="b">
        <v>0</v>
      </c>
    </row>
    <row r="967" hidden="1">
      <c r="A967" s="26" t="str">
        <f>VLOOKUP(B967,'2020 SRED (JIRA) - Issues and l'!$B:$C,2,FALSE)</f>
        <v>insite-event-SRED</v>
      </c>
      <c r="B967" s="27" t="str">
        <f>IFERROR(__xludf.DUMMYFUNCTION("""COMPUTED_VALUE"""),"ZAPI-141")</f>
        <v>ZAPI-141</v>
      </c>
      <c r="C967" s="26" t="str">
        <f>IFERROR(__xludf.DUMMYFUNCTION("""COMPUTED_VALUE"""),"Multiple recording fieldsets displayed in web meeting reports and recordings widget ")</f>
        <v>Multiple recording fieldsets displayed in web meeting reports and recordings widget </v>
      </c>
      <c r="D967" s="28">
        <f>IFERROR(__xludf.DUMMYFUNCTION("""COMPUTED_VALUE"""),4.0)</f>
        <v>4</v>
      </c>
      <c r="E967" s="29">
        <f>IFERROR(__xludf.DUMMYFUNCTION("""COMPUTED_VALUE"""),44103.54166666667)</f>
        <v>44103.54167</v>
      </c>
      <c r="F967" s="26" t="str">
        <f>IFERROR(__xludf.DUMMYFUNCTION("""COMPUTED_VALUE"""),"5e95be7f18b8ed0c0f5adb36")</f>
        <v>5e95be7f18b8ed0c0f5adb36</v>
      </c>
      <c r="G967" s="26" t="str">
        <f>IFERROR(__xludf.DUMMYFUNCTION("""COMPUTED_VALUE"""),"Frantisek Trusa")</f>
        <v>Frantisek Trusa</v>
      </c>
      <c r="H967" s="26" t="b">
        <v>0</v>
      </c>
    </row>
    <row r="968" hidden="1">
      <c r="A968" s="26" t="str">
        <f>VLOOKUP(B968,'2020 SRED (JIRA) - Issues and l'!$B:$C,2,FALSE)</f>
        <v>insite-event-SRED</v>
      </c>
      <c r="B968" s="27" t="str">
        <f>IFERROR(__xludf.DUMMYFUNCTION("""COMPUTED_VALUE"""),"ZAPI-60")</f>
        <v>ZAPI-60</v>
      </c>
      <c r="C968" s="26" t="str">
        <f>IFERROR(__xludf.DUMMYFUNCTION("""COMPUTED_VALUE"""),"As a meeting administrator, I can designate meeting/webinar roles (e.g. co-hosts) and customize display names (e.g. Impetus Support [Fname Lname])")</f>
        <v>As a meeting administrator, I can designate meeting/webinar roles (e.g. co-hosts) and customize display names (e.g. Impetus Support [Fname Lname])</v>
      </c>
      <c r="D968" s="28">
        <f>IFERROR(__xludf.DUMMYFUNCTION("""COMPUTED_VALUE"""),1.0)</f>
        <v>1</v>
      </c>
      <c r="E968" s="29">
        <f>IFERROR(__xludf.DUMMYFUNCTION("""COMPUTED_VALUE"""),44103.5625)</f>
        <v>44103.5625</v>
      </c>
      <c r="F968" s="26" t="str">
        <f>IFERROR(__xludf.DUMMYFUNCTION("""COMPUTED_VALUE"""),"557058:3124a1f0-e92a-405c-93f2-c1d4e621bc77")</f>
        <v>557058:3124a1f0-e92a-405c-93f2-c1d4e621bc77</v>
      </c>
      <c r="G968" s="26" t="str">
        <f>IFERROR(__xludf.DUMMYFUNCTION("""COMPUTED_VALUE"""),"Trevor Coehoorn")</f>
        <v>Trevor Coehoorn</v>
      </c>
      <c r="H968" s="26" t="b">
        <v>0</v>
      </c>
    </row>
    <row r="969" hidden="1">
      <c r="A969" s="26" t="str">
        <f>VLOOKUP(B969,'2020 SRED (JIRA) - Issues and l'!$B:$C,2,FALSE)</f>
        <v>portal-builder-SRED</v>
      </c>
      <c r="B969" s="27" t="str">
        <f>IFERROR(__xludf.DUMMYFUNCTION("""COMPUTED_VALUE"""),"ITP-1873")</f>
        <v>ITP-1873</v>
      </c>
      <c r="C969" s="26" t="str">
        <f>IFERROR(__xludf.DUMMYFUNCTION("""COMPUTED_VALUE"""),"Remove the previous submissions link from submitted webform pages")</f>
        <v>Remove the previous submissions link from submitted webform pages</v>
      </c>
      <c r="D969" s="28">
        <f>IFERROR(__xludf.DUMMYFUNCTION("""COMPUTED_VALUE"""),0.75)</f>
        <v>0.75</v>
      </c>
      <c r="E969" s="29">
        <f>IFERROR(__xludf.DUMMYFUNCTION("""COMPUTED_VALUE"""),44103.60416666667)</f>
        <v>44103.60417</v>
      </c>
      <c r="F969" s="26" t="str">
        <f>IFERROR(__xludf.DUMMYFUNCTION("""COMPUTED_VALUE"""),"557058:3124a1f0-e92a-405c-93f2-c1d4e621bc77")</f>
        <v>557058:3124a1f0-e92a-405c-93f2-c1d4e621bc77</v>
      </c>
      <c r="G969" s="26" t="str">
        <f>IFERROR(__xludf.DUMMYFUNCTION("""COMPUTED_VALUE"""),"Trevor Coehoorn")</f>
        <v>Trevor Coehoorn</v>
      </c>
      <c r="H969" s="26" t="b">
        <v>0</v>
      </c>
    </row>
    <row r="970" hidden="1">
      <c r="A970" s="26" t="str">
        <f>VLOOKUP(B970,'2020 SRED (JIRA) - Issues and l'!$B:$C,2,FALSE)</f>
        <v>portal-builder-SRED</v>
      </c>
      <c r="B970" s="27" t="str">
        <f>IFERROR(__xludf.DUMMYFUNCTION("""COMPUTED_VALUE"""),"ITP-1873")</f>
        <v>ITP-1873</v>
      </c>
      <c r="C970" s="26" t="str">
        <f>IFERROR(__xludf.DUMMYFUNCTION("""COMPUTED_VALUE"""),"Remove the previous submissions link from submitted webform pages")</f>
        <v>Remove the previous submissions link from submitted webform pages</v>
      </c>
      <c r="D970" s="28">
        <f>IFERROR(__xludf.DUMMYFUNCTION("""COMPUTED_VALUE"""),1.5)</f>
        <v>1.5</v>
      </c>
      <c r="E970" s="29">
        <f>IFERROR(__xludf.DUMMYFUNCTION("""COMPUTED_VALUE"""),44103.60416666667)</f>
        <v>44103.60417</v>
      </c>
      <c r="F970" s="26" t="str">
        <f>IFERROR(__xludf.DUMMYFUNCTION("""COMPUTED_VALUE"""),"5f5125a6333edb00434bffaf")</f>
        <v>5f5125a6333edb00434bffaf</v>
      </c>
      <c r="G970" s="26" t="str">
        <f>IFERROR(__xludf.DUMMYFUNCTION("""COMPUTED_VALUE"""),"Terry Waldner")</f>
        <v>Terry Waldner</v>
      </c>
      <c r="H970" s="26" t="b">
        <v>0</v>
      </c>
    </row>
    <row r="971" hidden="1">
      <c r="A971" s="26" t="str">
        <f>VLOOKUP(B971,'2020 SRED (JIRA) - Issues and l'!$B:$C,2,FALSE)</f>
        <v>portal-builder-SRED</v>
      </c>
      <c r="B971" s="27" t="str">
        <f>IFERROR(__xludf.DUMMYFUNCTION("""COMPUTED_VALUE"""),"ITP-1797")</f>
        <v>ITP-1797</v>
      </c>
      <c r="C971" s="26" t="str">
        <f>IFERROR(__xludf.DUMMYFUNCTION("""COMPUTED_VALUE"""),"Automate customized Friday digest")</f>
        <v>Automate customized Friday digest</v>
      </c>
      <c r="D971" s="28">
        <f>IFERROR(__xludf.DUMMYFUNCTION("""COMPUTED_VALUE"""),1.25)</f>
        <v>1.25</v>
      </c>
      <c r="E971" s="29">
        <f>IFERROR(__xludf.DUMMYFUNCTION("""COMPUTED_VALUE"""),44103.63541666667)</f>
        <v>44103.63542</v>
      </c>
      <c r="F971" s="26" t="str">
        <f>IFERROR(__xludf.DUMMYFUNCTION("""COMPUTED_VALUE"""),"557058:3124a1f0-e92a-405c-93f2-c1d4e621bc77")</f>
        <v>557058:3124a1f0-e92a-405c-93f2-c1d4e621bc77</v>
      </c>
      <c r="G971" s="26" t="str">
        <f>IFERROR(__xludf.DUMMYFUNCTION("""COMPUTED_VALUE"""),"Trevor Coehoorn")</f>
        <v>Trevor Coehoorn</v>
      </c>
      <c r="H971" s="26" t="b">
        <v>0</v>
      </c>
    </row>
    <row r="972">
      <c r="A972" s="26" t="str">
        <f>VLOOKUP(B972,'2020 SRED (JIRA) - Issues and l'!$B:$C,2,FALSE)</f>
        <v>insite-workflow-SRED</v>
      </c>
      <c r="B972" s="27" t="str">
        <f>IFERROR(__xludf.DUMMYFUNCTION("""COMPUTED_VALUE"""),"APPS-9")</f>
        <v>APPS-9</v>
      </c>
      <c r="C972" s="26" t="str">
        <f>IFERROR(__xludf.DUMMYFUNCTION("""COMPUTED_VALUE"""),"Lead Generator app (v1)")</f>
        <v>Lead Generator app (v1)</v>
      </c>
      <c r="D972" s="28">
        <f>IFERROR(__xludf.DUMMYFUNCTION("""COMPUTED_VALUE"""),0.5)</f>
        <v>0.5</v>
      </c>
      <c r="E972" s="29">
        <f>IFERROR(__xludf.DUMMYFUNCTION("""COMPUTED_VALUE"""),44104.0)</f>
        <v>44104</v>
      </c>
      <c r="F972" s="26" t="str">
        <f>IFERROR(__xludf.DUMMYFUNCTION("""COMPUTED_VALUE"""),"557058:ed1ddc66-d84d-405c-a815-0fcc6147ba14")</f>
        <v>557058:ed1ddc66-d84d-405c-a815-0fcc6147ba14</v>
      </c>
      <c r="G972" s="26" t="str">
        <f>IFERROR(__xludf.DUMMYFUNCTION("""COMPUTED_VALUE"""),"Mark Corrigan")</f>
        <v>Mark Corrigan</v>
      </c>
      <c r="H972" s="26" t="b">
        <v>0</v>
      </c>
    </row>
    <row r="973">
      <c r="A973" s="26" t="str">
        <f>VLOOKUP(B973,'2020 SRED (JIRA) - Issues and l'!$B:$C,2,FALSE)</f>
        <v>insite-workflow-SRED</v>
      </c>
      <c r="B973" s="27" t="str">
        <f>IFERROR(__xludf.DUMMYFUNCTION("""COMPUTED_VALUE"""),"APPS-461")</f>
        <v>APPS-461</v>
      </c>
      <c r="C973" s="26" t="str">
        <f>IFERROR(__xludf.DUMMYFUNCTION("""COMPUTED_VALUE"""),"Migrate from prototype app to Sales Pipeline")</f>
        <v>Migrate from prototype app to Sales Pipeline</v>
      </c>
      <c r="D973" s="28">
        <f>IFERROR(__xludf.DUMMYFUNCTION("""COMPUTED_VALUE"""),0.5)</f>
        <v>0.5</v>
      </c>
      <c r="E973" s="29">
        <f>IFERROR(__xludf.DUMMYFUNCTION("""COMPUTED_VALUE"""),44104.0)</f>
        <v>44104</v>
      </c>
      <c r="F973" s="26" t="str">
        <f>IFERROR(__xludf.DUMMYFUNCTION("""COMPUTED_VALUE"""),"557058:ed1ddc66-d84d-405c-a815-0fcc6147ba14")</f>
        <v>557058:ed1ddc66-d84d-405c-a815-0fcc6147ba14</v>
      </c>
      <c r="G973" s="26" t="str">
        <f>IFERROR(__xludf.DUMMYFUNCTION("""COMPUTED_VALUE"""),"Mark Corrigan")</f>
        <v>Mark Corrigan</v>
      </c>
      <c r="H973" s="26" t="b">
        <v>0</v>
      </c>
    </row>
    <row r="974">
      <c r="A974" s="26" t="str">
        <f>VLOOKUP(B974,'2020 SRED (JIRA) - Issues and l'!$B:$C,2,FALSE)</f>
        <v>insite-event-SRED</v>
      </c>
      <c r="B974" s="27" t="str">
        <f>IFERROR(__xludf.DUMMYFUNCTION("""COMPUTED_VALUE"""),"ZAPI-163")</f>
        <v>ZAPI-163</v>
      </c>
      <c r="C974" s="26" t="str">
        <f>IFERROR(__xludf.DUMMYFUNCTION("""COMPUTED_VALUE"""),"Zoom API v2.1 (Hot Fixes) 🔥")</f>
        <v>Zoom API v2.1 (Hot Fixes) 🔥</v>
      </c>
      <c r="D974" s="28">
        <f>IFERROR(__xludf.DUMMYFUNCTION("""COMPUTED_VALUE"""),1.0)</f>
        <v>1</v>
      </c>
      <c r="E974" s="29">
        <f>IFERROR(__xludf.DUMMYFUNCTION("""COMPUTED_VALUE"""),44104.0)</f>
        <v>44104</v>
      </c>
      <c r="F974" s="26" t="str">
        <f>IFERROR(__xludf.DUMMYFUNCTION("""COMPUTED_VALUE"""),"557058:ed1ddc66-d84d-405c-a815-0fcc6147ba14")</f>
        <v>557058:ed1ddc66-d84d-405c-a815-0fcc6147ba14</v>
      </c>
      <c r="G974" s="26" t="str">
        <f>IFERROR(__xludf.DUMMYFUNCTION("""COMPUTED_VALUE"""),"Mark Corrigan")</f>
        <v>Mark Corrigan</v>
      </c>
      <c r="H974" s="26" t="b">
        <v>0</v>
      </c>
    </row>
    <row r="975">
      <c r="A975" s="26" t="str">
        <f>VLOOKUP(B975,'2020 SRED (JIRA) - Issues and l'!$B:$C,2,FALSE)</f>
        <v>insite-event-SRED</v>
      </c>
      <c r="B975" s="27" t="str">
        <f>IFERROR(__xludf.DUMMYFUNCTION("""COMPUTED_VALUE"""),"PDP-242")</f>
        <v>PDP-242</v>
      </c>
      <c r="C975" s="26" t="str">
        <f>IFERROR(__xludf.DUMMYFUNCTION("""COMPUTED_VALUE"""),"Research webform component options for tags")</f>
        <v>Research webform component options for tags</v>
      </c>
      <c r="D975" s="28">
        <f>IFERROR(__xludf.DUMMYFUNCTION("""COMPUTED_VALUE"""),0.25)</f>
        <v>0.25</v>
      </c>
      <c r="E975" s="29">
        <f>IFERROR(__xludf.DUMMYFUNCTION("""COMPUTED_VALUE"""),44104.0)</f>
        <v>44104</v>
      </c>
      <c r="F975" s="26" t="str">
        <f>IFERROR(__xludf.DUMMYFUNCTION("""COMPUTED_VALUE"""),"557058:ed1ddc66-d84d-405c-a815-0fcc6147ba14")</f>
        <v>557058:ed1ddc66-d84d-405c-a815-0fcc6147ba14</v>
      </c>
      <c r="G975" s="26" t="str">
        <f>IFERROR(__xludf.DUMMYFUNCTION("""COMPUTED_VALUE"""),"Mark Corrigan")</f>
        <v>Mark Corrigan</v>
      </c>
      <c r="H975" s="26" t="b">
        <v>0</v>
      </c>
    </row>
    <row r="976" hidden="1">
      <c r="A976" s="26" t="str">
        <f>VLOOKUP(B976,'2020 SRED (JIRA) - Issues and l'!$B:$C,2,FALSE)</f>
        <v>insite-workflow-SRED</v>
      </c>
      <c r="B976" s="27" t="str">
        <f>IFERROR(__xludf.DUMMYFUNCTION("""COMPUTED_VALUE"""),"APPS-461")</f>
        <v>APPS-461</v>
      </c>
      <c r="C976" s="26" t="str">
        <f>IFERROR(__xludf.DUMMYFUNCTION("""COMPUTED_VALUE"""),"Migrate from prototype app to Sales Pipeline")</f>
        <v>Migrate from prototype app to Sales Pipeline</v>
      </c>
      <c r="D976" s="28">
        <f>IFERROR(__xludf.DUMMYFUNCTION("""COMPUTED_VALUE"""),7.0)</f>
        <v>7</v>
      </c>
      <c r="E976" s="29">
        <f>IFERROR(__xludf.DUMMYFUNCTION("""COMPUTED_VALUE"""),44104.0)</f>
        <v>44104</v>
      </c>
      <c r="F976" s="26" t="str">
        <f>IFERROR(__xludf.DUMMYFUNCTION("""COMPUTED_VALUE"""),"5ee7b6cf02b4400ac4b65399")</f>
        <v>5ee7b6cf02b4400ac4b65399</v>
      </c>
      <c r="G976" s="26" t="str">
        <f>IFERROR(__xludf.DUMMYFUNCTION("""COMPUTED_VALUE"""),"Jessica Obando")</f>
        <v>Jessica Obando</v>
      </c>
      <c r="H976" s="26" t="b">
        <v>0</v>
      </c>
    </row>
    <row r="977" hidden="1">
      <c r="A977" s="26" t="str">
        <f>VLOOKUP(B977,'2020 SRED (JIRA) - Issues and l'!$B:$C,2,FALSE)</f>
        <v>portal-builder-SRED</v>
      </c>
      <c r="B977" s="27" t="str">
        <f>IFERROR(__xludf.DUMMYFUNCTION("""COMPUTED_VALUE"""),"ITP-1873")</f>
        <v>ITP-1873</v>
      </c>
      <c r="C977" s="26" t="str">
        <f>IFERROR(__xludf.DUMMYFUNCTION("""COMPUTED_VALUE"""),"Remove the previous submissions link from submitted webform pages")</f>
        <v>Remove the previous submissions link from submitted webform pages</v>
      </c>
      <c r="D977" s="28">
        <f>IFERROR(__xludf.DUMMYFUNCTION("""COMPUTED_VALUE"""),0.5)</f>
        <v>0.5</v>
      </c>
      <c r="E977" s="29">
        <f>IFERROR(__xludf.DUMMYFUNCTION("""COMPUTED_VALUE"""),44104.33333333333)</f>
        <v>44104.33333</v>
      </c>
      <c r="F977" s="26" t="str">
        <f>IFERROR(__xludf.DUMMYFUNCTION("""COMPUTED_VALUE"""),"5f5125a6333edb00434bffaf")</f>
        <v>5f5125a6333edb00434bffaf</v>
      </c>
      <c r="G977" s="26" t="str">
        <f>IFERROR(__xludf.DUMMYFUNCTION("""COMPUTED_VALUE"""),"Terry Waldner")</f>
        <v>Terry Waldner</v>
      </c>
      <c r="H977" s="26" t="b">
        <v>0</v>
      </c>
    </row>
    <row r="978" hidden="1">
      <c r="A978" s="26" t="str">
        <f>VLOOKUP(B978,'2020 SRED (JIRA) - Issues and l'!$B:$C,2,FALSE)</f>
        <v>portal-builder-SRED</v>
      </c>
      <c r="B978" s="27" t="str">
        <f>IFERROR(__xludf.DUMMYFUNCTION("""COMPUTED_VALUE"""),"ITP-1797")</f>
        <v>ITP-1797</v>
      </c>
      <c r="C978" s="26" t="str">
        <f>IFERROR(__xludf.DUMMYFUNCTION("""COMPUTED_VALUE"""),"Automate customized Friday digest")</f>
        <v>Automate customized Friday digest</v>
      </c>
      <c r="D978" s="28">
        <f>IFERROR(__xludf.DUMMYFUNCTION("""COMPUTED_VALUE"""),1.75)</f>
        <v>1.75</v>
      </c>
      <c r="E978" s="29">
        <f>IFERROR(__xludf.DUMMYFUNCTION("""COMPUTED_VALUE"""),44104.35416666667)</f>
        <v>44104.35417</v>
      </c>
      <c r="F978" s="26" t="str">
        <f>IFERROR(__xludf.DUMMYFUNCTION("""COMPUTED_VALUE"""),"557058:3124a1f0-e92a-405c-93f2-c1d4e621bc77")</f>
        <v>557058:3124a1f0-e92a-405c-93f2-c1d4e621bc77</v>
      </c>
      <c r="G978" s="26" t="str">
        <f>IFERROR(__xludf.DUMMYFUNCTION("""COMPUTED_VALUE"""),"Trevor Coehoorn")</f>
        <v>Trevor Coehoorn</v>
      </c>
      <c r="H978" s="26" t="b">
        <v>0</v>
      </c>
    </row>
    <row r="979" hidden="1">
      <c r="A979" s="26" t="str">
        <f>VLOOKUP(B979,'2020 SRED (JIRA) - Issues and l'!$B:$C,2,FALSE)</f>
        <v>portal-builder-SRED</v>
      </c>
      <c r="B979" s="27" t="str">
        <f>IFERROR(__xludf.DUMMYFUNCTION("""COMPUTED_VALUE"""),"ITP-1874")</f>
        <v>ITP-1874</v>
      </c>
      <c r="C979" s="26" t="str">
        <f>IFERROR(__xludf.DUMMYFUNCTION("""COMPUTED_VALUE"""),"Multiple webform submission group conditions")</f>
        <v>Multiple webform submission group conditions</v>
      </c>
      <c r="D979" s="28">
        <f>IFERROR(__xludf.DUMMYFUNCTION("""COMPUTED_VALUE"""),4.0)</f>
        <v>4</v>
      </c>
      <c r="E979" s="29">
        <f>IFERROR(__xludf.DUMMYFUNCTION("""COMPUTED_VALUE"""),44104.35416666667)</f>
        <v>44104.35417</v>
      </c>
      <c r="F979" s="26" t="str">
        <f>IFERROR(__xludf.DUMMYFUNCTION("""COMPUTED_VALUE"""),"5f5125a6333edb00434bffaf")</f>
        <v>5f5125a6333edb00434bffaf</v>
      </c>
      <c r="G979" s="26" t="str">
        <f>IFERROR(__xludf.DUMMYFUNCTION("""COMPUTED_VALUE"""),"Terry Waldner")</f>
        <v>Terry Waldner</v>
      </c>
      <c r="H979" s="26" t="b">
        <v>0</v>
      </c>
    </row>
    <row r="980" hidden="1">
      <c r="A980" s="26" t="str">
        <f>VLOOKUP(B980,'2020 SRED (JIRA) - Issues and l'!$B:$C,2,FALSE)</f>
        <v>portal-builder-SRED</v>
      </c>
      <c r="B980" s="27" t="str">
        <f>IFERROR(__xludf.DUMMYFUNCTION("""COMPUTED_VALUE"""),"ITP-1797")</f>
        <v>ITP-1797</v>
      </c>
      <c r="C980" s="26" t="str">
        <f>IFERROR(__xludf.DUMMYFUNCTION("""COMPUTED_VALUE"""),"Automate customized Friday digest")</f>
        <v>Automate customized Friday digest</v>
      </c>
      <c r="D980" s="28">
        <f>IFERROR(__xludf.DUMMYFUNCTION("""COMPUTED_VALUE"""),1.5)</f>
        <v>1.5</v>
      </c>
      <c r="E980" s="29">
        <f>IFERROR(__xludf.DUMMYFUNCTION("""COMPUTED_VALUE"""),44104.44791666667)</f>
        <v>44104.44792</v>
      </c>
      <c r="F980" s="26" t="str">
        <f>IFERROR(__xludf.DUMMYFUNCTION("""COMPUTED_VALUE"""),"557058:3124a1f0-e92a-405c-93f2-c1d4e621bc77")</f>
        <v>557058:3124a1f0-e92a-405c-93f2-c1d4e621bc77</v>
      </c>
      <c r="G980" s="26" t="str">
        <f>IFERROR(__xludf.DUMMYFUNCTION("""COMPUTED_VALUE"""),"Trevor Coehoorn")</f>
        <v>Trevor Coehoorn</v>
      </c>
      <c r="H980" s="26" t="b">
        <v>0</v>
      </c>
    </row>
    <row r="981" hidden="1">
      <c r="A981" s="26" t="str">
        <f>VLOOKUP(B981,'2020 SRED (JIRA) - Issues and l'!$B:$C,2,FALSE)</f>
        <v>portal-builder-SRED</v>
      </c>
      <c r="B981" s="27" t="str">
        <f>IFERROR(__xludf.DUMMYFUNCTION("""COMPUTED_VALUE"""),"ITP-1873")</f>
        <v>ITP-1873</v>
      </c>
      <c r="C981" s="26" t="str">
        <f>IFERROR(__xludf.DUMMYFUNCTION("""COMPUTED_VALUE"""),"Remove the previous submissions link from submitted webform pages")</f>
        <v>Remove the previous submissions link from submitted webform pages</v>
      </c>
      <c r="D981" s="28">
        <f>IFERROR(__xludf.DUMMYFUNCTION("""COMPUTED_VALUE"""),0.25)</f>
        <v>0.25</v>
      </c>
      <c r="E981" s="29">
        <f>IFERROR(__xludf.DUMMYFUNCTION("""COMPUTED_VALUE"""),44104.51041666667)</f>
        <v>44104.51042</v>
      </c>
      <c r="F981" s="26" t="str">
        <f>IFERROR(__xludf.DUMMYFUNCTION("""COMPUTED_VALUE"""),"557058:3124a1f0-e92a-405c-93f2-c1d4e621bc77")</f>
        <v>557058:3124a1f0-e92a-405c-93f2-c1d4e621bc77</v>
      </c>
      <c r="G981" s="26" t="str">
        <f>IFERROR(__xludf.DUMMYFUNCTION("""COMPUTED_VALUE"""),"Trevor Coehoorn")</f>
        <v>Trevor Coehoorn</v>
      </c>
      <c r="H981" s="26" t="b">
        <v>0</v>
      </c>
    </row>
    <row r="982" hidden="1">
      <c r="A982" s="26" t="str">
        <f>VLOOKUP(B982,'2020 SRED (JIRA) - Issues and l'!$B:$C,2,FALSE)</f>
        <v>portal-builder-SRED</v>
      </c>
      <c r="B982" s="27" t="str">
        <f>IFERROR(__xludf.DUMMYFUNCTION("""COMPUTED_VALUE"""),"ITP-1873")</f>
        <v>ITP-1873</v>
      </c>
      <c r="C982" s="26" t="str">
        <f>IFERROR(__xludf.DUMMYFUNCTION("""COMPUTED_VALUE"""),"Remove the previous submissions link from submitted webform pages")</f>
        <v>Remove the previous submissions link from submitted webform pages</v>
      </c>
      <c r="D982" s="28">
        <f>IFERROR(__xludf.DUMMYFUNCTION("""COMPUTED_VALUE"""),0.25)</f>
        <v>0.25</v>
      </c>
      <c r="E982" s="29">
        <f>IFERROR(__xludf.DUMMYFUNCTION("""COMPUTED_VALUE"""),44104.54166666667)</f>
        <v>44104.54167</v>
      </c>
      <c r="F982" s="26" t="str">
        <f>IFERROR(__xludf.DUMMYFUNCTION("""COMPUTED_VALUE"""),"557058:3124a1f0-e92a-405c-93f2-c1d4e621bc77")</f>
        <v>557058:3124a1f0-e92a-405c-93f2-c1d4e621bc77</v>
      </c>
      <c r="G982" s="26" t="str">
        <f>IFERROR(__xludf.DUMMYFUNCTION("""COMPUTED_VALUE"""),"Trevor Coehoorn")</f>
        <v>Trevor Coehoorn</v>
      </c>
      <c r="H982" s="26" t="b">
        <v>0</v>
      </c>
    </row>
    <row r="983" hidden="1">
      <c r="A983" s="26" t="str">
        <f>VLOOKUP(B983,'2020 SRED (JIRA) - Issues and l'!$B:$C,2,FALSE)</f>
        <v>insite-event-SRED</v>
      </c>
      <c r="B983" s="27" t="str">
        <f>IFERROR(__xludf.DUMMYFUNCTION("""COMPUTED_VALUE"""),"ZAPI-60")</f>
        <v>ZAPI-60</v>
      </c>
      <c r="C983" s="26" t="str">
        <f>IFERROR(__xludf.DUMMYFUNCTION("""COMPUTED_VALUE"""),"As a meeting administrator, I can designate meeting/webinar roles (e.g. co-hosts) and customize display names (e.g. Impetus Support [Fname Lname])")</f>
        <v>As a meeting administrator, I can designate meeting/webinar roles (e.g. co-hosts) and customize display names (e.g. Impetus Support [Fname Lname])</v>
      </c>
      <c r="D983" s="28">
        <f>IFERROR(__xludf.DUMMYFUNCTION("""COMPUTED_VALUE"""),4.0)</f>
        <v>4</v>
      </c>
      <c r="E983" s="29">
        <f>IFERROR(__xludf.DUMMYFUNCTION("""COMPUTED_VALUE"""),44104.54166666667)</f>
        <v>44104.54167</v>
      </c>
      <c r="F983" s="26" t="str">
        <f>IFERROR(__xludf.DUMMYFUNCTION("""COMPUTED_VALUE"""),"5e95be7f18b8ed0c0f5adb36")</f>
        <v>5e95be7f18b8ed0c0f5adb36</v>
      </c>
      <c r="G983" s="26" t="str">
        <f>IFERROR(__xludf.DUMMYFUNCTION("""COMPUTED_VALUE"""),"Frantisek Trusa")</f>
        <v>Frantisek Trusa</v>
      </c>
      <c r="H983" s="26" t="b">
        <v>0</v>
      </c>
    </row>
    <row r="984" hidden="1">
      <c r="A984" s="26" t="str">
        <f>VLOOKUP(B984,'2020 SRED (JIRA) - Issues and l'!$B:$C,2,FALSE)</f>
        <v>portal-builder-SRED</v>
      </c>
      <c r="B984" s="27" t="str">
        <f>IFERROR(__xludf.DUMMYFUNCTION("""COMPUTED_VALUE"""),"ITP-1874")</f>
        <v>ITP-1874</v>
      </c>
      <c r="C984" s="26" t="str">
        <f>IFERROR(__xludf.DUMMYFUNCTION("""COMPUTED_VALUE"""),"Multiple webform submission group conditions")</f>
        <v>Multiple webform submission group conditions</v>
      </c>
      <c r="D984" s="28">
        <f>IFERROR(__xludf.DUMMYFUNCTION("""COMPUTED_VALUE"""),0.75)</f>
        <v>0.75</v>
      </c>
      <c r="E984" s="29">
        <f>IFERROR(__xludf.DUMMYFUNCTION("""COMPUTED_VALUE"""),44104.54166666667)</f>
        <v>44104.54167</v>
      </c>
      <c r="F984" s="26" t="str">
        <f>IFERROR(__xludf.DUMMYFUNCTION("""COMPUTED_VALUE"""),"5f5125a6333edb00434bffaf")</f>
        <v>5f5125a6333edb00434bffaf</v>
      </c>
      <c r="G984" s="26" t="str">
        <f>IFERROR(__xludf.DUMMYFUNCTION("""COMPUTED_VALUE"""),"Terry Waldner")</f>
        <v>Terry Waldner</v>
      </c>
      <c r="H984" s="26" t="b">
        <v>0</v>
      </c>
    </row>
    <row r="985" hidden="1">
      <c r="A985" s="26" t="str">
        <f>VLOOKUP(B985,'2020 SRED (JIRA) - Issues and l'!$B:$C,2,FALSE)</f>
        <v>portal-builder-SRED</v>
      </c>
      <c r="B985" s="27" t="str">
        <f>IFERROR(__xludf.DUMMYFUNCTION("""COMPUTED_VALUE"""),"ITP-1810")</f>
        <v>ITP-1810</v>
      </c>
      <c r="C985" s="26" t="str">
        <f>IFERROR(__xludf.DUMMYFUNCTION("""COMPUTED_VALUE"""),"Add empty icons to the menu for incomplete touchpoint activities")</f>
        <v>Add empty icons to the menu for incomplete touchpoint activities</v>
      </c>
      <c r="D985" s="28">
        <f>IFERROR(__xludf.DUMMYFUNCTION("""COMPUTED_VALUE"""),0.5)</f>
        <v>0.5</v>
      </c>
      <c r="E985" s="29">
        <f>IFERROR(__xludf.DUMMYFUNCTION("""COMPUTED_VALUE"""),44104.55208333333)</f>
        <v>44104.55208</v>
      </c>
      <c r="F985" s="26" t="str">
        <f>IFERROR(__xludf.DUMMYFUNCTION("""COMPUTED_VALUE"""),"557058:3124a1f0-e92a-405c-93f2-c1d4e621bc77")</f>
        <v>557058:3124a1f0-e92a-405c-93f2-c1d4e621bc77</v>
      </c>
      <c r="G985" s="26" t="str">
        <f>IFERROR(__xludf.DUMMYFUNCTION("""COMPUTED_VALUE"""),"Trevor Coehoorn")</f>
        <v>Trevor Coehoorn</v>
      </c>
      <c r="H985" s="26" t="b">
        <v>0</v>
      </c>
    </row>
    <row r="986" hidden="1">
      <c r="A986" s="26" t="str">
        <f>VLOOKUP(B986,'2020 SRED (JIRA) - Issues and l'!$B:$C,2,FALSE)</f>
        <v>insite-event-SRED</v>
      </c>
      <c r="B986" s="27" t="str">
        <f>IFERROR(__xludf.DUMMYFUNCTION("""COMPUTED_VALUE"""),"ZAPI-135")</f>
        <v>ZAPI-135</v>
      </c>
      <c r="C986" s="26" t="str">
        <f>IFERROR(__xludf.DUMMYFUNCTION("""COMPUTED_VALUE"""),"Make meeting registration approval link easier to understand")</f>
        <v>Make meeting registration approval link easier to understand</v>
      </c>
      <c r="D986" s="28">
        <f>IFERROR(__xludf.DUMMYFUNCTION("""COMPUTED_VALUE"""),0.5)</f>
        <v>0.5</v>
      </c>
      <c r="E986" s="29">
        <f>IFERROR(__xludf.DUMMYFUNCTION("""COMPUTED_VALUE"""),44104.57291666667)</f>
        <v>44104.57292</v>
      </c>
      <c r="F986" s="26" t="str">
        <f>IFERROR(__xludf.DUMMYFUNCTION("""COMPUTED_VALUE"""),"557058:3124a1f0-e92a-405c-93f2-c1d4e621bc77")</f>
        <v>557058:3124a1f0-e92a-405c-93f2-c1d4e621bc77</v>
      </c>
      <c r="G986" s="26" t="str">
        <f>IFERROR(__xludf.DUMMYFUNCTION("""COMPUTED_VALUE"""),"Trevor Coehoorn")</f>
        <v>Trevor Coehoorn</v>
      </c>
      <c r="H986" s="26" t="b">
        <v>0</v>
      </c>
    </row>
    <row r="987" hidden="1">
      <c r="A987" s="26" t="str">
        <f>VLOOKUP(B987,'2020 SRED (JIRA) - Issues and l'!$B:$C,2,FALSE)</f>
        <v>portal-builder-SRED</v>
      </c>
      <c r="B987" s="27" t="str">
        <f>IFERROR(__xludf.DUMMYFUNCTION("""COMPUTED_VALUE"""),"ITP-1873")</f>
        <v>ITP-1873</v>
      </c>
      <c r="C987" s="26" t="str">
        <f>IFERROR(__xludf.DUMMYFUNCTION("""COMPUTED_VALUE"""),"Remove the previous submissions link from submitted webform pages")</f>
        <v>Remove the previous submissions link from submitted webform pages</v>
      </c>
      <c r="D987" s="28">
        <f>IFERROR(__xludf.DUMMYFUNCTION("""COMPUTED_VALUE"""),0.75)</f>
        <v>0.75</v>
      </c>
      <c r="E987" s="29">
        <f>IFERROR(__xludf.DUMMYFUNCTION("""COMPUTED_VALUE"""),44104.57291666667)</f>
        <v>44104.57292</v>
      </c>
      <c r="F987" s="26" t="str">
        <f>IFERROR(__xludf.DUMMYFUNCTION("""COMPUTED_VALUE"""),"5f5125a6333edb00434bffaf")</f>
        <v>5f5125a6333edb00434bffaf</v>
      </c>
      <c r="G987" s="26" t="str">
        <f>IFERROR(__xludf.DUMMYFUNCTION("""COMPUTED_VALUE"""),"Terry Waldner")</f>
        <v>Terry Waldner</v>
      </c>
      <c r="H987" s="26" t="b">
        <v>0</v>
      </c>
    </row>
    <row r="988" hidden="1">
      <c r="A988" s="26" t="str">
        <f>VLOOKUP(B988,'2020 SRED (JIRA) - Issues and l'!$B:$C,2,FALSE)</f>
        <v>portal-builder-SRED</v>
      </c>
      <c r="B988" s="27" t="str">
        <f>IFERROR(__xludf.DUMMYFUNCTION("""COMPUTED_VALUE"""),"ITP-1871")</f>
        <v>ITP-1871</v>
      </c>
      <c r="C988" s="26" t="str">
        <f>IFERROR(__xludf.DUMMYFUNCTION("""COMPUTED_VALUE"""),"Add touchpoint completion indicator to the top of each touchpoint page")</f>
        <v>Add touchpoint completion indicator to the top of each touchpoint page</v>
      </c>
      <c r="D988" s="28">
        <f>IFERROR(__xludf.DUMMYFUNCTION("""COMPUTED_VALUE"""),2.25)</f>
        <v>2.25</v>
      </c>
      <c r="E988" s="29">
        <f>IFERROR(__xludf.DUMMYFUNCTION("""COMPUTED_VALUE"""),44104.60416666667)</f>
        <v>44104.60417</v>
      </c>
      <c r="F988" s="26" t="str">
        <f>IFERROR(__xludf.DUMMYFUNCTION("""COMPUTED_VALUE"""),"557058:3124a1f0-e92a-405c-93f2-c1d4e621bc77")</f>
        <v>557058:3124a1f0-e92a-405c-93f2-c1d4e621bc77</v>
      </c>
      <c r="G988" s="26" t="str">
        <f>IFERROR(__xludf.DUMMYFUNCTION("""COMPUTED_VALUE"""),"Trevor Coehoorn")</f>
        <v>Trevor Coehoorn</v>
      </c>
      <c r="H988" s="26" t="b">
        <v>0</v>
      </c>
    </row>
    <row r="989" hidden="1">
      <c r="A989" s="26" t="str">
        <f>VLOOKUP(B989,'2020 SRED (JIRA) - Issues and l'!$B:$C,2,FALSE)</f>
        <v>portal-builder-SRED</v>
      </c>
      <c r="B989" s="27" t="str">
        <f>IFERROR(__xludf.DUMMYFUNCTION("""COMPUTED_VALUE"""),"ITP-1874")</f>
        <v>ITP-1874</v>
      </c>
      <c r="C989" s="26" t="str">
        <f>IFERROR(__xludf.DUMMYFUNCTION("""COMPUTED_VALUE"""),"Multiple webform submission group conditions")</f>
        <v>Multiple webform submission group conditions</v>
      </c>
      <c r="D989" s="28">
        <f>IFERROR(__xludf.DUMMYFUNCTION("""COMPUTED_VALUE"""),2.0)</f>
        <v>2</v>
      </c>
      <c r="E989" s="29">
        <f>IFERROR(__xludf.DUMMYFUNCTION("""COMPUTED_VALUE"""),44104.60416666667)</f>
        <v>44104.60417</v>
      </c>
      <c r="F989" s="26" t="str">
        <f>IFERROR(__xludf.DUMMYFUNCTION("""COMPUTED_VALUE"""),"5f5125a6333edb00434bffaf")</f>
        <v>5f5125a6333edb00434bffaf</v>
      </c>
      <c r="G989" s="26" t="str">
        <f>IFERROR(__xludf.DUMMYFUNCTION("""COMPUTED_VALUE"""),"Terry Waldner")</f>
        <v>Terry Waldner</v>
      </c>
      <c r="H989" s="26" t="b">
        <v>0</v>
      </c>
    </row>
    <row r="990">
      <c r="A990" s="26" t="str">
        <f>VLOOKUP(B990,'2020 SRED (JIRA) - Issues and l'!$B:$C,2,FALSE)</f>
        <v>insite-workflow-SRED</v>
      </c>
      <c r="B990" s="27" t="str">
        <f>IFERROR(__xludf.DUMMYFUNCTION("""COMPUTED_VALUE"""),"APPS-461")</f>
        <v>APPS-461</v>
      </c>
      <c r="C990" s="26" t="str">
        <f>IFERROR(__xludf.DUMMYFUNCTION("""COMPUTED_VALUE"""),"Migrate from prototype app to Sales Pipeline")</f>
        <v>Migrate from prototype app to Sales Pipeline</v>
      </c>
      <c r="D990" s="28">
        <f>IFERROR(__xludf.DUMMYFUNCTION("""COMPUTED_VALUE"""),0.5)</f>
        <v>0.5</v>
      </c>
      <c r="E990" s="29">
        <f>IFERROR(__xludf.DUMMYFUNCTION("""COMPUTED_VALUE"""),44105.0)</f>
        <v>44105</v>
      </c>
      <c r="F990" s="26" t="str">
        <f>IFERROR(__xludf.DUMMYFUNCTION("""COMPUTED_VALUE"""),"557058:ed1ddc66-d84d-405c-a815-0fcc6147ba14")</f>
        <v>557058:ed1ddc66-d84d-405c-a815-0fcc6147ba14</v>
      </c>
      <c r="G990" s="26" t="str">
        <f>IFERROR(__xludf.DUMMYFUNCTION("""COMPUTED_VALUE"""),"Mark Corrigan")</f>
        <v>Mark Corrigan</v>
      </c>
      <c r="H990" s="26" t="b">
        <v>0</v>
      </c>
    </row>
    <row r="991" hidden="1">
      <c r="A991" s="26" t="str">
        <f>VLOOKUP(B991,'2020 SRED (JIRA) - Issues and l'!$B:$C,2,FALSE)</f>
        <v>insite-workflow-SRED</v>
      </c>
      <c r="B991" s="27" t="str">
        <f>IFERROR(__xludf.DUMMYFUNCTION("""COMPUTED_VALUE"""),"APPS-461")</f>
        <v>APPS-461</v>
      </c>
      <c r="C991" s="26" t="str">
        <f>IFERROR(__xludf.DUMMYFUNCTION("""COMPUTED_VALUE"""),"Migrate from prototype app to Sales Pipeline")</f>
        <v>Migrate from prototype app to Sales Pipeline</v>
      </c>
      <c r="D991" s="28">
        <f>IFERROR(__xludf.DUMMYFUNCTION("""COMPUTED_VALUE"""),7.0)</f>
        <v>7</v>
      </c>
      <c r="E991" s="29">
        <f>IFERROR(__xludf.DUMMYFUNCTION("""COMPUTED_VALUE"""),44105.0)</f>
        <v>44105</v>
      </c>
      <c r="F991" s="26" t="str">
        <f>IFERROR(__xludf.DUMMYFUNCTION("""COMPUTED_VALUE"""),"5ee7b6cf02b4400ac4b65399")</f>
        <v>5ee7b6cf02b4400ac4b65399</v>
      </c>
      <c r="G991" s="26" t="str">
        <f>IFERROR(__xludf.DUMMYFUNCTION("""COMPUTED_VALUE"""),"Jessica Obando")</f>
        <v>Jessica Obando</v>
      </c>
      <c r="H991" s="26" t="b">
        <v>0</v>
      </c>
    </row>
    <row r="992">
      <c r="A992" s="26" t="str">
        <f>VLOOKUP(B992,'2020 SRED (JIRA) - Issues and l'!$B:$C,2,FALSE)</f>
        <v>insite-workflow-SRED</v>
      </c>
      <c r="B992" s="27" t="str">
        <f>IFERROR(__xludf.DUMMYFUNCTION("""COMPUTED_VALUE"""),"APPS-468")</f>
        <v>APPS-468</v>
      </c>
      <c r="C992" s="26" t="str">
        <f>IFERROR(__xludf.DUMMYFUNCTION("""COMPUTED_VALUE"""),"As a salesperson, I can generate a touchpoint timeline slide from a completed proposal")</f>
        <v>As a salesperson, I can generate a touchpoint timeline slide from a completed proposal</v>
      </c>
      <c r="D992" s="28">
        <f>IFERROR(__xludf.DUMMYFUNCTION("""COMPUTED_VALUE"""),0.25)</f>
        <v>0.25</v>
      </c>
      <c r="E992" s="29">
        <f>IFERROR(__xludf.DUMMYFUNCTION("""COMPUTED_VALUE"""),44105.054861111115)</f>
        <v>44105.05486</v>
      </c>
      <c r="F992" s="26" t="str">
        <f>IFERROR(__xludf.DUMMYFUNCTION("""COMPUTED_VALUE"""),"557058:ed1ddc66-d84d-405c-a815-0fcc6147ba14")</f>
        <v>557058:ed1ddc66-d84d-405c-a815-0fcc6147ba14</v>
      </c>
      <c r="G992" s="26" t="str">
        <f>IFERROR(__xludf.DUMMYFUNCTION("""COMPUTED_VALUE"""),"Mark Corrigan")</f>
        <v>Mark Corrigan</v>
      </c>
      <c r="H992" s="26" t="b">
        <v>0</v>
      </c>
    </row>
    <row r="993" hidden="1">
      <c r="A993" s="26" t="str">
        <f>VLOOKUP(B993,'2020 SRED (JIRA) - Issues and l'!$B:$C,2,FALSE)</f>
        <v>portal-builder-SRED</v>
      </c>
      <c r="B993" s="27" t="str">
        <f>IFERROR(__xludf.DUMMYFUNCTION("""COMPUTED_VALUE"""),"ITP-1810")</f>
        <v>ITP-1810</v>
      </c>
      <c r="C993" s="26" t="str">
        <f>IFERROR(__xludf.DUMMYFUNCTION("""COMPUTED_VALUE"""),"Add empty icons to the menu for incomplete touchpoint activities")</f>
        <v>Add empty icons to the menu for incomplete touchpoint activities</v>
      </c>
      <c r="D993" s="28">
        <f>IFERROR(__xludf.DUMMYFUNCTION("""COMPUTED_VALUE"""),1.0)</f>
        <v>1</v>
      </c>
      <c r="E993" s="29">
        <f>IFERROR(__xludf.DUMMYFUNCTION("""COMPUTED_VALUE"""),44105.33333333333)</f>
        <v>44105.33333</v>
      </c>
      <c r="F993" s="26" t="str">
        <f>IFERROR(__xludf.DUMMYFUNCTION("""COMPUTED_VALUE"""),"5f5125a6333edb00434bffaf")</f>
        <v>5f5125a6333edb00434bffaf</v>
      </c>
      <c r="G993" s="26" t="str">
        <f>IFERROR(__xludf.DUMMYFUNCTION("""COMPUTED_VALUE"""),"Terry Waldner")</f>
        <v>Terry Waldner</v>
      </c>
      <c r="H993" s="26" t="b">
        <v>0</v>
      </c>
    </row>
    <row r="994" hidden="1">
      <c r="A994" s="26" t="str">
        <f>VLOOKUP(B994,'2020 SRED (JIRA) - Issues and l'!$B:$C,2,FALSE)</f>
        <v>portal-builder-SRED</v>
      </c>
      <c r="B994" s="27" t="str">
        <f>IFERROR(__xludf.DUMMYFUNCTION("""COMPUTED_VALUE"""),"ITP-1871")</f>
        <v>ITP-1871</v>
      </c>
      <c r="C994" s="26" t="str">
        <f>IFERROR(__xludf.DUMMYFUNCTION("""COMPUTED_VALUE"""),"Add touchpoint completion indicator to the top of each touchpoint page")</f>
        <v>Add touchpoint completion indicator to the top of each touchpoint page</v>
      </c>
      <c r="D994" s="28">
        <f>IFERROR(__xludf.DUMMYFUNCTION("""COMPUTED_VALUE"""),1.5)</f>
        <v>1.5</v>
      </c>
      <c r="E994" s="29">
        <f>IFERROR(__xludf.DUMMYFUNCTION("""COMPUTED_VALUE"""),44105.35416666667)</f>
        <v>44105.35417</v>
      </c>
      <c r="F994" s="26" t="str">
        <f>IFERROR(__xludf.DUMMYFUNCTION("""COMPUTED_VALUE"""),"557058:3124a1f0-e92a-405c-93f2-c1d4e621bc77")</f>
        <v>557058:3124a1f0-e92a-405c-93f2-c1d4e621bc77</v>
      </c>
      <c r="G994" s="26" t="str">
        <f>IFERROR(__xludf.DUMMYFUNCTION("""COMPUTED_VALUE"""),"Trevor Coehoorn")</f>
        <v>Trevor Coehoorn</v>
      </c>
      <c r="H994" s="26" t="b">
        <v>0</v>
      </c>
    </row>
    <row r="995" hidden="1">
      <c r="A995" s="26" t="str">
        <f>VLOOKUP(B995,'2020 SRED (JIRA) - Issues and l'!$B:$C,2,FALSE)</f>
        <v>portal-builder-SRED</v>
      </c>
      <c r="B995" s="27" t="str">
        <f>IFERROR(__xludf.DUMMYFUNCTION("""COMPUTED_VALUE"""),"ITP-1797")</f>
        <v>ITP-1797</v>
      </c>
      <c r="C995" s="26" t="str">
        <f>IFERROR(__xludf.DUMMYFUNCTION("""COMPUTED_VALUE"""),"Automate customized Friday digest")</f>
        <v>Automate customized Friday digest</v>
      </c>
      <c r="D995" s="28">
        <f>IFERROR(__xludf.DUMMYFUNCTION("""COMPUTED_VALUE"""),0.75)</f>
        <v>0.75</v>
      </c>
      <c r="E995" s="29">
        <f>IFERROR(__xludf.DUMMYFUNCTION("""COMPUTED_VALUE"""),44105.41666666667)</f>
        <v>44105.41667</v>
      </c>
      <c r="F995" s="26" t="str">
        <f>IFERROR(__xludf.DUMMYFUNCTION("""COMPUTED_VALUE"""),"557058:3124a1f0-e92a-405c-93f2-c1d4e621bc77")</f>
        <v>557058:3124a1f0-e92a-405c-93f2-c1d4e621bc77</v>
      </c>
      <c r="G995" s="26" t="str">
        <f>IFERROR(__xludf.DUMMYFUNCTION("""COMPUTED_VALUE"""),"Trevor Coehoorn")</f>
        <v>Trevor Coehoorn</v>
      </c>
      <c r="H995" s="26" t="b">
        <v>0</v>
      </c>
    </row>
    <row r="996" hidden="1">
      <c r="A996" s="26" t="str">
        <f>VLOOKUP(B996,'2020 SRED (JIRA) - Issues and l'!$B:$C,2,FALSE)</f>
        <v>insite-event-SRED</v>
      </c>
      <c r="B996" s="27" t="str">
        <f>IFERROR(__xludf.DUMMYFUNCTION("""COMPUTED_VALUE"""),"PDP-242")</f>
        <v>PDP-242</v>
      </c>
      <c r="C996" s="26" t="str">
        <f>IFERROR(__xludf.DUMMYFUNCTION("""COMPUTED_VALUE"""),"Research webform component options for tags")</f>
        <v>Research webform component options for tags</v>
      </c>
      <c r="D996" s="28">
        <f>IFERROR(__xludf.DUMMYFUNCTION("""COMPUTED_VALUE"""),1.0)</f>
        <v>1</v>
      </c>
      <c r="E996" s="29">
        <f>IFERROR(__xludf.DUMMYFUNCTION("""COMPUTED_VALUE"""),44105.44791666667)</f>
        <v>44105.44792</v>
      </c>
      <c r="F996" s="26" t="str">
        <f>IFERROR(__xludf.DUMMYFUNCTION("""COMPUTED_VALUE"""),"557058:3124a1f0-e92a-405c-93f2-c1d4e621bc77")</f>
        <v>557058:3124a1f0-e92a-405c-93f2-c1d4e621bc77</v>
      </c>
      <c r="G996" s="26" t="str">
        <f>IFERROR(__xludf.DUMMYFUNCTION("""COMPUTED_VALUE"""),"Trevor Coehoorn")</f>
        <v>Trevor Coehoorn</v>
      </c>
      <c r="H996" s="26" t="b">
        <v>0</v>
      </c>
    </row>
    <row r="997" hidden="1">
      <c r="A997" s="26" t="str">
        <f>VLOOKUP(B997,'2020 SRED (JIRA) - Issues and l'!$B:$C,2,FALSE)</f>
        <v>insite-event-SRED</v>
      </c>
      <c r="B997" s="27" t="str">
        <f>IFERROR(__xludf.DUMMYFUNCTION("""COMPUTED_VALUE"""),"ZAPI-60")</f>
        <v>ZAPI-60</v>
      </c>
      <c r="C997" s="26" t="str">
        <f>IFERROR(__xludf.DUMMYFUNCTION("""COMPUTED_VALUE"""),"As a meeting administrator, I can designate meeting/webinar roles (e.g. co-hosts) and customize display names (e.g. Impetus Support [Fname Lname])")</f>
        <v>As a meeting administrator, I can designate meeting/webinar roles (e.g. co-hosts) and customize display names (e.g. Impetus Support [Fname Lname])</v>
      </c>
      <c r="D997" s="28">
        <f>IFERROR(__xludf.DUMMYFUNCTION("""COMPUTED_VALUE"""),1.0)</f>
        <v>1</v>
      </c>
      <c r="E997" s="29">
        <f>IFERROR(__xludf.DUMMYFUNCTION("""COMPUTED_VALUE"""),44105.55208333333)</f>
        <v>44105.55208</v>
      </c>
      <c r="F997" s="26" t="str">
        <f>IFERROR(__xludf.DUMMYFUNCTION("""COMPUTED_VALUE"""),"557058:3124a1f0-e92a-405c-93f2-c1d4e621bc77")</f>
        <v>557058:3124a1f0-e92a-405c-93f2-c1d4e621bc77</v>
      </c>
      <c r="G997" s="26" t="str">
        <f>IFERROR(__xludf.DUMMYFUNCTION("""COMPUTED_VALUE"""),"Trevor Coehoorn")</f>
        <v>Trevor Coehoorn</v>
      </c>
      <c r="H997" s="26" t="b">
        <v>0</v>
      </c>
    </row>
    <row r="998" hidden="1">
      <c r="A998" s="26" t="str">
        <f>VLOOKUP(B998,'2020 SRED (JIRA) - Issues and l'!$B:$C,2,FALSE)</f>
        <v>insite-event-SRED</v>
      </c>
      <c r="B998" s="27" t="str">
        <f>IFERROR(__xludf.DUMMYFUNCTION("""COMPUTED_VALUE"""),"ZAPI-141")</f>
        <v>ZAPI-141</v>
      </c>
      <c r="C998" s="26" t="str">
        <f>IFERROR(__xludf.DUMMYFUNCTION("""COMPUTED_VALUE"""),"Multiple recording fieldsets displayed in web meeting reports and recordings widget ")</f>
        <v>Multiple recording fieldsets displayed in web meeting reports and recordings widget </v>
      </c>
      <c r="D998" s="28">
        <f>IFERROR(__xludf.DUMMYFUNCTION("""COMPUTED_VALUE"""),1.0)</f>
        <v>1</v>
      </c>
      <c r="E998" s="29">
        <f>IFERROR(__xludf.DUMMYFUNCTION("""COMPUTED_VALUE"""),44105.66666666667)</f>
        <v>44105.66667</v>
      </c>
      <c r="F998" s="26" t="str">
        <f>IFERROR(__xludf.DUMMYFUNCTION("""COMPUTED_VALUE"""),"5e95be7f18b8ed0c0f5adb36")</f>
        <v>5e95be7f18b8ed0c0f5adb36</v>
      </c>
      <c r="G998" s="26" t="str">
        <f>IFERROR(__xludf.DUMMYFUNCTION("""COMPUTED_VALUE"""),"Frantisek Trusa")</f>
        <v>Frantisek Trusa</v>
      </c>
      <c r="H998" s="26" t="b">
        <v>0</v>
      </c>
    </row>
    <row r="999" hidden="1">
      <c r="A999" s="26" t="str">
        <f>VLOOKUP(B999,'2020 SRED (JIRA) - Issues and l'!$B:$C,2,FALSE)</f>
        <v>portal-builder-SRED</v>
      </c>
      <c r="B999" s="27" t="str">
        <f>IFERROR(__xludf.DUMMYFUNCTION("""COMPUTED_VALUE"""),"ITP-1871")</f>
        <v>ITP-1871</v>
      </c>
      <c r="C999" s="26" t="str">
        <f>IFERROR(__xludf.DUMMYFUNCTION("""COMPUTED_VALUE"""),"Add touchpoint completion indicator to the top of each touchpoint page")</f>
        <v>Add touchpoint completion indicator to the top of each touchpoint page</v>
      </c>
      <c r="D999" s="28">
        <f>IFERROR(__xludf.DUMMYFUNCTION("""COMPUTED_VALUE"""),0.25)</f>
        <v>0.25</v>
      </c>
      <c r="E999" s="29">
        <f>IFERROR(__xludf.DUMMYFUNCTION("""COMPUTED_VALUE"""),44105.69791666667)</f>
        <v>44105.69792</v>
      </c>
      <c r="F999" s="26" t="str">
        <f>IFERROR(__xludf.DUMMYFUNCTION("""COMPUTED_VALUE"""),"557058:3124a1f0-e92a-405c-93f2-c1d4e621bc77")</f>
        <v>557058:3124a1f0-e92a-405c-93f2-c1d4e621bc77</v>
      </c>
      <c r="G999" s="26" t="str">
        <f>IFERROR(__xludf.DUMMYFUNCTION("""COMPUTED_VALUE"""),"Trevor Coehoorn")</f>
        <v>Trevor Coehoorn</v>
      </c>
      <c r="H999" s="26" t="b">
        <v>0</v>
      </c>
    </row>
    <row r="1000">
      <c r="A1000" s="26" t="str">
        <f>VLOOKUP(B1000,'2020 SRED (JIRA) - Issues and l'!$B:$C,2,FALSE)</f>
        <v>insite-workflow-SRED</v>
      </c>
      <c r="B1000" s="27" t="str">
        <f>IFERROR(__xludf.DUMMYFUNCTION("""COMPUTED_VALUE"""),"APPS-461")</f>
        <v>APPS-461</v>
      </c>
      <c r="C1000" s="26" t="str">
        <f>IFERROR(__xludf.DUMMYFUNCTION("""COMPUTED_VALUE"""),"Migrate from prototype app to Sales Pipeline")</f>
        <v>Migrate from prototype app to Sales Pipeline</v>
      </c>
      <c r="D1000" s="28">
        <f>IFERROR(__xludf.DUMMYFUNCTION("""COMPUTED_VALUE"""),0.25)</f>
        <v>0.25</v>
      </c>
      <c r="E1000" s="29">
        <f>IFERROR(__xludf.DUMMYFUNCTION("""COMPUTED_VALUE"""),44106.0)</f>
        <v>44106</v>
      </c>
      <c r="F1000" s="26" t="str">
        <f>IFERROR(__xludf.DUMMYFUNCTION("""COMPUTED_VALUE"""),"557058:ed1ddc66-d84d-405c-a815-0fcc6147ba14")</f>
        <v>557058:ed1ddc66-d84d-405c-a815-0fcc6147ba14</v>
      </c>
      <c r="G1000" s="26" t="str">
        <f>IFERROR(__xludf.DUMMYFUNCTION("""COMPUTED_VALUE"""),"Mark Corrigan")</f>
        <v>Mark Corrigan</v>
      </c>
      <c r="H1000" s="26" t="b">
        <v>0</v>
      </c>
    </row>
    <row r="1001">
      <c r="A1001" s="26" t="str">
        <f>VLOOKUP(B1001,'2020 SRED (JIRA) - Issues and l'!$B:$C,2,FALSE)</f>
        <v>insite-event-SRED</v>
      </c>
      <c r="B1001" s="27" t="str">
        <f>IFERROR(__xludf.DUMMYFUNCTION("""COMPUTED_VALUE"""),"PDP-242")</f>
        <v>PDP-242</v>
      </c>
      <c r="C1001" s="26" t="str">
        <f>IFERROR(__xludf.DUMMYFUNCTION("""COMPUTED_VALUE"""),"Research webform component options for tags")</f>
        <v>Research webform component options for tags</v>
      </c>
      <c r="D1001" s="28">
        <f>IFERROR(__xludf.DUMMYFUNCTION("""COMPUTED_VALUE"""),0.25)</f>
        <v>0.25</v>
      </c>
      <c r="E1001" s="29">
        <f>IFERROR(__xludf.DUMMYFUNCTION("""COMPUTED_VALUE"""),44106.0)</f>
        <v>44106</v>
      </c>
      <c r="F1001" s="26" t="str">
        <f>IFERROR(__xludf.DUMMYFUNCTION("""COMPUTED_VALUE"""),"557058:ed1ddc66-d84d-405c-a815-0fcc6147ba14")</f>
        <v>557058:ed1ddc66-d84d-405c-a815-0fcc6147ba14</v>
      </c>
      <c r="G1001" s="26" t="str">
        <f>IFERROR(__xludf.DUMMYFUNCTION("""COMPUTED_VALUE"""),"Mark Corrigan")</f>
        <v>Mark Corrigan</v>
      </c>
      <c r="H1001" s="26" t="b">
        <v>0</v>
      </c>
    </row>
    <row r="1002">
      <c r="A1002" s="26" t="str">
        <f>VLOOKUP(B1002,'2020 SRED (JIRA) - Issues and l'!$B:$C,2,FALSE)</f>
        <v>insite-workflow-SRED</v>
      </c>
      <c r="B1002" s="27" t="str">
        <f>IFERROR(__xludf.DUMMYFUNCTION("""COMPUTED_VALUE"""),"APPS-461")</f>
        <v>APPS-461</v>
      </c>
      <c r="C1002" s="26" t="str">
        <f>IFERROR(__xludf.DUMMYFUNCTION("""COMPUTED_VALUE"""),"Migrate from prototype app to Sales Pipeline")</f>
        <v>Migrate from prototype app to Sales Pipeline</v>
      </c>
      <c r="D1002" s="28">
        <f>IFERROR(__xludf.DUMMYFUNCTION("""COMPUTED_VALUE"""),0.5)</f>
        <v>0.5</v>
      </c>
      <c r="E1002" s="29">
        <f>IFERROR(__xludf.DUMMYFUNCTION("""COMPUTED_VALUE"""),44106.0)</f>
        <v>44106</v>
      </c>
      <c r="F1002" s="26" t="str">
        <f>IFERROR(__xludf.DUMMYFUNCTION("""COMPUTED_VALUE"""),"557058:ed1ddc66-d84d-405c-a815-0fcc6147ba14")</f>
        <v>557058:ed1ddc66-d84d-405c-a815-0fcc6147ba14</v>
      </c>
      <c r="G1002" s="26" t="str">
        <f>IFERROR(__xludf.DUMMYFUNCTION("""COMPUTED_VALUE"""),"Mark Corrigan")</f>
        <v>Mark Corrigan</v>
      </c>
      <c r="H1002" s="26" t="b">
        <v>0</v>
      </c>
    </row>
    <row r="1003" hidden="1">
      <c r="A1003" s="26" t="str">
        <f>VLOOKUP(B1003,'2020 SRED (JIRA) - Issues and l'!$B:$C,2,FALSE)</f>
        <v>insite-workflow-SRED</v>
      </c>
      <c r="B1003" s="27" t="str">
        <f>IFERROR(__xludf.DUMMYFUNCTION("""COMPUTED_VALUE"""),"APPS-461")</f>
        <v>APPS-461</v>
      </c>
      <c r="C1003" s="26" t="str">
        <f>IFERROR(__xludf.DUMMYFUNCTION("""COMPUTED_VALUE"""),"Migrate from prototype app to Sales Pipeline")</f>
        <v>Migrate from prototype app to Sales Pipeline</v>
      </c>
      <c r="D1003" s="28">
        <f>IFERROR(__xludf.DUMMYFUNCTION("""COMPUTED_VALUE"""),7.0)</f>
        <v>7</v>
      </c>
      <c r="E1003" s="29">
        <f>IFERROR(__xludf.DUMMYFUNCTION("""COMPUTED_VALUE"""),44106.0)</f>
        <v>44106</v>
      </c>
      <c r="F1003" s="26" t="str">
        <f>IFERROR(__xludf.DUMMYFUNCTION("""COMPUTED_VALUE"""),"5ee7b6cf02b4400ac4b65399")</f>
        <v>5ee7b6cf02b4400ac4b65399</v>
      </c>
      <c r="G1003" s="26" t="str">
        <f>IFERROR(__xludf.DUMMYFUNCTION("""COMPUTED_VALUE"""),"Jessica Obando")</f>
        <v>Jessica Obando</v>
      </c>
      <c r="H1003" s="26" t="b">
        <v>0</v>
      </c>
    </row>
    <row r="1004" hidden="1">
      <c r="A1004" s="26" t="str">
        <f>VLOOKUP(B1004,'2020 SRED (JIRA) - Issues and l'!$B:$C,2,FALSE)</f>
        <v>portal-builder-SRED</v>
      </c>
      <c r="B1004" s="27" t="str">
        <f>IFERROR(__xludf.DUMMYFUNCTION("""COMPUTED_VALUE"""),"ITP-1810")</f>
        <v>ITP-1810</v>
      </c>
      <c r="C1004" s="26" t="str">
        <f>IFERROR(__xludf.DUMMYFUNCTION("""COMPUTED_VALUE"""),"Add empty icons to the menu for incomplete touchpoint activities")</f>
        <v>Add empty icons to the menu for incomplete touchpoint activities</v>
      </c>
      <c r="D1004" s="28">
        <f>IFERROR(__xludf.DUMMYFUNCTION("""COMPUTED_VALUE"""),0.25)</f>
        <v>0.25</v>
      </c>
      <c r="E1004" s="29">
        <f>IFERROR(__xludf.DUMMYFUNCTION("""COMPUTED_VALUE"""),44106.35416666667)</f>
        <v>44106.35417</v>
      </c>
      <c r="F1004" s="26" t="str">
        <f>IFERROR(__xludf.DUMMYFUNCTION("""COMPUTED_VALUE"""),"557058:3124a1f0-e92a-405c-93f2-c1d4e621bc77")</f>
        <v>557058:3124a1f0-e92a-405c-93f2-c1d4e621bc77</v>
      </c>
      <c r="G1004" s="26" t="str">
        <f>IFERROR(__xludf.DUMMYFUNCTION("""COMPUTED_VALUE"""),"Trevor Coehoorn")</f>
        <v>Trevor Coehoorn</v>
      </c>
      <c r="H1004" s="26" t="b">
        <v>0</v>
      </c>
    </row>
    <row r="1005" hidden="1">
      <c r="A1005" s="26" t="str">
        <f>VLOOKUP(B1005,'2020 SRED (JIRA) - Issues and l'!$B:$C,2,FALSE)</f>
        <v>portal-builder-SRED</v>
      </c>
      <c r="B1005" s="27" t="str">
        <f>IFERROR(__xludf.DUMMYFUNCTION("""COMPUTED_VALUE"""),"ITP-1810")</f>
        <v>ITP-1810</v>
      </c>
      <c r="C1005" s="26" t="str">
        <f>IFERROR(__xludf.DUMMYFUNCTION("""COMPUTED_VALUE"""),"Add empty icons to the menu for incomplete touchpoint activities")</f>
        <v>Add empty icons to the menu for incomplete touchpoint activities</v>
      </c>
      <c r="D1005" s="28">
        <f>IFERROR(__xludf.DUMMYFUNCTION("""COMPUTED_VALUE"""),3.75)</f>
        <v>3.75</v>
      </c>
      <c r="E1005" s="29">
        <f>IFERROR(__xludf.DUMMYFUNCTION("""COMPUTED_VALUE"""),44106.375)</f>
        <v>44106.375</v>
      </c>
      <c r="F1005" s="26" t="str">
        <f>IFERROR(__xludf.DUMMYFUNCTION("""COMPUTED_VALUE"""),"5f5125a6333edb00434bffaf")</f>
        <v>5f5125a6333edb00434bffaf</v>
      </c>
      <c r="G1005" s="26" t="str">
        <f>IFERROR(__xludf.DUMMYFUNCTION("""COMPUTED_VALUE"""),"Terry Waldner")</f>
        <v>Terry Waldner</v>
      </c>
      <c r="H1005" s="26" t="b">
        <v>0</v>
      </c>
    </row>
    <row r="1006" hidden="1">
      <c r="A1006" s="26" t="str">
        <f>VLOOKUP(B1006,'2020 SRED (JIRA) - Issues and l'!$B:$C,2,FALSE)</f>
        <v>portal-builder-SRED</v>
      </c>
      <c r="B1006" s="27" t="str">
        <f>IFERROR(__xludf.DUMMYFUNCTION("""COMPUTED_VALUE"""),"ITP-1871")</f>
        <v>ITP-1871</v>
      </c>
      <c r="C1006" s="26" t="str">
        <f>IFERROR(__xludf.DUMMYFUNCTION("""COMPUTED_VALUE"""),"Add touchpoint completion indicator to the top of each touchpoint page")</f>
        <v>Add touchpoint completion indicator to the top of each touchpoint page</v>
      </c>
      <c r="D1006" s="28">
        <f>IFERROR(__xludf.DUMMYFUNCTION("""COMPUTED_VALUE"""),2.75)</f>
        <v>2.75</v>
      </c>
      <c r="E1006" s="29">
        <f>IFERROR(__xludf.DUMMYFUNCTION("""COMPUTED_VALUE"""),44106.39583333333)</f>
        <v>44106.39583</v>
      </c>
      <c r="F1006" s="26" t="str">
        <f>IFERROR(__xludf.DUMMYFUNCTION("""COMPUTED_VALUE"""),"557058:3124a1f0-e92a-405c-93f2-c1d4e621bc77")</f>
        <v>557058:3124a1f0-e92a-405c-93f2-c1d4e621bc77</v>
      </c>
      <c r="G1006" s="26" t="str">
        <f>IFERROR(__xludf.DUMMYFUNCTION("""COMPUTED_VALUE"""),"Trevor Coehoorn")</f>
        <v>Trevor Coehoorn</v>
      </c>
      <c r="H1006" s="26" t="b">
        <v>0</v>
      </c>
    </row>
    <row r="1007" hidden="1">
      <c r="A1007" s="26" t="str">
        <f>VLOOKUP(B1007,'2020 SRED (JIRA) - Issues and l'!$B:$C,2,FALSE)</f>
        <v>insite-workflow-SRED</v>
      </c>
      <c r="B1007" s="27" t="str">
        <f>IFERROR(__xludf.DUMMYFUNCTION("""COMPUTED_VALUE"""),"APPS-463")</f>
        <v>APPS-463</v>
      </c>
      <c r="C1007" s="26" t="str">
        <f>IFERROR(__xludf.DUMMYFUNCTION("""COMPUTED_VALUE"""),"Data modelling and project planning for Impetus IT/HR app")</f>
        <v>Data modelling and project planning for Impetus IT/HR app</v>
      </c>
      <c r="D1007" s="28">
        <f>IFERROR(__xludf.DUMMYFUNCTION("""COMPUTED_VALUE"""),0.5)</f>
        <v>0.5</v>
      </c>
      <c r="E1007" s="29">
        <f>IFERROR(__xludf.DUMMYFUNCTION("""COMPUTED_VALUE"""),44106.45138888889)</f>
        <v>44106.45139</v>
      </c>
      <c r="F1007" s="26" t="str">
        <f>IFERROR(__xludf.DUMMYFUNCTION("""COMPUTED_VALUE"""),"5ec3f07a5269230c34d51fd3")</f>
        <v>5ec3f07a5269230c34d51fd3</v>
      </c>
      <c r="G1007" s="26" t="str">
        <f>IFERROR(__xludf.DUMMYFUNCTION("""COMPUTED_VALUE"""),"Nikita Kuzmin")</f>
        <v>Nikita Kuzmin</v>
      </c>
      <c r="H1007" s="26" t="b">
        <v>0</v>
      </c>
    </row>
    <row r="1008" hidden="1">
      <c r="A1008" s="26" t="str">
        <f>VLOOKUP(B1008,'2020 SRED (JIRA) - Issues and l'!$B:$C,2,FALSE)</f>
        <v>portal-builder-SRED</v>
      </c>
      <c r="B1008" s="27" t="str">
        <f>IFERROR(__xludf.DUMMYFUNCTION("""COMPUTED_VALUE"""),"ITP-1871")</f>
        <v>ITP-1871</v>
      </c>
      <c r="C1008" s="26" t="str">
        <f>IFERROR(__xludf.DUMMYFUNCTION("""COMPUTED_VALUE"""),"Add touchpoint completion indicator to the top of each touchpoint page")</f>
        <v>Add touchpoint completion indicator to the top of each touchpoint page</v>
      </c>
      <c r="D1008" s="28">
        <f>IFERROR(__xludf.DUMMYFUNCTION("""COMPUTED_VALUE"""),0.5)</f>
        <v>0.5</v>
      </c>
      <c r="E1008" s="29">
        <f>IFERROR(__xludf.DUMMYFUNCTION("""COMPUTED_VALUE"""),44106.53125)</f>
        <v>44106.53125</v>
      </c>
      <c r="F1008" s="26" t="str">
        <f>IFERROR(__xludf.DUMMYFUNCTION("""COMPUTED_VALUE"""),"557058:3124a1f0-e92a-405c-93f2-c1d4e621bc77")</f>
        <v>557058:3124a1f0-e92a-405c-93f2-c1d4e621bc77</v>
      </c>
      <c r="G1008" s="26" t="str">
        <f>IFERROR(__xludf.DUMMYFUNCTION("""COMPUTED_VALUE"""),"Trevor Coehoorn")</f>
        <v>Trevor Coehoorn</v>
      </c>
      <c r="H1008" s="26" t="b">
        <v>0</v>
      </c>
    </row>
    <row r="1009" hidden="1">
      <c r="A1009" s="26" t="str">
        <f>VLOOKUP(B1009,'2020 SRED (JIRA) - Issues and l'!$B:$C,2,FALSE)</f>
        <v>portal-builder-SRED</v>
      </c>
      <c r="B1009" s="27" t="str">
        <f>IFERROR(__xludf.DUMMYFUNCTION("""COMPUTED_VALUE"""),"ITP-1810")</f>
        <v>ITP-1810</v>
      </c>
      <c r="C1009" s="26" t="str">
        <f>IFERROR(__xludf.DUMMYFUNCTION("""COMPUTED_VALUE"""),"Add empty icons to the menu for incomplete touchpoint activities")</f>
        <v>Add empty icons to the menu for incomplete touchpoint activities</v>
      </c>
      <c r="D1009" s="28">
        <f>IFERROR(__xludf.DUMMYFUNCTION("""COMPUTED_VALUE"""),0.5)</f>
        <v>0.5</v>
      </c>
      <c r="E1009" s="29">
        <f>IFERROR(__xludf.DUMMYFUNCTION("""COMPUTED_VALUE"""),44106.55208333333)</f>
        <v>44106.55208</v>
      </c>
      <c r="F1009" s="26" t="str">
        <f>IFERROR(__xludf.DUMMYFUNCTION("""COMPUTED_VALUE"""),"5f5125a6333edb00434bffaf")</f>
        <v>5f5125a6333edb00434bffaf</v>
      </c>
      <c r="G1009" s="26" t="str">
        <f>IFERROR(__xludf.DUMMYFUNCTION("""COMPUTED_VALUE"""),"Terry Waldner")</f>
        <v>Terry Waldner</v>
      </c>
      <c r="H1009" s="26" t="b">
        <v>0</v>
      </c>
    </row>
    <row r="1010" hidden="1">
      <c r="A1010" s="26" t="str">
        <f>VLOOKUP(B1010,'2020 SRED (JIRA) - Issues and l'!$B:$C,2,FALSE)</f>
        <v>insite-event-SRED</v>
      </c>
      <c r="B1010" s="27" t="str">
        <f>IFERROR(__xludf.DUMMYFUNCTION("""COMPUTED_VALUE"""),"ZAPI-60")</f>
        <v>ZAPI-60</v>
      </c>
      <c r="C1010" s="26" t="str">
        <f>IFERROR(__xludf.DUMMYFUNCTION("""COMPUTED_VALUE"""),"As a meeting administrator, I can designate meeting/webinar roles (e.g. co-hosts) and customize display names (e.g. Impetus Support [Fname Lname])")</f>
        <v>As a meeting administrator, I can designate meeting/webinar roles (e.g. co-hosts) and customize display names (e.g. Impetus Support [Fname Lname])</v>
      </c>
      <c r="D1010" s="28">
        <f>IFERROR(__xludf.DUMMYFUNCTION("""COMPUTED_VALUE"""),0.75)</f>
        <v>0.75</v>
      </c>
      <c r="E1010" s="29">
        <f>IFERROR(__xludf.DUMMYFUNCTION("""COMPUTED_VALUE"""),44106.5625)</f>
        <v>44106.5625</v>
      </c>
      <c r="F1010" s="26" t="str">
        <f>IFERROR(__xludf.DUMMYFUNCTION("""COMPUTED_VALUE"""),"557058:3124a1f0-e92a-405c-93f2-c1d4e621bc77")</f>
        <v>557058:3124a1f0-e92a-405c-93f2-c1d4e621bc77</v>
      </c>
      <c r="G1010" s="26" t="str">
        <f>IFERROR(__xludf.DUMMYFUNCTION("""COMPUTED_VALUE"""),"Trevor Coehoorn")</f>
        <v>Trevor Coehoorn</v>
      </c>
      <c r="H1010" s="26" t="b">
        <v>0</v>
      </c>
    </row>
    <row r="1011" hidden="1">
      <c r="A1011" s="26" t="str">
        <f>VLOOKUP(B1011,'2020 SRED (JIRA) - Issues and l'!$B:$C,2,FALSE)</f>
        <v>portal-builder-SRED</v>
      </c>
      <c r="B1011" s="27" t="str">
        <f>IFERROR(__xludf.DUMMYFUNCTION("""COMPUTED_VALUE"""),"ITP-1874")</f>
        <v>ITP-1874</v>
      </c>
      <c r="C1011" s="26" t="str">
        <f>IFERROR(__xludf.DUMMYFUNCTION("""COMPUTED_VALUE"""),"Multiple webform submission group conditions")</f>
        <v>Multiple webform submission group conditions</v>
      </c>
      <c r="D1011" s="28">
        <f>IFERROR(__xludf.DUMMYFUNCTION("""COMPUTED_VALUE"""),2.75)</f>
        <v>2.75</v>
      </c>
      <c r="E1011" s="29">
        <f>IFERROR(__xludf.DUMMYFUNCTION("""COMPUTED_VALUE"""),44106.57291666667)</f>
        <v>44106.57292</v>
      </c>
      <c r="F1011" s="26" t="str">
        <f>IFERROR(__xludf.DUMMYFUNCTION("""COMPUTED_VALUE"""),"5f5125a6333edb00434bffaf")</f>
        <v>5f5125a6333edb00434bffaf</v>
      </c>
      <c r="G1011" s="26" t="str">
        <f>IFERROR(__xludf.DUMMYFUNCTION("""COMPUTED_VALUE"""),"Terry Waldner")</f>
        <v>Terry Waldner</v>
      </c>
      <c r="H1011" s="26" t="b">
        <v>0</v>
      </c>
    </row>
    <row r="1012" hidden="1">
      <c r="A1012" s="26" t="str">
        <f>VLOOKUP(B1012,'2020 SRED (JIRA) - Issues and l'!$B:$C,2,FALSE)</f>
        <v>portal-builder-SRED</v>
      </c>
      <c r="B1012" s="27" t="str">
        <f>IFERROR(__xludf.DUMMYFUNCTION("""COMPUTED_VALUE"""),"ITP-1810")</f>
        <v>ITP-1810</v>
      </c>
      <c r="C1012" s="26" t="str">
        <f>IFERROR(__xludf.DUMMYFUNCTION("""COMPUTED_VALUE"""),"Add empty icons to the menu for incomplete touchpoint activities")</f>
        <v>Add empty icons to the menu for incomplete touchpoint activities</v>
      </c>
      <c r="D1012" s="28">
        <f>IFERROR(__xludf.DUMMYFUNCTION("""COMPUTED_VALUE"""),0.5)</f>
        <v>0.5</v>
      </c>
      <c r="E1012" s="29">
        <f>IFERROR(__xludf.DUMMYFUNCTION("""COMPUTED_VALUE"""),44106.59375)</f>
        <v>44106.59375</v>
      </c>
      <c r="F1012" s="26" t="str">
        <f>IFERROR(__xludf.DUMMYFUNCTION("""COMPUTED_VALUE"""),"557058:3124a1f0-e92a-405c-93f2-c1d4e621bc77")</f>
        <v>557058:3124a1f0-e92a-405c-93f2-c1d4e621bc77</v>
      </c>
      <c r="G1012" s="26" t="str">
        <f>IFERROR(__xludf.DUMMYFUNCTION("""COMPUTED_VALUE"""),"Trevor Coehoorn")</f>
        <v>Trevor Coehoorn</v>
      </c>
      <c r="H1012" s="26" t="b">
        <v>0</v>
      </c>
    </row>
    <row r="1013" hidden="1">
      <c r="A1013" s="26" t="str">
        <f>VLOOKUP(B1013,'2020 SRED (JIRA) - Issues and l'!$B:$C,2,FALSE)</f>
        <v>insite-event-SRED</v>
      </c>
      <c r="B1013" s="27" t="str">
        <f>IFERROR(__xludf.DUMMYFUNCTION("""COMPUTED_VALUE"""),"ZAPI-141")</f>
        <v>ZAPI-141</v>
      </c>
      <c r="C1013" s="26" t="str">
        <f>IFERROR(__xludf.DUMMYFUNCTION("""COMPUTED_VALUE"""),"Multiple recording fieldsets displayed in web meeting reports and recordings widget ")</f>
        <v>Multiple recording fieldsets displayed in web meeting reports and recordings widget </v>
      </c>
      <c r="D1013" s="28">
        <f>IFERROR(__xludf.DUMMYFUNCTION("""COMPUTED_VALUE"""),0.5)</f>
        <v>0.5</v>
      </c>
      <c r="E1013" s="29">
        <f>IFERROR(__xludf.DUMMYFUNCTION("""COMPUTED_VALUE"""),44106.61458333333)</f>
        <v>44106.61458</v>
      </c>
      <c r="F1013" s="26" t="str">
        <f>IFERROR(__xludf.DUMMYFUNCTION("""COMPUTED_VALUE"""),"557058:3124a1f0-e92a-405c-93f2-c1d4e621bc77")</f>
        <v>557058:3124a1f0-e92a-405c-93f2-c1d4e621bc77</v>
      </c>
      <c r="G1013" s="26" t="str">
        <f>IFERROR(__xludf.DUMMYFUNCTION("""COMPUTED_VALUE"""),"Trevor Coehoorn")</f>
        <v>Trevor Coehoorn</v>
      </c>
      <c r="H1013" s="26" t="b">
        <v>0</v>
      </c>
    </row>
    <row r="1014">
      <c r="A1014" s="26" t="str">
        <f>VLOOKUP(B1014,'2020 SRED (JIRA) - Issues and l'!$B:$C,2,FALSE)</f>
        <v>insite-workflow-SRED</v>
      </c>
      <c r="B1014" s="27" t="str">
        <f>IFERROR(__xludf.DUMMYFUNCTION("""COMPUTED_VALUE"""),"APPS-451")</f>
        <v>APPS-451</v>
      </c>
      <c r="C1014" s="26" t="str">
        <f>IFERROR(__xludf.DUMMYFUNCTION("""COMPUTED_VALUE"""),"Add touchpoint timeline graphic to top of proposal template")</f>
        <v>Add touchpoint timeline graphic to top of proposal template</v>
      </c>
      <c r="D1014" s="28">
        <f>IFERROR(__xludf.DUMMYFUNCTION("""COMPUTED_VALUE"""),0.25)</f>
        <v>0.25</v>
      </c>
      <c r="E1014" s="29">
        <f>IFERROR(__xludf.DUMMYFUNCTION("""COMPUTED_VALUE"""),44109.0)</f>
        <v>44109</v>
      </c>
      <c r="F1014" s="26" t="str">
        <f>IFERROR(__xludf.DUMMYFUNCTION("""COMPUTED_VALUE"""),"557058:ed1ddc66-d84d-405c-a815-0fcc6147ba14")</f>
        <v>557058:ed1ddc66-d84d-405c-a815-0fcc6147ba14</v>
      </c>
      <c r="G1014" s="26" t="str">
        <f>IFERROR(__xludf.DUMMYFUNCTION("""COMPUTED_VALUE"""),"Mark Corrigan")</f>
        <v>Mark Corrigan</v>
      </c>
      <c r="H1014" s="26" t="b">
        <v>0</v>
      </c>
    </row>
    <row r="1015">
      <c r="A1015" s="26" t="str">
        <f>VLOOKUP(B1015,'2020 SRED (JIRA) - Issues and l'!$B:$C,2,FALSE)</f>
        <v>insite-workflow-SRED</v>
      </c>
      <c r="B1015" s="27" t="str">
        <f>IFERROR(__xludf.DUMMYFUNCTION("""COMPUTED_VALUE"""),"APPS-465")</f>
        <v>APPS-465</v>
      </c>
      <c r="C1015" s="26" t="str">
        <f>IFERROR(__xludf.DUMMYFUNCTION("""COMPUTED_VALUE"""),"Do a test of an email download and then ask kirsti if she received it to outreach and after she approves it , verify if i have received download ")</f>
        <v>Do a test of an email download and then ask kirsti if she received it to outreach and after she approves it , verify if i have received download </v>
      </c>
      <c r="D1015" s="28">
        <f>IFERROR(__xludf.DUMMYFUNCTION("""COMPUTED_VALUE"""),0.25)</f>
        <v>0.25</v>
      </c>
      <c r="E1015" s="29">
        <f>IFERROR(__xludf.DUMMYFUNCTION("""COMPUTED_VALUE"""),44109.0)</f>
        <v>44109</v>
      </c>
      <c r="F1015" s="26" t="str">
        <f>IFERROR(__xludf.DUMMYFUNCTION("""COMPUTED_VALUE"""),"557058:ed1ddc66-d84d-405c-a815-0fcc6147ba14")</f>
        <v>557058:ed1ddc66-d84d-405c-a815-0fcc6147ba14</v>
      </c>
      <c r="G1015" s="26" t="str">
        <f>IFERROR(__xludf.DUMMYFUNCTION("""COMPUTED_VALUE"""),"Mark Corrigan")</f>
        <v>Mark Corrigan</v>
      </c>
      <c r="H1015" s="26" t="b">
        <v>0</v>
      </c>
    </row>
    <row r="1016">
      <c r="A1016" s="26" t="str">
        <f>VLOOKUP(B1016,'2020 SRED (JIRA) - Issues and l'!$B:$C,2,FALSE)</f>
        <v>insite-workflow-SRED</v>
      </c>
      <c r="B1016" s="27" t="str">
        <f>IFERROR(__xludf.DUMMYFUNCTION("""COMPUTED_VALUE"""),"APPS-463")</f>
        <v>APPS-463</v>
      </c>
      <c r="C1016" s="26" t="str">
        <f>IFERROR(__xludf.DUMMYFUNCTION("""COMPUTED_VALUE"""),"Data modelling and project planning for Impetus IT/HR app")</f>
        <v>Data modelling and project planning for Impetus IT/HR app</v>
      </c>
      <c r="D1016" s="28">
        <f>IFERROR(__xludf.DUMMYFUNCTION("""COMPUTED_VALUE"""),0.25)</f>
        <v>0.25</v>
      </c>
      <c r="E1016" s="29">
        <f>IFERROR(__xludf.DUMMYFUNCTION("""COMPUTED_VALUE"""),44109.0)</f>
        <v>44109</v>
      </c>
      <c r="F1016" s="26" t="str">
        <f>IFERROR(__xludf.DUMMYFUNCTION("""COMPUTED_VALUE"""),"557058:ed1ddc66-d84d-405c-a815-0fcc6147ba14")</f>
        <v>557058:ed1ddc66-d84d-405c-a815-0fcc6147ba14</v>
      </c>
      <c r="G1016" s="26" t="str">
        <f>IFERROR(__xludf.DUMMYFUNCTION("""COMPUTED_VALUE"""),"Mark Corrigan")</f>
        <v>Mark Corrigan</v>
      </c>
      <c r="H1016" s="26" t="b">
        <v>0</v>
      </c>
    </row>
    <row r="1017" hidden="1">
      <c r="A1017" s="26" t="str">
        <f>VLOOKUP(B1017,'2020 SRED (JIRA) - Issues and l'!$B:$C,2,FALSE)</f>
        <v>insite-workflow-SRED</v>
      </c>
      <c r="B1017" s="27" t="str">
        <f>IFERROR(__xludf.DUMMYFUNCTION("""COMPUTED_VALUE"""),"APPS-463")</f>
        <v>APPS-463</v>
      </c>
      <c r="C1017" s="26" t="str">
        <f>IFERROR(__xludf.DUMMYFUNCTION("""COMPUTED_VALUE"""),"Data modelling and project planning for Impetus IT/HR app")</f>
        <v>Data modelling and project planning for Impetus IT/HR app</v>
      </c>
      <c r="D1017" s="28">
        <f>IFERROR(__xludf.DUMMYFUNCTION("""COMPUTED_VALUE"""),3.0)</f>
        <v>3</v>
      </c>
      <c r="E1017" s="29">
        <f>IFERROR(__xludf.DUMMYFUNCTION("""COMPUTED_VALUE"""),44109.0)</f>
        <v>44109</v>
      </c>
      <c r="F1017" s="26" t="str">
        <f>IFERROR(__xludf.DUMMYFUNCTION("""COMPUTED_VALUE"""),"5ee7b6ce868ce30ac49e2521")</f>
        <v>5ee7b6ce868ce30ac49e2521</v>
      </c>
      <c r="G1017" s="26" t="str">
        <f>IFERROR(__xludf.DUMMYFUNCTION("""COMPUTED_VALUE"""),"Bryan Le")</f>
        <v>Bryan Le</v>
      </c>
      <c r="H1017" s="26" t="b">
        <v>0</v>
      </c>
    </row>
    <row r="1018" hidden="1">
      <c r="A1018" s="26" t="str">
        <f>VLOOKUP(B1018,'2020 SRED (JIRA) - Issues and l'!$B:$C,2,FALSE)</f>
        <v>insite-workflow-SRED</v>
      </c>
      <c r="B1018" s="27" t="str">
        <f>IFERROR(__xludf.DUMMYFUNCTION("""COMPUTED_VALUE"""),"APPS-254")</f>
        <v>APPS-254</v>
      </c>
      <c r="C1018" s="26" t="str">
        <f>IFERROR(__xludf.DUMMYFUNCTION("""COMPUTED_VALUE"""),"As a salesperson, I can define canned touchpoint inclusions and insert them into touchpoint form")</f>
        <v>As a salesperson, I can define canned touchpoint inclusions and insert them into touchpoint form</v>
      </c>
      <c r="D1018" s="28">
        <f>IFERROR(__xludf.DUMMYFUNCTION("""COMPUTED_VALUE"""),2.0)</f>
        <v>2</v>
      </c>
      <c r="E1018" s="29">
        <f>IFERROR(__xludf.DUMMYFUNCTION("""COMPUTED_VALUE"""),44109.0)</f>
        <v>44109</v>
      </c>
      <c r="F1018" s="26" t="str">
        <f>IFERROR(__xludf.DUMMYFUNCTION("""COMPUTED_VALUE"""),"5ee7b6ce868ce30ac49e2521")</f>
        <v>5ee7b6ce868ce30ac49e2521</v>
      </c>
      <c r="G1018" s="26" t="str">
        <f>IFERROR(__xludf.DUMMYFUNCTION("""COMPUTED_VALUE"""),"Bryan Le")</f>
        <v>Bryan Le</v>
      </c>
      <c r="H1018" s="26" t="b">
        <v>0</v>
      </c>
    </row>
    <row r="1019" hidden="1">
      <c r="A1019" s="26" t="str">
        <f>VLOOKUP(B1019,'2020 SRED (JIRA) - Issues and l'!$B:$C,2,FALSE)</f>
        <v>insite-workflow-SRED</v>
      </c>
      <c r="B1019" s="27" t="str">
        <f>IFERROR(__xludf.DUMMYFUNCTION("""COMPUTED_VALUE"""),"APPS-438")</f>
        <v>APPS-438</v>
      </c>
      <c r="C1019" s="26" t="str">
        <f>IFERROR(__xludf.DUMMYFUNCTION("""COMPUTED_VALUE"""),"Create “Number of translations” field default = 2, only show when translation add-on is selected. Should appear below the add-on field")</f>
        <v>Create “Number of translations” field default = 2, only show when translation add-on is selected. Should appear below the add-on field</v>
      </c>
      <c r="D1019" s="28">
        <f>IFERROR(__xludf.DUMMYFUNCTION("""COMPUTED_VALUE"""),1.0)</f>
        <v>1</v>
      </c>
      <c r="E1019" s="29">
        <f>IFERROR(__xludf.DUMMYFUNCTION("""COMPUTED_VALUE"""),44109.0)</f>
        <v>44109</v>
      </c>
      <c r="F1019" s="26" t="str">
        <f>IFERROR(__xludf.DUMMYFUNCTION("""COMPUTED_VALUE"""),"5ee7b6ce868ce30ac49e2521")</f>
        <v>5ee7b6ce868ce30ac49e2521</v>
      </c>
      <c r="G1019" s="26" t="str">
        <f>IFERROR(__xludf.DUMMYFUNCTION("""COMPUTED_VALUE"""),"Bryan Le")</f>
        <v>Bryan Le</v>
      </c>
      <c r="H1019" s="26" t="b">
        <v>0</v>
      </c>
    </row>
    <row r="1020" hidden="1">
      <c r="A1020" s="26" t="str">
        <f>VLOOKUP(B1020,'2020 SRED (JIRA) - Issues and l'!$B:$C,2,FALSE)</f>
        <v>insite-workflow-SRED</v>
      </c>
      <c r="B1020" s="27" t="str">
        <f>IFERROR(__xludf.DUMMYFUNCTION("""COMPUTED_VALUE"""),"APPS-461")</f>
        <v>APPS-461</v>
      </c>
      <c r="C1020" s="26" t="str">
        <f>IFERROR(__xludf.DUMMYFUNCTION("""COMPUTED_VALUE"""),"Migrate from prototype app to Sales Pipeline")</f>
        <v>Migrate from prototype app to Sales Pipeline</v>
      </c>
      <c r="D1020" s="28">
        <f>IFERROR(__xludf.DUMMYFUNCTION("""COMPUTED_VALUE"""),7.0)</f>
        <v>7</v>
      </c>
      <c r="E1020" s="29">
        <f>IFERROR(__xludf.DUMMYFUNCTION("""COMPUTED_VALUE"""),44109.0)</f>
        <v>44109</v>
      </c>
      <c r="F1020" s="26" t="str">
        <f>IFERROR(__xludf.DUMMYFUNCTION("""COMPUTED_VALUE"""),"5ee7b6cf02b4400ac4b65399")</f>
        <v>5ee7b6cf02b4400ac4b65399</v>
      </c>
      <c r="G1020" s="26" t="str">
        <f>IFERROR(__xludf.DUMMYFUNCTION("""COMPUTED_VALUE"""),"Jessica Obando")</f>
        <v>Jessica Obando</v>
      </c>
      <c r="H1020" s="26" t="b">
        <v>0</v>
      </c>
    </row>
    <row r="1021" hidden="1">
      <c r="A1021" s="26" t="str">
        <f>VLOOKUP(B1021,'2020 SRED (JIRA) - Issues and l'!$B:$C,2,FALSE)</f>
        <v>portal-builder-SRED</v>
      </c>
      <c r="B1021" s="27" t="str">
        <f>IFERROR(__xludf.DUMMYFUNCTION("""COMPUTED_VALUE"""),"ITP-1874")</f>
        <v>ITP-1874</v>
      </c>
      <c r="C1021" s="26" t="str">
        <f>IFERROR(__xludf.DUMMYFUNCTION("""COMPUTED_VALUE"""),"Multiple webform submission group conditions")</f>
        <v>Multiple webform submission group conditions</v>
      </c>
      <c r="D1021" s="28">
        <f>IFERROR(__xludf.DUMMYFUNCTION("""COMPUTED_VALUE"""),3.5)</f>
        <v>3.5</v>
      </c>
      <c r="E1021" s="29">
        <f>IFERROR(__xludf.DUMMYFUNCTION("""COMPUTED_VALUE"""),44109.33333333333)</f>
        <v>44109.33333</v>
      </c>
      <c r="F1021" s="26" t="str">
        <f>IFERROR(__xludf.DUMMYFUNCTION("""COMPUTED_VALUE"""),"5f5125a6333edb00434bffaf")</f>
        <v>5f5125a6333edb00434bffaf</v>
      </c>
      <c r="G1021" s="26" t="str">
        <f>IFERROR(__xludf.DUMMYFUNCTION("""COMPUTED_VALUE"""),"Terry Waldner")</f>
        <v>Terry Waldner</v>
      </c>
      <c r="H1021" s="26" t="b">
        <v>0</v>
      </c>
    </row>
    <row r="1022" hidden="1">
      <c r="A1022" s="26" t="str">
        <f>VLOOKUP(B1022,'2020 SRED (JIRA) - Issues and l'!$B:$C,2,FALSE)</f>
        <v>portal-builder-SRED</v>
      </c>
      <c r="B1022" s="27" t="str">
        <f>IFERROR(__xludf.DUMMYFUNCTION("""COMPUTED_VALUE"""),"ITP-1874")</f>
        <v>ITP-1874</v>
      </c>
      <c r="C1022" s="26" t="str">
        <f>IFERROR(__xludf.DUMMYFUNCTION("""COMPUTED_VALUE"""),"Multiple webform submission group conditions")</f>
        <v>Multiple webform submission group conditions</v>
      </c>
      <c r="D1022" s="28">
        <f>IFERROR(__xludf.DUMMYFUNCTION("""COMPUTED_VALUE"""),0.75)</f>
        <v>0.75</v>
      </c>
      <c r="E1022" s="29">
        <f>IFERROR(__xludf.DUMMYFUNCTION("""COMPUTED_VALUE"""),44109.48958333333)</f>
        <v>44109.48958</v>
      </c>
      <c r="F1022" s="26" t="str">
        <f>IFERROR(__xludf.DUMMYFUNCTION("""COMPUTED_VALUE"""),"5f5125a6333edb00434bffaf")</f>
        <v>5f5125a6333edb00434bffaf</v>
      </c>
      <c r="G1022" s="26" t="str">
        <f>IFERROR(__xludf.DUMMYFUNCTION("""COMPUTED_VALUE"""),"Terry Waldner")</f>
        <v>Terry Waldner</v>
      </c>
      <c r="H1022" s="26" t="b">
        <v>0</v>
      </c>
    </row>
    <row r="1023" hidden="1">
      <c r="A1023" s="26" t="str">
        <f>VLOOKUP(B1023,'2020 SRED (JIRA) - Issues and l'!$B:$C,2,FALSE)</f>
        <v>portal-builder-SRED</v>
      </c>
      <c r="B1023" s="27" t="str">
        <f>IFERROR(__xludf.DUMMYFUNCTION("""COMPUTED_VALUE"""),"ITP-1874")</f>
        <v>ITP-1874</v>
      </c>
      <c r="C1023" s="26" t="str">
        <f>IFERROR(__xludf.DUMMYFUNCTION("""COMPUTED_VALUE"""),"Multiple webform submission group conditions")</f>
        <v>Multiple webform submission group conditions</v>
      </c>
      <c r="D1023" s="28">
        <f>IFERROR(__xludf.DUMMYFUNCTION("""COMPUTED_VALUE"""),3.5)</f>
        <v>3.5</v>
      </c>
      <c r="E1023" s="29">
        <f>IFERROR(__xludf.DUMMYFUNCTION("""COMPUTED_VALUE"""),44109.54166666667)</f>
        <v>44109.54167</v>
      </c>
      <c r="F1023" s="26" t="str">
        <f>IFERROR(__xludf.DUMMYFUNCTION("""COMPUTED_VALUE"""),"5f5125a6333edb00434bffaf")</f>
        <v>5f5125a6333edb00434bffaf</v>
      </c>
      <c r="G1023" s="26" t="str">
        <f>IFERROR(__xludf.DUMMYFUNCTION("""COMPUTED_VALUE"""),"Terry Waldner")</f>
        <v>Terry Waldner</v>
      </c>
      <c r="H1023" s="26" t="b">
        <v>0</v>
      </c>
    </row>
    <row r="1024" hidden="1">
      <c r="A1024" s="26" t="str">
        <f>VLOOKUP(B1024,'2020 SRED (JIRA) - Issues and l'!$B:$C,2,FALSE)</f>
        <v>insite-event-SRED</v>
      </c>
      <c r="B1024" s="27" t="str">
        <f>IFERROR(__xludf.DUMMYFUNCTION("""COMPUTED_VALUE"""),"ZAPI-141")</f>
        <v>ZAPI-141</v>
      </c>
      <c r="C1024" s="26" t="str">
        <f>IFERROR(__xludf.DUMMYFUNCTION("""COMPUTED_VALUE"""),"Multiple recording fieldsets displayed in web meeting reports and recordings widget ")</f>
        <v>Multiple recording fieldsets displayed in web meeting reports and recordings widget </v>
      </c>
      <c r="D1024" s="28">
        <f>IFERROR(__xludf.DUMMYFUNCTION("""COMPUTED_VALUE"""),0.5)</f>
        <v>0.5</v>
      </c>
      <c r="E1024" s="29">
        <f>IFERROR(__xludf.DUMMYFUNCTION("""COMPUTED_VALUE"""),44109.63541666667)</f>
        <v>44109.63542</v>
      </c>
      <c r="F1024" s="26" t="str">
        <f>IFERROR(__xludf.DUMMYFUNCTION("""COMPUTED_VALUE"""),"557058:3124a1f0-e92a-405c-93f2-c1d4e621bc77")</f>
        <v>557058:3124a1f0-e92a-405c-93f2-c1d4e621bc77</v>
      </c>
      <c r="G1024" s="26" t="str">
        <f>IFERROR(__xludf.DUMMYFUNCTION("""COMPUTED_VALUE"""),"Trevor Coehoorn")</f>
        <v>Trevor Coehoorn</v>
      </c>
      <c r="H1024" s="26" t="b">
        <v>0</v>
      </c>
    </row>
    <row r="1025" hidden="1">
      <c r="A1025" s="26" t="str">
        <f>VLOOKUP(B1025,'2020 SRED (JIRA) - Issues and l'!$B:$C,2,FALSE)</f>
        <v>portal-builder-SRED</v>
      </c>
      <c r="B1025" s="27" t="str">
        <f>IFERROR(__xludf.DUMMYFUNCTION("""COMPUTED_VALUE"""),"ITP-1810")</f>
        <v>ITP-1810</v>
      </c>
      <c r="C1025" s="26" t="str">
        <f>IFERROR(__xludf.DUMMYFUNCTION("""COMPUTED_VALUE"""),"Add empty icons to the menu for incomplete touchpoint activities")</f>
        <v>Add empty icons to the menu for incomplete touchpoint activities</v>
      </c>
      <c r="D1025" s="28">
        <f>IFERROR(__xludf.DUMMYFUNCTION("""COMPUTED_VALUE"""),0.25)</f>
        <v>0.25</v>
      </c>
      <c r="E1025" s="29">
        <f>IFERROR(__xludf.DUMMYFUNCTION("""COMPUTED_VALUE"""),44109.65625)</f>
        <v>44109.65625</v>
      </c>
      <c r="F1025" s="26" t="str">
        <f>IFERROR(__xludf.DUMMYFUNCTION("""COMPUTED_VALUE"""),"557058:3124a1f0-e92a-405c-93f2-c1d4e621bc77")</f>
        <v>557058:3124a1f0-e92a-405c-93f2-c1d4e621bc77</v>
      </c>
      <c r="G1025" s="26" t="str">
        <f>IFERROR(__xludf.DUMMYFUNCTION("""COMPUTED_VALUE"""),"Trevor Coehoorn")</f>
        <v>Trevor Coehoorn</v>
      </c>
      <c r="H1025" s="26" t="b">
        <v>0</v>
      </c>
    </row>
    <row r="1026" hidden="1">
      <c r="A1026" s="26" t="str">
        <f>VLOOKUP(B1026,'2020 SRED (JIRA) - Issues and l'!$B:$C,2,FALSE)</f>
        <v>portal-builder-SRED</v>
      </c>
      <c r="B1026" s="27" t="str">
        <f>IFERROR(__xludf.DUMMYFUNCTION("""COMPUTED_VALUE"""),"ITP-1797")</f>
        <v>ITP-1797</v>
      </c>
      <c r="C1026" s="26" t="str">
        <f>IFERROR(__xludf.DUMMYFUNCTION("""COMPUTED_VALUE"""),"Automate customized Friday digest")</f>
        <v>Automate customized Friday digest</v>
      </c>
      <c r="D1026" s="28">
        <f>IFERROR(__xludf.DUMMYFUNCTION("""COMPUTED_VALUE"""),0.5)</f>
        <v>0.5</v>
      </c>
      <c r="E1026" s="29">
        <f>IFERROR(__xludf.DUMMYFUNCTION("""COMPUTED_VALUE"""),44109.66666666667)</f>
        <v>44109.66667</v>
      </c>
      <c r="F1026" s="26" t="str">
        <f>IFERROR(__xludf.DUMMYFUNCTION("""COMPUTED_VALUE"""),"557058:3124a1f0-e92a-405c-93f2-c1d4e621bc77")</f>
        <v>557058:3124a1f0-e92a-405c-93f2-c1d4e621bc77</v>
      </c>
      <c r="G1026" s="26" t="str">
        <f>IFERROR(__xludf.DUMMYFUNCTION("""COMPUTED_VALUE"""),"Trevor Coehoorn")</f>
        <v>Trevor Coehoorn</v>
      </c>
      <c r="H1026" s="26" t="b">
        <v>0</v>
      </c>
    </row>
    <row r="1027" hidden="1">
      <c r="A1027" s="26" t="str">
        <f>VLOOKUP(B1027,'2020 SRED (JIRA) - Issues and l'!$B:$C,2,FALSE)</f>
        <v>portal-builder-SRED</v>
      </c>
      <c r="B1027" s="27" t="str">
        <f>IFERROR(__xludf.DUMMYFUNCTION("""COMPUTED_VALUE"""),"ITP-1864")</f>
        <v>ITP-1864</v>
      </c>
      <c r="C1027" s="26" t="str">
        <f>IFERROR(__xludf.DUMMYFUNCTION("""COMPUTED_VALUE"""),"Prevent file widget video files from automatically playing when they are downloaded")</f>
        <v>Prevent file widget video files from automatically playing when they are downloaded</v>
      </c>
      <c r="D1027" s="28">
        <f>IFERROR(__xludf.DUMMYFUNCTION("""COMPUTED_VALUE"""),0.5)</f>
        <v>0.5</v>
      </c>
      <c r="E1027" s="29">
        <f>IFERROR(__xludf.DUMMYFUNCTION("""COMPUTED_VALUE"""),44109.6875)</f>
        <v>44109.6875</v>
      </c>
      <c r="F1027" s="26" t="str">
        <f>IFERROR(__xludf.DUMMYFUNCTION("""COMPUTED_VALUE"""),"557058:3124a1f0-e92a-405c-93f2-c1d4e621bc77")</f>
        <v>557058:3124a1f0-e92a-405c-93f2-c1d4e621bc77</v>
      </c>
      <c r="G1027" s="26" t="str">
        <f>IFERROR(__xludf.DUMMYFUNCTION("""COMPUTED_VALUE"""),"Trevor Coehoorn")</f>
        <v>Trevor Coehoorn</v>
      </c>
      <c r="H1027" s="26" t="b">
        <v>0</v>
      </c>
    </row>
    <row r="1028">
      <c r="A1028" s="26" t="str">
        <f>VLOOKUP(B1028,'2020 SRED (JIRA) - Issues and l'!$B:$C,2,FALSE)</f>
        <v>insite-workflow-SRED</v>
      </c>
      <c r="B1028" s="27" t="str">
        <f>IFERROR(__xludf.DUMMYFUNCTION("""COMPUTED_VALUE"""),"APPS-266")</f>
        <v>APPS-266</v>
      </c>
      <c r="C1028" s="26" t="str">
        <f>IFERROR(__xludf.DUMMYFUNCTION("""COMPUTED_VALUE"""),"Data migration for contacts, orgs, sales opportunities, prospective clients, salesperson profiles, etc.")</f>
        <v>Data migration for contacts, orgs, sales opportunities, prospective clients, salesperson profiles, etc.</v>
      </c>
      <c r="D1028" s="28">
        <f>IFERROR(__xludf.DUMMYFUNCTION("""COMPUTED_VALUE"""),0.5)</f>
        <v>0.5</v>
      </c>
      <c r="E1028" s="29">
        <f>IFERROR(__xludf.DUMMYFUNCTION("""COMPUTED_VALUE"""),44110.0)</f>
        <v>44110</v>
      </c>
      <c r="F1028" s="26" t="str">
        <f>IFERROR(__xludf.DUMMYFUNCTION("""COMPUTED_VALUE"""),"557058:ed1ddc66-d84d-405c-a815-0fcc6147ba14")</f>
        <v>557058:ed1ddc66-d84d-405c-a815-0fcc6147ba14</v>
      </c>
      <c r="G1028" s="26" t="str">
        <f>IFERROR(__xludf.DUMMYFUNCTION("""COMPUTED_VALUE"""),"Mark Corrigan")</f>
        <v>Mark Corrigan</v>
      </c>
      <c r="H1028" s="26" t="b">
        <v>0</v>
      </c>
    </row>
    <row r="1029">
      <c r="A1029" s="26" t="str">
        <f>VLOOKUP(B1029,'2020 SRED (JIRA) - Issues and l'!$B:$C,2,FALSE)</f>
        <v>insite-workflow-SRED</v>
      </c>
      <c r="B1029" s="27" t="str">
        <f>IFERROR(__xludf.DUMMYFUNCTION("""COMPUTED_VALUE"""),"APPS-477")</f>
        <v>APPS-477</v>
      </c>
      <c r="C1029" s="26" t="str">
        <f>IFERROR(__xludf.DUMMYFUNCTION("""COMPUTED_VALUE"""),"As a salesperson, I can initiate an internal proposal review process")</f>
        <v>As a salesperson, I can initiate an internal proposal review process</v>
      </c>
      <c r="D1029" s="28">
        <f>IFERROR(__xludf.DUMMYFUNCTION("""COMPUTED_VALUE"""),1.0)</f>
        <v>1</v>
      </c>
      <c r="E1029" s="29">
        <f>IFERROR(__xludf.DUMMYFUNCTION("""COMPUTED_VALUE"""),44110.0)</f>
        <v>44110</v>
      </c>
      <c r="F1029" s="26" t="str">
        <f>IFERROR(__xludf.DUMMYFUNCTION("""COMPUTED_VALUE"""),"557058:ed1ddc66-d84d-405c-a815-0fcc6147ba14")</f>
        <v>557058:ed1ddc66-d84d-405c-a815-0fcc6147ba14</v>
      </c>
      <c r="G1029" s="26" t="str">
        <f>IFERROR(__xludf.DUMMYFUNCTION("""COMPUTED_VALUE"""),"Mark Corrigan")</f>
        <v>Mark Corrigan</v>
      </c>
      <c r="H1029" s="26" t="b">
        <v>0</v>
      </c>
    </row>
    <row r="1030">
      <c r="A1030" s="26" t="str">
        <f>VLOOKUP(B1030,'2020 SRED (JIRA) - Issues and l'!$B:$C,2,FALSE)</f>
        <v>insite-workflow-SRED</v>
      </c>
      <c r="B1030" s="27" t="str">
        <f>IFERROR(__xludf.DUMMYFUNCTION("""COMPUTED_VALUE"""),"APPS-460")</f>
        <v>APPS-460</v>
      </c>
      <c r="C1030" s="26" t="str">
        <f>IFERROR(__xludf.DUMMYFUNCTION("""COMPUTED_VALUE"""),"Changes to sales opportunity details view")</f>
        <v>Changes to sales opportunity details view</v>
      </c>
      <c r="D1030" s="28">
        <f>IFERROR(__xludf.DUMMYFUNCTION("""COMPUTED_VALUE"""),0.5)</f>
        <v>0.5</v>
      </c>
      <c r="E1030" s="29">
        <f>IFERROR(__xludf.DUMMYFUNCTION("""COMPUTED_VALUE"""),44110.0)</f>
        <v>44110</v>
      </c>
      <c r="F1030" s="26" t="str">
        <f>IFERROR(__xludf.DUMMYFUNCTION("""COMPUTED_VALUE"""),"557058:ed1ddc66-d84d-405c-a815-0fcc6147ba14")</f>
        <v>557058:ed1ddc66-d84d-405c-a815-0fcc6147ba14</v>
      </c>
      <c r="G1030" s="26" t="str">
        <f>IFERROR(__xludf.DUMMYFUNCTION("""COMPUTED_VALUE"""),"Mark Corrigan")</f>
        <v>Mark Corrigan</v>
      </c>
      <c r="H1030" s="26" t="b">
        <v>0</v>
      </c>
    </row>
    <row r="1031">
      <c r="A1031" s="26" t="str">
        <f>VLOOKUP(B1031,'2020 SRED (JIRA) - Issues and l'!$B:$C,2,FALSE)</f>
        <v>insite-workflow-SRED</v>
      </c>
      <c r="B1031" s="27" t="str">
        <f>IFERROR(__xludf.DUMMYFUNCTION("""COMPUTED_VALUE"""),"APPS-390")</f>
        <v>APPS-390</v>
      </c>
      <c r="C1031" s="26" t="str">
        <f>IFERROR(__xludf.DUMMYFUNCTION("""COMPUTED_VALUE"""),"Transfer product and add-on data from rate cards to app")</f>
        <v>Transfer product and add-on data from rate cards to app</v>
      </c>
      <c r="D1031" s="28">
        <f>IFERROR(__xludf.DUMMYFUNCTION("""COMPUTED_VALUE"""),0.5)</f>
        <v>0.5</v>
      </c>
      <c r="E1031" s="29">
        <f>IFERROR(__xludf.DUMMYFUNCTION("""COMPUTED_VALUE"""),44110.0)</f>
        <v>44110</v>
      </c>
      <c r="F1031" s="26" t="str">
        <f>IFERROR(__xludf.DUMMYFUNCTION("""COMPUTED_VALUE"""),"557058:ed1ddc66-d84d-405c-a815-0fcc6147ba14")</f>
        <v>557058:ed1ddc66-d84d-405c-a815-0fcc6147ba14</v>
      </c>
      <c r="G1031" s="26" t="str">
        <f>IFERROR(__xludf.DUMMYFUNCTION("""COMPUTED_VALUE"""),"Mark Corrigan")</f>
        <v>Mark Corrigan</v>
      </c>
      <c r="H1031" s="26" t="b">
        <v>0</v>
      </c>
    </row>
    <row r="1032">
      <c r="A1032" s="26" t="str">
        <f>VLOOKUP(B1032,'2020 SRED (JIRA) - Issues and l'!$B:$C,2,FALSE)</f>
        <v>insite-workflow-SRED</v>
      </c>
      <c r="B1032" s="27" t="str">
        <f>IFERROR(__xludf.DUMMYFUNCTION("""COMPUTED_VALUE"""),"APPS-463")</f>
        <v>APPS-463</v>
      </c>
      <c r="C1032" s="26" t="str">
        <f>IFERROR(__xludf.DUMMYFUNCTION("""COMPUTED_VALUE"""),"Data modelling and project planning for Impetus IT/HR app")</f>
        <v>Data modelling and project planning for Impetus IT/HR app</v>
      </c>
      <c r="D1032" s="28">
        <f>IFERROR(__xludf.DUMMYFUNCTION("""COMPUTED_VALUE"""),0.5)</f>
        <v>0.5</v>
      </c>
      <c r="E1032" s="29">
        <f>IFERROR(__xludf.DUMMYFUNCTION("""COMPUTED_VALUE"""),44110.0)</f>
        <v>44110</v>
      </c>
      <c r="F1032" s="26" t="str">
        <f>IFERROR(__xludf.DUMMYFUNCTION("""COMPUTED_VALUE"""),"557058:ed1ddc66-d84d-405c-a815-0fcc6147ba14")</f>
        <v>557058:ed1ddc66-d84d-405c-a815-0fcc6147ba14</v>
      </c>
      <c r="G1032" s="26" t="str">
        <f>IFERROR(__xludf.DUMMYFUNCTION("""COMPUTED_VALUE"""),"Mark Corrigan")</f>
        <v>Mark Corrigan</v>
      </c>
      <c r="H1032" s="26" t="b">
        <v>0</v>
      </c>
    </row>
    <row r="1033">
      <c r="A1033" s="26" t="str">
        <f>VLOOKUP(B1033,'2020 SRED (JIRA) - Issues and l'!$B:$C,2,FALSE)</f>
        <v>insite-workflow-SRED</v>
      </c>
      <c r="B1033" s="27" t="str">
        <f>IFERROR(__xludf.DUMMYFUNCTION("""COMPUTED_VALUE"""),"APPS-479")</f>
        <v>APPS-479</v>
      </c>
      <c r="C1033" s="26" t="str">
        <f>IFERROR(__xludf.DUMMYFUNCTION("""COMPUTED_VALUE"""),"Fix iframe issue on Workplace site")</f>
        <v>Fix iframe issue on Workplace site</v>
      </c>
      <c r="D1033" s="28">
        <f>IFERROR(__xludf.DUMMYFUNCTION("""COMPUTED_VALUE"""),0.5)</f>
        <v>0.5</v>
      </c>
      <c r="E1033" s="29">
        <f>IFERROR(__xludf.DUMMYFUNCTION("""COMPUTED_VALUE"""),44110.0)</f>
        <v>44110</v>
      </c>
      <c r="F1033" s="26" t="str">
        <f>IFERROR(__xludf.DUMMYFUNCTION("""COMPUTED_VALUE"""),"557058:ed1ddc66-d84d-405c-a815-0fcc6147ba14")</f>
        <v>557058:ed1ddc66-d84d-405c-a815-0fcc6147ba14</v>
      </c>
      <c r="G1033" s="26" t="str">
        <f>IFERROR(__xludf.DUMMYFUNCTION("""COMPUTED_VALUE"""),"Mark Corrigan")</f>
        <v>Mark Corrigan</v>
      </c>
      <c r="H1033" s="26" t="b">
        <v>0</v>
      </c>
    </row>
    <row r="1034" hidden="1">
      <c r="A1034" s="26" t="str">
        <f>VLOOKUP(B1034,'2020 SRED (JIRA) - Issues and l'!$B:$C,2,FALSE)</f>
        <v>insite-workflow-SRED</v>
      </c>
      <c r="B1034" s="27" t="str">
        <f>IFERROR(__xludf.DUMMYFUNCTION("""COMPUTED_VALUE"""),"APPS-463")</f>
        <v>APPS-463</v>
      </c>
      <c r="C1034" s="26" t="str">
        <f>IFERROR(__xludf.DUMMYFUNCTION("""COMPUTED_VALUE"""),"Data modelling and project planning for Impetus IT/HR app")</f>
        <v>Data modelling and project planning for Impetus IT/HR app</v>
      </c>
      <c r="D1034" s="28">
        <f>IFERROR(__xludf.DUMMYFUNCTION("""COMPUTED_VALUE"""),1.0)</f>
        <v>1</v>
      </c>
      <c r="E1034" s="29">
        <f>IFERROR(__xludf.DUMMYFUNCTION("""COMPUTED_VALUE"""),44110.0)</f>
        <v>44110</v>
      </c>
      <c r="F1034" s="26" t="str">
        <f>IFERROR(__xludf.DUMMYFUNCTION("""COMPUTED_VALUE"""),"5ee7b6ce868ce30ac49e2521")</f>
        <v>5ee7b6ce868ce30ac49e2521</v>
      </c>
      <c r="G1034" s="26" t="str">
        <f>IFERROR(__xludf.DUMMYFUNCTION("""COMPUTED_VALUE"""),"Bryan Le")</f>
        <v>Bryan Le</v>
      </c>
      <c r="H1034" s="26" t="b">
        <v>0</v>
      </c>
    </row>
    <row r="1035" hidden="1">
      <c r="A1035" s="26" t="str">
        <f>VLOOKUP(B1035,'2020 SRED (JIRA) - Issues and l'!$B:$C,2,FALSE)</f>
        <v>insite-workflow-SRED</v>
      </c>
      <c r="B1035" s="27" t="str">
        <f>IFERROR(__xludf.DUMMYFUNCTION("""COMPUTED_VALUE"""),"APPS-474")</f>
        <v>APPS-474</v>
      </c>
      <c r="C1035" s="26" t="str">
        <f>IFERROR(__xludf.DUMMYFUNCTION("""COMPUTED_VALUE"""),"System access tracking - user view")</f>
        <v>System access tracking - user view</v>
      </c>
      <c r="D1035" s="28">
        <f>IFERROR(__xludf.DUMMYFUNCTION("""COMPUTED_VALUE"""),2.0)</f>
        <v>2</v>
      </c>
      <c r="E1035" s="29">
        <f>IFERROR(__xludf.DUMMYFUNCTION("""COMPUTED_VALUE"""),44110.0)</f>
        <v>44110</v>
      </c>
      <c r="F1035" s="26" t="str">
        <f>IFERROR(__xludf.DUMMYFUNCTION("""COMPUTED_VALUE"""),"5ee7b6ce868ce30ac49e2521")</f>
        <v>5ee7b6ce868ce30ac49e2521</v>
      </c>
      <c r="G1035" s="26" t="str">
        <f>IFERROR(__xludf.DUMMYFUNCTION("""COMPUTED_VALUE"""),"Bryan Le")</f>
        <v>Bryan Le</v>
      </c>
      <c r="H1035" s="26" t="b">
        <v>0</v>
      </c>
    </row>
    <row r="1036" hidden="1">
      <c r="A1036" s="26" t="str">
        <f>VLOOKUP(B1036,'2020 SRED (JIRA) - Issues and l'!$B:$C,2,FALSE)</f>
        <v>insite-workflow-SRED</v>
      </c>
      <c r="B1036" s="27" t="str">
        <f>IFERROR(__xludf.DUMMYFUNCTION("""COMPUTED_VALUE"""),"APPS-473")</f>
        <v>APPS-473</v>
      </c>
      <c r="C1036" s="26" t="str">
        <f>IFERROR(__xludf.DUMMYFUNCTION("""COMPUTED_VALUE"""),"Onboarding checklist")</f>
        <v>Onboarding checklist</v>
      </c>
      <c r="D1036" s="28">
        <f>IFERROR(__xludf.DUMMYFUNCTION("""COMPUTED_VALUE"""),2.0)</f>
        <v>2</v>
      </c>
      <c r="E1036" s="29">
        <f>IFERROR(__xludf.DUMMYFUNCTION("""COMPUTED_VALUE"""),44110.0)</f>
        <v>44110</v>
      </c>
      <c r="F1036" s="26" t="str">
        <f>IFERROR(__xludf.DUMMYFUNCTION("""COMPUTED_VALUE"""),"5ee7b6ce868ce30ac49e2521")</f>
        <v>5ee7b6ce868ce30ac49e2521</v>
      </c>
      <c r="G1036" s="26" t="str">
        <f>IFERROR(__xludf.DUMMYFUNCTION("""COMPUTED_VALUE"""),"Bryan Le")</f>
        <v>Bryan Le</v>
      </c>
      <c r="H1036" s="26" t="b">
        <v>0</v>
      </c>
    </row>
    <row r="1037" hidden="1">
      <c r="A1037" s="26" t="str">
        <f>VLOOKUP(B1037,'2020 SRED (JIRA) - Issues and l'!$B:$C,2,FALSE)</f>
        <v>insite-workflow-SRED</v>
      </c>
      <c r="B1037" s="27" t="str">
        <f>IFERROR(__xludf.DUMMYFUNCTION("""COMPUTED_VALUE"""),"APPS-472")</f>
        <v>APPS-472</v>
      </c>
      <c r="C1037" s="26" t="str">
        <f>IFERROR(__xludf.DUMMYFUNCTION("""COMPUTED_VALUE"""),"Impetus Staff profile setup")</f>
        <v>Impetus Staff profile setup</v>
      </c>
      <c r="D1037" s="28">
        <f>IFERROR(__xludf.DUMMYFUNCTION("""COMPUTED_VALUE"""),1.0)</f>
        <v>1</v>
      </c>
      <c r="E1037" s="29">
        <f>IFERROR(__xludf.DUMMYFUNCTION("""COMPUTED_VALUE"""),44110.0)</f>
        <v>44110</v>
      </c>
      <c r="F1037" s="26" t="str">
        <f>IFERROR(__xludf.DUMMYFUNCTION("""COMPUTED_VALUE"""),"5ee7b6ce868ce30ac49e2521")</f>
        <v>5ee7b6ce868ce30ac49e2521</v>
      </c>
      <c r="G1037" s="26" t="str">
        <f>IFERROR(__xludf.DUMMYFUNCTION("""COMPUTED_VALUE"""),"Bryan Le")</f>
        <v>Bryan Le</v>
      </c>
      <c r="H1037" s="26" t="b">
        <v>0</v>
      </c>
    </row>
    <row r="1038" hidden="1">
      <c r="A1038" s="26" t="str">
        <f>VLOOKUP(B1038,'2020 SRED (JIRA) - Issues and l'!$B:$C,2,FALSE)</f>
        <v>insite-workflow-SRED</v>
      </c>
      <c r="B1038" s="27" t="str">
        <f>IFERROR(__xludf.DUMMYFUNCTION("""COMPUTED_VALUE"""),"APPS-472")</f>
        <v>APPS-472</v>
      </c>
      <c r="C1038" s="26" t="str">
        <f>IFERROR(__xludf.DUMMYFUNCTION("""COMPUTED_VALUE"""),"Impetus Staff profile setup")</f>
        <v>Impetus Staff profile setup</v>
      </c>
      <c r="D1038" s="28">
        <f>IFERROR(__xludf.DUMMYFUNCTION("""COMPUTED_VALUE"""),1.0)</f>
        <v>1</v>
      </c>
      <c r="E1038" s="29">
        <f>IFERROR(__xludf.DUMMYFUNCTION("""COMPUTED_VALUE"""),44110.0)</f>
        <v>44110</v>
      </c>
      <c r="F1038" s="26" t="str">
        <f>IFERROR(__xludf.DUMMYFUNCTION("""COMPUTED_VALUE"""),"5ee7b6ce868ce30ac49e2521")</f>
        <v>5ee7b6ce868ce30ac49e2521</v>
      </c>
      <c r="G1038" s="26" t="str">
        <f>IFERROR(__xludf.DUMMYFUNCTION("""COMPUTED_VALUE"""),"Bryan Le")</f>
        <v>Bryan Le</v>
      </c>
      <c r="H1038" s="26" t="b">
        <v>0</v>
      </c>
    </row>
    <row r="1039" hidden="1">
      <c r="A1039" s="26" t="str">
        <f>VLOOKUP(B1039,'2020 SRED (JIRA) - Issues and l'!$B:$C,2,FALSE)</f>
        <v>insite-workflow-SRED</v>
      </c>
      <c r="B1039" s="27" t="str">
        <f>IFERROR(__xludf.DUMMYFUNCTION("""COMPUTED_VALUE"""),"APPS-469")</f>
        <v>APPS-469</v>
      </c>
      <c r="C1039" s="26" t="str">
        <f>IFERROR(__xludf.DUMMYFUNCTION("""COMPUTED_VALUE"""),"Set initial value for ""Project name"" to opportunity description on new proposals")</f>
        <v>Set initial value for "Project name" to opportunity description on new proposals</v>
      </c>
      <c r="D1039" s="28">
        <f>IFERROR(__xludf.DUMMYFUNCTION("""COMPUTED_VALUE"""),7.0)</f>
        <v>7</v>
      </c>
      <c r="E1039" s="29">
        <f>IFERROR(__xludf.DUMMYFUNCTION("""COMPUTED_VALUE"""),44110.0)</f>
        <v>44110</v>
      </c>
      <c r="F1039" s="26" t="str">
        <f>IFERROR(__xludf.DUMMYFUNCTION("""COMPUTED_VALUE"""),"5ee7b6cf02b4400ac4b65399")</f>
        <v>5ee7b6cf02b4400ac4b65399</v>
      </c>
      <c r="G1039" s="26" t="str">
        <f>IFERROR(__xludf.DUMMYFUNCTION("""COMPUTED_VALUE"""),"Jessica Obando")</f>
        <v>Jessica Obando</v>
      </c>
      <c r="H1039" s="26" t="b">
        <v>0</v>
      </c>
    </row>
    <row r="1040" hidden="1">
      <c r="A1040" s="26" t="str">
        <f>VLOOKUP(B1040,'2020 SRED (JIRA) - Issues and l'!$B:$C,2,FALSE)</f>
        <v>portal-builder-SRED</v>
      </c>
      <c r="B1040" s="27" t="str">
        <f>IFERROR(__xludf.DUMMYFUNCTION("""COMPUTED_VALUE"""),"ITP-1873")</f>
        <v>ITP-1873</v>
      </c>
      <c r="C1040" s="26" t="str">
        <f>IFERROR(__xludf.DUMMYFUNCTION("""COMPUTED_VALUE"""),"Remove the previous submissions link from submitted webform pages")</f>
        <v>Remove the previous submissions link from submitted webform pages</v>
      </c>
      <c r="D1040" s="28">
        <f>IFERROR(__xludf.DUMMYFUNCTION("""COMPUTED_VALUE"""),0.25)</f>
        <v>0.25</v>
      </c>
      <c r="E1040" s="29">
        <f>IFERROR(__xludf.DUMMYFUNCTION("""COMPUTED_VALUE"""),44110.33333333333)</f>
        <v>44110.33333</v>
      </c>
      <c r="F1040" s="26" t="str">
        <f>IFERROR(__xludf.DUMMYFUNCTION("""COMPUTED_VALUE"""),"5f5125a6333edb00434bffaf")</f>
        <v>5f5125a6333edb00434bffaf</v>
      </c>
      <c r="G1040" s="26" t="str">
        <f>IFERROR(__xludf.DUMMYFUNCTION("""COMPUTED_VALUE"""),"Terry Waldner")</f>
        <v>Terry Waldner</v>
      </c>
      <c r="H1040" s="26" t="b">
        <v>0</v>
      </c>
    </row>
    <row r="1041" hidden="1">
      <c r="A1041" s="26" t="str">
        <f>VLOOKUP(B1041,'2020 SRED (JIRA) - Issues and l'!$B:$C,2,FALSE)</f>
        <v>portal-builder-SRED</v>
      </c>
      <c r="B1041" s="27" t="str">
        <f>IFERROR(__xludf.DUMMYFUNCTION("""COMPUTED_VALUE"""),"ITP-1810")</f>
        <v>ITP-1810</v>
      </c>
      <c r="C1041" s="26" t="str">
        <f>IFERROR(__xludf.DUMMYFUNCTION("""COMPUTED_VALUE"""),"Add empty icons to the menu for incomplete touchpoint activities")</f>
        <v>Add empty icons to the menu for incomplete touchpoint activities</v>
      </c>
      <c r="D1041" s="28">
        <f>IFERROR(__xludf.DUMMYFUNCTION("""COMPUTED_VALUE"""),0.25)</f>
        <v>0.25</v>
      </c>
      <c r="E1041" s="29">
        <f>IFERROR(__xludf.DUMMYFUNCTION("""COMPUTED_VALUE"""),44110.34375)</f>
        <v>44110.34375</v>
      </c>
      <c r="F1041" s="26" t="str">
        <f>IFERROR(__xludf.DUMMYFUNCTION("""COMPUTED_VALUE"""),"5f5125a6333edb00434bffaf")</f>
        <v>5f5125a6333edb00434bffaf</v>
      </c>
      <c r="G1041" s="26" t="str">
        <f>IFERROR(__xludf.DUMMYFUNCTION("""COMPUTED_VALUE"""),"Terry Waldner")</f>
        <v>Terry Waldner</v>
      </c>
      <c r="H1041" s="26" t="b">
        <v>0</v>
      </c>
    </row>
    <row r="1042" hidden="1">
      <c r="A1042" s="26" t="str">
        <f>VLOOKUP(B1042,'2020 SRED (JIRA) - Issues and l'!$B:$C,2,FALSE)</f>
        <v>portal-builder-SRED</v>
      </c>
      <c r="B1042" s="27" t="str">
        <f>IFERROR(__xludf.DUMMYFUNCTION("""COMPUTED_VALUE"""),"ITP-1874")</f>
        <v>ITP-1874</v>
      </c>
      <c r="C1042" s="26" t="str">
        <f>IFERROR(__xludf.DUMMYFUNCTION("""COMPUTED_VALUE"""),"Multiple webform submission group conditions")</f>
        <v>Multiple webform submission group conditions</v>
      </c>
      <c r="D1042" s="28">
        <f>IFERROR(__xludf.DUMMYFUNCTION("""COMPUTED_VALUE"""),4.25)</f>
        <v>4.25</v>
      </c>
      <c r="E1042" s="29">
        <f>IFERROR(__xludf.DUMMYFUNCTION("""COMPUTED_VALUE"""),44110.35416666667)</f>
        <v>44110.35417</v>
      </c>
      <c r="F1042" s="26" t="str">
        <f>IFERROR(__xludf.DUMMYFUNCTION("""COMPUTED_VALUE"""),"5f5125a6333edb00434bffaf")</f>
        <v>5f5125a6333edb00434bffaf</v>
      </c>
      <c r="G1042" s="26" t="str">
        <f>IFERROR(__xludf.DUMMYFUNCTION("""COMPUTED_VALUE"""),"Terry Waldner")</f>
        <v>Terry Waldner</v>
      </c>
      <c r="H1042" s="26" t="b">
        <v>0</v>
      </c>
    </row>
    <row r="1043" hidden="1">
      <c r="A1043" s="26" t="str">
        <f>VLOOKUP(B1043,'2020 SRED (JIRA) - Issues and l'!$B:$C,2,FALSE)</f>
        <v>portal-builder-SRED</v>
      </c>
      <c r="B1043" s="27" t="str">
        <f>IFERROR(__xludf.DUMMYFUNCTION("""COMPUTED_VALUE"""),"ITP-1874")</f>
        <v>ITP-1874</v>
      </c>
      <c r="C1043" s="26" t="str">
        <f>IFERROR(__xludf.DUMMYFUNCTION("""COMPUTED_VALUE"""),"Multiple webform submission group conditions")</f>
        <v>Multiple webform submission group conditions</v>
      </c>
      <c r="D1043" s="28">
        <f>IFERROR(__xludf.DUMMYFUNCTION("""COMPUTED_VALUE"""),0.25)</f>
        <v>0.25</v>
      </c>
      <c r="E1043" s="29">
        <f>IFERROR(__xludf.DUMMYFUNCTION("""COMPUTED_VALUE"""),44110.38541666667)</f>
        <v>44110.38542</v>
      </c>
      <c r="F1043" s="26" t="str">
        <f>IFERROR(__xludf.DUMMYFUNCTION("""COMPUTED_VALUE"""),"557058:3124a1f0-e92a-405c-93f2-c1d4e621bc77")</f>
        <v>557058:3124a1f0-e92a-405c-93f2-c1d4e621bc77</v>
      </c>
      <c r="G1043" s="26" t="str">
        <f>IFERROR(__xludf.DUMMYFUNCTION("""COMPUTED_VALUE"""),"Trevor Coehoorn")</f>
        <v>Trevor Coehoorn</v>
      </c>
      <c r="H1043" s="26" t="b">
        <v>0</v>
      </c>
    </row>
    <row r="1044" hidden="1">
      <c r="A1044" s="26" t="str">
        <f>VLOOKUP(B1044,'2020 SRED (JIRA) - Issues and l'!$B:$C,2,FALSE)</f>
        <v>portal-builder-SRED</v>
      </c>
      <c r="B1044" s="27" t="str">
        <f>IFERROR(__xludf.DUMMYFUNCTION("""COMPUTED_VALUE"""),"ITP-1864")</f>
        <v>ITP-1864</v>
      </c>
      <c r="C1044" s="26" t="str">
        <f>IFERROR(__xludf.DUMMYFUNCTION("""COMPUTED_VALUE"""),"Prevent file widget video files from automatically playing when they are downloaded")</f>
        <v>Prevent file widget video files from automatically playing when they are downloaded</v>
      </c>
      <c r="D1044" s="28">
        <f>IFERROR(__xludf.DUMMYFUNCTION("""COMPUTED_VALUE"""),0.25)</f>
        <v>0.25</v>
      </c>
      <c r="E1044" s="29">
        <f>IFERROR(__xludf.DUMMYFUNCTION("""COMPUTED_VALUE"""),44110.39583333333)</f>
        <v>44110.39583</v>
      </c>
      <c r="F1044" s="26" t="str">
        <f>IFERROR(__xludf.DUMMYFUNCTION("""COMPUTED_VALUE"""),"557058:3124a1f0-e92a-405c-93f2-c1d4e621bc77")</f>
        <v>557058:3124a1f0-e92a-405c-93f2-c1d4e621bc77</v>
      </c>
      <c r="G1044" s="26" t="str">
        <f>IFERROR(__xludf.DUMMYFUNCTION("""COMPUTED_VALUE"""),"Trevor Coehoorn")</f>
        <v>Trevor Coehoorn</v>
      </c>
      <c r="H1044" s="26" t="b">
        <v>0</v>
      </c>
    </row>
    <row r="1045" hidden="1">
      <c r="A1045" s="26" t="str">
        <f>VLOOKUP(B1045,'2020 SRED (JIRA) - Issues and l'!$B:$C,2,FALSE)</f>
        <v>portal-builder-SRED</v>
      </c>
      <c r="B1045" s="27" t="str">
        <f>IFERROR(__xludf.DUMMYFUNCTION("""COMPUTED_VALUE"""),"ITP-1864")</f>
        <v>ITP-1864</v>
      </c>
      <c r="C1045" s="26" t="str">
        <f>IFERROR(__xludf.DUMMYFUNCTION("""COMPUTED_VALUE"""),"Prevent file widget video files from automatically playing when they are downloaded")</f>
        <v>Prevent file widget video files from automatically playing when they are downloaded</v>
      </c>
      <c r="D1045" s="28">
        <f>IFERROR(__xludf.DUMMYFUNCTION("""COMPUTED_VALUE"""),0.5)</f>
        <v>0.5</v>
      </c>
      <c r="E1045" s="29">
        <f>IFERROR(__xludf.DUMMYFUNCTION("""COMPUTED_VALUE"""),44110.41666666667)</f>
        <v>44110.41667</v>
      </c>
      <c r="F1045" s="26" t="str">
        <f>IFERROR(__xludf.DUMMYFUNCTION("""COMPUTED_VALUE"""),"557058:3124a1f0-e92a-405c-93f2-c1d4e621bc77")</f>
        <v>557058:3124a1f0-e92a-405c-93f2-c1d4e621bc77</v>
      </c>
      <c r="G1045" s="26" t="str">
        <f>IFERROR(__xludf.DUMMYFUNCTION("""COMPUTED_VALUE"""),"Trevor Coehoorn")</f>
        <v>Trevor Coehoorn</v>
      </c>
      <c r="H1045" s="26" t="b">
        <v>0</v>
      </c>
    </row>
    <row r="1046" hidden="1">
      <c r="A1046" s="26" t="str">
        <f>VLOOKUP(B1046,'2020 SRED (JIRA) - Issues and l'!$B:$C,2,FALSE)</f>
        <v>portal-builder-SRED</v>
      </c>
      <c r="B1046" s="27" t="str">
        <f>IFERROR(__xludf.DUMMYFUNCTION("""COMPUTED_VALUE"""),"ITP-1864")</f>
        <v>ITP-1864</v>
      </c>
      <c r="C1046" s="26" t="str">
        <f>IFERROR(__xludf.DUMMYFUNCTION("""COMPUTED_VALUE"""),"Prevent file widget video files from automatically playing when they are downloaded")</f>
        <v>Prevent file widget video files from automatically playing when they are downloaded</v>
      </c>
      <c r="D1046" s="28">
        <f>IFERROR(__xludf.DUMMYFUNCTION("""COMPUTED_VALUE"""),0.25)</f>
        <v>0.25</v>
      </c>
      <c r="E1046" s="29">
        <f>IFERROR(__xludf.DUMMYFUNCTION("""COMPUTED_VALUE"""),44110.4375)</f>
        <v>44110.4375</v>
      </c>
      <c r="F1046" s="26" t="str">
        <f>IFERROR(__xludf.DUMMYFUNCTION("""COMPUTED_VALUE"""),"557058:3124a1f0-e92a-405c-93f2-c1d4e621bc77")</f>
        <v>557058:3124a1f0-e92a-405c-93f2-c1d4e621bc77</v>
      </c>
      <c r="G1046" s="26" t="str">
        <f>IFERROR(__xludf.DUMMYFUNCTION("""COMPUTED_VALUE"""),"Trevor Coehoorn")</f>
        <v>Trevor Coehoorn</v>
      </c>
      <c r="H1046" s="26" t="b">
        <v>0</v>
      </c>
    </row>
    <row r="1047" hidden="1">
      <c r="A1047" s="26" t="str">
        <f>VLOOKUP(B1047,'2020 SRED (JIRA) - Issues and l'!$B:$C,2,FALSE)</f>
        <v>portal-builder-SRED</v>
      </c>
      <c r="B1047" s="27" t="str">
        <f>IFERROR(__xludf.DUMMYFUNCTION("""COMPUTED_VALUE"""),"ITP-1797")</f>
        <v>ITP-1797</v>
      </c>
      <c r="C1047" s="26" t="str">
        <f>IFERROR(__xludf.DUMMYFUNCTION("""COMPUTED_VALUE"""),"Automate customized Friday digest")</f>
        <v>Automate customized Friday digest</v>
      </c>
      <c r="D1047" s="28">
        <f>IFERROR(__xludf.DUMMYFUNCTION("""COMPUTED_VALUE"""),0.25)</f>
        <v>0.25</v>
      </c>
      <c r="E1047" s="29">
        <f>IFERROR(__xludf.DUMMYFUNCTION("""COMPUTED_VALUE"""),44110.45833333333)</f>
        <v>44110.45833</v>
      </c>
      <c r="F1047" s="26" t="str">
        <f>IFERROR(__xludf.DUMMYFUNCTION("""COMPUTED_VALUE"""),"557058:3124a1f0-e92a-405c-93f2-c1d4e621bc77")</f>
        <v>557058:3124a1f0-e92a-405c-93f2-c1d4e621bc77</v>
      </c>
      <c r="G1047" s="26" t="str">
        <f>IFERROR(__xludf.DUMMYFUNCTION("""COMPUTED_VALUE"""),"Trevor Coehoorn")</f>
        <v>Trevor Coehoorn</v>
      </c>
      <c r="H1047" s="26" t="b">
        <v>0</v>
      </c>
    </row>
    <row r="1048" hidden="1">
      <c r="A1048" s="26" t="str">
        <f>VLOOKUP(B1048,'2020 SRED (JIRA) - Issues and l'!$B:$C,2,FALSE)</f>
        <v>insite-event-SRED</v>
      </c>
      <c r="B1048" s="27" t="str">
        <f>IFERROR(__xludf.DUMMYFUNCTION("""COMPUTED_VALUE"""),"ZAPI-141")</f>
        <v>ZAPI-141</v>
      </c>
      <c r="C1048" s="26" t="str">
        <f>IFERROR(__xludf.DUMMYFUNCTION("""COMPUTED_VALUE"""),"Multiple recording fieldsets displayed in web meeting reports and recordings widget ")</f>
        <v>Multiple recording fieldsets displayed in web meeting reports and recordings widget </v>
      </c>
      <c r="D1048" s="28">
        <f>IFERROR(__xludf.DUMMYFUNCTION("""COMPUTED_VALUE"""),1.5)</f>
        <v>1.5</v>
      </c>
      <c r="E1048" s="29">
        <f>IFERROR(__xludf.DUMMYFUNCTION("""COMPUTED_VALUE"""),44110.46875)</f>
        <v>44110.46875</v>
      </c>
      <c r="F1048" s="26" t="str">
        <f>IFERROR(__xludf.DUMMYFUNCTION("""COMPUTED_VALUE"""),"557058:3124a1f0-e92a-405c-93f2-c1d4e621bc77")</f>
        <v>557058:3124a1f0-e92a-405c-93f2-c1d4e621bc77</v>
      </c>
      <c r="G1048" s="26" t="str">
        <f>IFERROR(__xludf.DUMMYFUNCTION("""COMPUTED_VALUE"""),"Trevor Coehoorn")</f>
        <v>Trevor Coehoorn</v>
      </c>
      <c r="H1048" s="26" t="b">
        <v>0</v>
      </c>
    </row>
    <row r="1049" hidden="1">
      <c r="A1049" s="26" t="str">
        <f>VLOOKUP(B1049,'2020 SRED (JIRA) - Issues and l'!$B:$C,2,FALSE)</f>
        <v>insite-event-SRED</v>
      </c>
      <c r="B1049" s="27" t="str">
        <f>IFERROR(__xludf.DUMMYFUNCTION("""COMPUTED_VALUE"""),"ZAPI-141")</f>
        <v>ZAPI-141</v>
      </c>
      <c r="C1049" s="26" t="str">
        <f>IFERROR(__xludf.DUMMYFUNCTION("""COMPUTED_VALUE"""),"Multiple recording fieldsets displayed in web meeting reports and recordings widget ")</f>
        <v>Multiple recording fieldsets displayed in web meeting reports and recordings widget </v>
      </c>
      <c r="D1049" s="28">
        <f>IFERROR(__xludf.DUMMYFUNCTION("""COMPUTED_VALUE"""),3.0)</f>
        <v>3</v>
      </c>
      <c r="E1049" s="29">
        <f>IFERROR(__xludf.DUMMYFUNCTION("""COMPUTED_VALUE"""),44110.55208333333)</f>
        <v>44110.55208</v>
      </c>
      <c r="F1049" s="26" t="str">
        <f>IFERROR(__xludf.DUMMYFUNCTION("""COMPUTED_VALUE"""),"557058:3124a1f0-e92a-405c-93f2-c1d4e621bc77")</f>
        <v>557058:3124a1f0-e92a-405c-93f2-c1d4e621bc77</v>
      </c>
      <c r="G1049" s="26" t="str">
        <f>IFERROR(__xludf.DUMMYFUNCTION("""COMPUTED_VALUE"""),"Trevor Coehoorn")</f>
        <v>Trevor Coehoorn</v>
      </c>
      <c r="H1049" s="26" t="b">
        <v>0</v>
      </c>
    </row>
    <row r="1050" hidden="1">
      <c r="A1050" s="26" t="str">
        <f>VLOOKUP(B1050,'2020 SRED (JIRA) - Issues and l'!$B:$C,2,FALSE)</f>
        <v>portal-builder-SRED</v>
      </c>
      <c r="B1050" s="27" t="str">
        <f>IFERROR(__xludf.DUMMYFUNCTION("""COMPUTED_VALUE"""),"ITP-1874")</f>
        <v>ITP-1874</v>
      </c>
      <c r="C1050" s="26" t="str">
        <f>IFERROR(__xludf.DUMMYFUNCTION("""COMPUTED_VALUE"""),"Multiple webform submission group conditions")</f>
        <v>Multiple webform submission group conditions</v>
      </c>
      <c r="D1050" s="28">
        <f>IFERROR(__xludf.DUMMYFUNCTION("""COMPUTED_VALUE"""),2.75)</f>
        <v>2.75</v>
      </c>
      <c r="E1050" s="29">
        <f>IFERROR(__xludf.DUMMYFUNCTION("""COMPUTED_VALUE"""),44110.55208333333)</f>
        <v>44110.55208</v>
      </c>
      <c r="F1050" s="26" t="str">
        <f>IFERROR(__xludf.DUMMYFUNCTION("""COMPUTED_VALUE"""),"5f5125a6333edb00434bffaf")</f>
        <v>5f5125a6333edb00434bffaf</v>
      </c>
      <c r="G1050" s="26" t="str">
        <f>IFERROR(__xludf.DUMMYFUNCTION("""COMPUTED_VALUE"""),"Terry Waldner")</f>
        <v>Terry Waldner</v>
      </c>
      <c r="H1050" s="26" t="b">
        <v>0</v>
      </c>
    </row>
    <row r="1051" hidden="1">
      <c r="A1051" s="26" t="str">
        <f>VLOOKUP(B1051,'2020 SRED (JIRA) - Issues and l'!$B:$C,2,FALSE)</f>
        <v>insite-workflow-SRED</v>
      </c>
      <c r="B1051" s="27" t="str">
        <f>IFERROR(__xludf.DUMMYFUNCTION("""COMPUTED_VALUE"""),"APPS-463")</f>
        <v>APPS-463</v>
      </c>
      <c r="C1051" s="26" t="str">
        <f>IFERROR(__xludf.DUMMYFUNCTION("""COMPUTED_VALUE"""),"Data modelling and project planning for Impetus IT/HR app")</f>
        <v>Data modelling and project planning for Impetus IT/HR app</v>
      </c>
      <c r="D1051" s="28">
        <f>IFERROR(__xludf.DUMMYFUNCTION("""COMPUTED_VALUE"""),0.666666666666666)</f>
        <v>0.6666666667</v>
      </c>
      <c r="E1051" s="29">
        <f>IFERROR(__xludf.DUMMYFUNCTION("""COMPUTED_VALUE"""),44110.5625)</f>
        <v>44110.5625</v>
      </c>
      <c r="F1051" s="26" t="str">
        <f>IFERROR(__xludf.DUMMYFUNCTION("""COMPUTED_VALUE"""),"5ec3f07a5269230c34d51fd3")</f>
        <v>5ec3f07a5269230c34d51fd3</v>
      </c>
      <c r="G1051" s="26" t="str">
        <f>IFERROR(__xludf.DUMMYFUNCTION("""COMPUTED_VALUE"""),"Nikita Kuzmin")</f>
        <v>Nikita Kuzmin</v>
      </c>
      <c r="H1051" s="26" t="b">
        <v>0</v>
      </c>
    </row>
    <row r="1052">
      <c r="A1052" s="26" t="str">
        <f>VLOOKUP(B1052,'2020 SRED (JIRA) - Issues and l'!$B:$C,2,FALSE)</f>
        <v>insite-workflow-SRED</v>
      </c>
      <c r="B1052" s="27" t="str">
        <f>IFERROR(__xludf.DUMMYFUNCTION("""COMPUTED_VALUE"""),"APPS-477")</f>
        <v>APPS-477</v>
      </c>
      <c r="C1052" s="26" t="str">
        <f>IFERROR(__xludf.DUMMYFUNCTION("""COMPUTED_VALUE"""),"As a salesperson, I can initiate an internal proposal review process")</f>
        <v>As a salesperson, I can initiate an internal proposal review process</v>
      </c>
      <c r="D1052" s="28">
        <f>IFERROR(__xludf.DUMMYFUNCTION("""COMPUTED_VALUE"""),0.75)</f>
        <v>0.75</v>
      </c>
      <c r="E1052" s="29">
        <f>IFERROR(__xludf.DUMMYFUNCTION("""COMPUTED_VALUE"""),44111.0)</f>
        <v>44111</v>
      </c>
      <c r="F1052" s="26" t="str">
        <f>IFERROR(__xludf.DUMMYFUNCTION("""COMPUTED_VALUE"""),"557058:ed1ddc66-d84d-405c-a815-0fcc6147ba14")</f>
        <v>557058:ed1ddc66-d84d-405c-a815-0fcc6147ba14</v>
      </c>
      <c r="G1052" s="26" t="str">
        <f>IFERROR(__xludf.DUMMYFUNCTION("""COMPUTED_VALUE"""),"Mark Corrigan")</f>
        <v>Mark Corrigan</v>
      </c>
      <c r="H1052" s="26" t="b">
        <v>0</v>
      </c>
    </row>
    <row r="1053">
      <c r="A1053" s="26" t="str">
        <f>VLOOKUP(B1053,'2020 SRED (JIRA) - Issues and l'!$B:$C,2,FALSE)</f>
        <v>insite-workflow-SRED</v>
      </c>
      <c r="B1053" s="27" t="str">
        <f>IFERROR(__xludf.DUMMYFUNCTION("""COMPUTED_VALUE"""),"APPS-435")</f>
        <v>APPS-435</v>
      </c>
      <c r="C1053" s="26" t="str">
        <f>IFERROR(__xludf.DUMMYFUNCTION("""COMPUTED_VALUE"""),"Troubleshoot AppSheet iframe not showing in Safari")</f>
        <v>Troubleshoot AppSheet iframe not showing in Safari</v>
      </c>
      <c r="D1053" s="28">
        <f>IFERROR(__xludf.DUMMYFUNCTION("""COMPUTED_VALUE"""),0.25)</f>
        <v>0.25</v>
      </c>
      <c r="E1053" s="29">
        <f>IFERROR(__xludf.DUMMYFUNCTION("""COMPUTED_VALUE"""),44111.0)</f>
        <v>44111</v>
      </c>
      <c r="F1053" s="26" t="str">
        <f>IFERROR(__xludf.DUMMYFUNCTION("""COMPUTED_VALUE"""),"557058:ed1ddc66-d84d-405c-a815-0fcc6147ba14")</f>
        <v>557058:ed1ddc66-d84d-405c-a815-0fcc6147ba14</v>
      </c>
      <c r="G1053" s="26" t="str">
        <f>IFERROR(__xludf.DUMMYFUNCTION("""COMPUTED_VALUE"""),"Mark Corrigan")</f>
        <v>Mark Corrigan</v>
      </c>
      <c r="H1053" s="26" t="b">
        <v>0</v>
      </c>
    </row>
    <row r="1054">
      <c r="A1054" s="26" t="str">
        <f>VLOOKUP(B1054,'2020 SRED (JIRA) - Issues and l'!$B:$C,2,FALSE)</f>
        <v>insite-workflow-SRED</v>
      </c>
      <c r="B1054" s="27" t="str">
        <f>IFERROR(__xludf.DUMMYFUNCTION("""COMPUTED_VALUE"""),"APPS-10")</f>
        <v>APPS-10</v>
      </c>
      <c r="C1054" s="26" t="str">
        <f>IFERROR(__xludf.DUMMYFUNCTION("""COMPUTED_VALUE"""),"Sales Pipeline app (v1)")</f>
        <v>Sales Pipeline app (v1)</v>
      </c>
      <c r="D1054" s="28">
        <f>IFERROR(__xludf.DUMMYFUNCTION("""COMPUTED_VALUE"""),2.0)</f>
        <v>2</v>
      </c>
      <c r="E1054" s="29">
        <f>IFERROR(__xludf.DUMMYFUNCTION("""COMPUTED_VALUE"""),44111.0)</f>
        <v>44111</v>
      </c>
      <c r="F1054" s="26" t="str">
        <f>IFERROR(__xludf.DUMMYFUNCTION("""COMPUTED_VALUE"""),"557058:ed1ddc66-d84d-405c-a815-0fcc6147ba14")</f>
        <v>557058:ed1ddc66-d84d-405c-a815-0fcc6147ba14</v>
      </c>
      <c r="G1054" s="26" t="str">
        <f>IFERROR(__xludf.DUMMYFUNCTION("""COMPUTED_VALUE"""),"Mark Corrigan")</f>
        <v>Mark Corrigan</v>
      </c>
      <c r="H1054" s="26" t="b">
        <v>0</v>
      </c>
    </row>
    <row r="1055">
      <c r="A1055" s="26" t="str">
        <f>VLOOKUP(B1055,'2020 SRED (JIRA) - Issues and l'!$B:$C,2,FALSE)</f>
        <v>insite-workflow-SRED</v>
      </c>
      <c r="B1055" s="27" t="str">
        <f>IFERROR(__xludf.DUMMYFUNCTION("""COMPUTED_VALUE"""),"APPS-451")</f>
        <v>APPS-451</v>
      </c>
      <c r="C1055" s="26" t="str">
        <f>IFERROR(__xludf.DUMMYFUNCTION("""COMPUTED_VALUE"""),"Add touchpoint timeline graphic to top of proposal template")</f>
        <v>Add touchpoint timeline graphic to top of proposal template</v>
      </c>
      <c r="D1055" s="28">
        <f>IFERROR(__xludf.DUMMYFUNCTION("""COMPUTED_VALUE"""),0.5)</f>
        <v>0.5</v>
      </c>
      <c r="E1055" s="29">
        <f>IFERROR(__xludf.DUMMYFUNCTION("""COMPUTED_VALUE"""),44111.0)</f>
        <v>44111</v>
      </c>
      <c r="F1055" s="26" t="str">
        <f>IFERROR(__xludf.DUMMYFUNCTION("""COMPUTED_VALUE"""),"557058:ed1ddc66-d84d-405c-a815-0fcc6147ba14")</f>
        <v>557058:ed1ddc66-d84d-405c-a815-0fcc6147ba14</v>
      </c>
      <c r="G1055" s="26" t="str">
        <f>IFERROR(__xludf.DUMMYFUNCTION("""COMPUTED_VALUE"""),"Mark Corrigan")</f>
        <v>Mark Corrigan</v>
      </c>
      <c r="H1055" s="26" t="b">
        <v>0</v>
      </c>
    </row>
    <row r="1056">
      <c r="A1056" s="26" t="str">
        <f>VLOOKUP(B1056,'2020 SRED (JIRA) - Issues and l'!$B:$C,2,FALSE)</f>
        <v>insite-workflow-SRED</v>
      </c>
      <c r="B1056" s="27" t="str">
        <f>IFERROR(__xludf.DUMMYFUNCTION("""COMPUTED_VALUE"""),"APPS-10")</f>
        <v>APPS-10</v>
      </c>
      <c r="C1056" s="26" t="str">
        <f>IFERROR(__xludf.DUMMYFUNCTION("""COMPUTED_VALUE"""),"Sales Pipeline app (v1)")</f>
        <v>Sales Pipeline app (v1)</v>
      </c>
      <c r="D1056" s="28">
        <f>IFERROR(__xludf.DUMMYFUNCTION("""COMPUTED_VALUE"""),2.0)</f>
        <v>2</v>
      </c>
      <c r="E1056" s="29">
        <f>IFERROR(__xludf.DUMMYFUNCTION("""COMPUTED_VALUE"""),44111.0)</f>
        <v>44111</v>
      </c>
      <c r="F1056" s="26" t="str">
        <f>IFERROR(__xludf.DUMMYFUNCTION("""COMPUTED_VALUE"""),"557058:ed1ddc66-d84d-405c-a815-0fcc6147ba14")</f>
        <v>557058:ed1ddc66-d84d-405c-a815-0fcc6147ba14</v>
      </c>
      <c r="G1056" s="26" t="str">
        <f>IFERROR(__xludf.DUMMYFUNCTION("""COMPUTED_VALUE"""),"Mark Corrigan")</f>
        <v>Mark Corrigan</v>
      </c>
      <c r="H1056" s="26" t="b">
        <v>0</v>
      </c>
    </row>
    <row r="1057" hidden="1">
      <c r="A1057" s="26" t="str">
        <f>VLOOKUP(B1057,'2020 SRED (JIRA) - Issues and l'!$B:$C,2,FALSE)</f>
        <v>insite-workflow-SRED</v>
      </c>
      <c r="B1057" s="27" t="str">
        <f>IFERROR(__xludf.DUMMYFUNCTION("""COMPUTED_VALUE"""),"APPS-474")</f>
        <v>APPS-474</v>
      </c>
      <c r="C1057" s="26" t="str">
        <f>IFERROR(__xludf.DUMMYFUNCTION("""COMPUTED_VALUE"""),"System access tracking - user view")</f>
        <v>System access tracking - user view</v>
      </c>
      <c r="D1057" s="28">
        <f>IFERROR(__xludf.DUMMYFUNCTION("""COMPUTED_VALUE"""),2.0)</f>
        <v>2</v>
      </c>
      <c r="E1057" s="29">
        <f>IFERROR(__xludf.DUMMYFUNCTION("""COMPUTED_VALUE"""),44111.0)</f>
        <v>44111</v>
      </c>
      <c r="F1057" s="26" t="str">
        <f>IFERROR(__xludf.DUMMYFUNCTION("""COMPUTED_VALUE"""),"5ee7b6ce868ce30ac49e2521")</f>
        <v>5ee7b6ce868ce30ac49e2521</v>
      </c>
      <c r="G1057" s="26" t="str">
        <f>IFERROR(__xludf.DUMMYFUNCTION("""COMPUTED_VALUE"""),"Bryan Le")</f>
        <v>Bryan Le</v>
      </c>
      <c r="H1057" s="26" t="b">
        <v>0</v>
      </c>
    </row>
    <row r="1058" hidden="1">
      <c r="A1058" s="26" t="str">
        <f>VLOOKUP(B1058,'2020 SRED (JIRA) - Issues and l'!$B:$C,2,FALSE)</f>
        <v>insite-workflow-SRED</v>
      </c>
      <c r="B1058" s="27" t="str">
        <f>IFERROR(__xludf.DUMMYFUNCTION("""COMPUTED_VALUE"""),"APPS-472")</f>
        <v>APPS-472</v>
      </c>
      <c r="C1058" s="26" t="str">
        <f>IFERROR(__xludf.DUMMYFUNCTION("""COMPUTED_VALUE"""),"Impetus Staff profile setup")</f>
        <v>Impetus Staff profile setup</v>
      </c>
      <c r="D1058" s="28">
        <f>IFERROR(__xludf.DUMMYFUNCTION("""COMPUTED_VALUE"""),5.0)</f>
        <v>5</v>
      </c>
      <c r="E1058" s="29">
        <f>IFERROR(__xludf.DUMMYFUNCTION("""COMPUTED_VALUE"""),44111.0)</f>
        <v>44111</v>
      </c>
      <c r="F1058" s="26" t="str">
        <f>IFERROR(__xludf.DUMMYFUNCTION("""COMPUTED_VALUE"""),"5ee7b6ce868ce30ac49e2521")</f>
        <v>5ee7b6ce868ce30ac49e2521</v>
      </c>
      <c r="G1058" s="26" t="str">
        <f>IFERROR(__xludf.DUMMYFUNCTION("""COMPUTED_VALUE"""),"Bryan Le")</f>
        <v>Bryan Le</v>
      </c>
      <c r="H1058" s="26" t="b">
        <v>0</v>
      </c>
    </row>
    <row r="1059" hidden="1">
      <c r="A1059" s="26" t="str">
        <f>VLOOKUP(B1059,'2020 SRED (JIRA) - Issues and l'!$B:$C,2,FALSE)</f>
        <v>insite-workflow-SRED</v>
      </c>
      <c r="B1059" s="27" t="str">
        <f>IFERROR(__xludf.DUMMYFUNCTION("""COMPUTED_VALUE"""),"APPS-492")</f>
        <v>APPS-492</v>
      </c>
      <c r="C1059" s="26" t="str">
        <f>IFERROR(__xludf.DUMMYFUNCTION("""COMPUTED_VALUE"""),"Add ""Internal reviewers"" enumlist field with Impetus staff drop-down")</f>
        <v>Add "Internal reviewers" enumlist field with Impetus staff drop-down</v>
      </c>
      <c r="D1059" s="28">
        <f>IFERROR(__xludf.DUMMYFUNCTION("""COMPUTED_VALUE"""),7.0)</f>
        <v>7</v>
      </c>
      <c r="E1059" s="29">
        <f>IFERROR(__xludf.DUMMYFUNCTION("""COMPUTED_VALUE"""),44111.0)</f>
        <v>44111</v>
      </c>
      <c r="F1059" s="26" t="str">
        <f>IFERROR(__xludf.DUMMYFUNCTION("""COMPUTED_VALUE"""),"5ee7b6cf02b4400ac4b65399")</f>
        <v>5ee7b6cf02b4400ac4b65399</v>
      </c>
      <c r="G1059" s="26" t="str">
        <f>IFERROR(__xludf.DUMMYFUNCTION("""COMPUTED_VALUE"""),"Jessica Obando")</f>
        <v>Jessica Obando</v>
      </c>
      <c r="H1059" s="26" t="b">
        <v>0</v>
      </c>
    </row>
    <row r="1060" hidden="1">
      <c r="A1060" s="26" t="str">
        <f>VLOOKUP(B1060,'2020 SRED (JIRA) - Issues and l'!$B:$C,2,FALSE)</f>
        <v>portal-builder-SRED</v>
      </c>
      <c r="B1060" s="27" t="str">
        <f>IFERROR(__xludf.DUMMYFUNCTION("""COMPUTED_VALUE"""),"ITP-1874")</f>
        <v>ITP-1874</v>
      </c>
      <c r="C1060" s="26" t="str">
        <f>IFERROR(__xludf.DUMMYFUNCTION("""COMPUTED_VALUE"""),"Multiple webform submission group conditions")</f>
        <v>Multiple webform submission group conditions</v>
      </c>
      <c r="D1060" s="28">
        <f>IFERROR(__xludf.DUMMYFUNCTION("""COMPUTED_VALUE"""),2.25)</f>
        <v>2.25</v>
      </c>
      <c r="E1060" s="29">
        <f>IFERROR(__xludf.DUMMYFUNCTION("""COMPUTED_VALUE"""),44111.33333333333)</f>
        <v>44111.33333</v>
      </c>
      <c r="F1060" s="26" t="str">
        <f>IFERROR(__xludf.DUMMYFUNCTION("""COMPUTED_VALUE"""),"5f5125a6333edb00434bffaf")</f>
        <v>5f5125a6333edb00434bffaf</v>
      </c>
      <c r="G1060" s="26" t="str">
        <f>IFERROR(__xludf.DUMMYFUNCTION("""COMPUTED_VALUE"""),"Terry Waldner")</f>
        <v>Terry Waldner</v>
      </c>
      <c r="H1060" s="26" t="b">
        <v>0</v>
      </c>
    </row>
    <row r="1061" hidden="1">
      <c r="A1061" s="26" t="str">
        <f>VLOOKUP(B1061,'2020 SRED (JIRA) - Issues and l'!$B:$C,2,FALSE)</f>
        <v>portal-builder-SRED</v>
      </c>
      <c r="B1061" s="27" t="str">
        <f>IFERROR(__xludf.DUMMYFUNCTION("""COMPUTED_VALUE"""),"ITP-1874")</f>
        <v>ITP-1874</v>
      </c>
      <c r="C1061" s="26" t="str">
        <f>IFERROR(__xludf.DUMMYFUNCTION("""COMPUTED_VALUE"""),"Multiple webform submission group conditions")</f>
        <v>Multiple webform submission group conditions</v>
      </c>
      <c r="D1061" s="28">
        <f>IFERROR(__xludf.DUMMYFUNCTION("""COMPUTED_VALUE"""),1.0)</f>
        <v>1</v>
      </c>
      <c r="E1061" s="29">
        <f>IFERROR(__xludf.DUMMYFUNCTION("""COMPUTED_VALUE"""),44111.47916666667)</f>
        <v>44111.47917</v>
      </c>
      <c r="F1061" s="26" t="str">
        <f>IFERROR(__xludf.DUMMYFUNCTION("""COMPUTED_VALUE"""),"5f5125a6333edb00434bffaf")</f>
        <v>5f5125a6333edb00434bffaf</v>
      </c>
      <c r="G1061" s="26" t="str">
        <f>IFERROR(__xludf.DUMMYFUNCTION("""COMPUTED_VALUE"""),"Terry Waldner")</f>
        <v>Terry Waldner</v>
      </c>
      <c r="H1061" s="26" t="b">
        <v>0</v>
      </c>
    </row>
    <row r="1062" hidden="1">
      <c r="A1062" s="26" t="str">
        <f>VLOOKUP(B1062,'2020 SRED (JIRA) - Issues and l'!$B:$C,2,FALSE)</f>
        <v>portal-builder-SRED</v>
      </c>
      <c r="B1062" s="27" t="str">
        <f>IFERROR(__xludf.DUMMYFUNCTION("""COMPUTED_VALUE"""),"ITP-1868")</f>
        <v>ITP-1868</v>
      </c>
      <c r="C1062" s="26" t="str">
        <f>IFERROR(__xludf.DUMMYFUNCTION("""COMPUTED_VALUE"""),"Alternating line colours in annotated pdf reports")</f>
        <v>Alternating line colours in annotated pdf reports</v>
      </c>
      <c r="D1062" s="28">
        <f>IFERROR(__xludf.DUMMYFUNCTION("""COMPUTED_VALUE"""),0.25)</f>
        <v>0.25</v>
      </c>
      <c r="E1062" s="29">
        <f>IFERROR(__xludf.DUMMYFUNCTION("""COMPUTED_VALUE"""),44111.493055555555)</f>
        <v>44111.49306</v>
      </c>
      <c r="F1062" s="26" t="str">
        <f>IFERROR(__xludf.DUMMYFUNCTION("""COMPUTED_VALUE"""),"557058:f55c62b5-dc7e-41e5-b0f8-231ca9f23470")</f>
        <v>557058:f55c62b5-dc7e-41e5-b0f8-231ca9f23470</v>
      </c>
      <c r="G1062" s="26" t="str">
        <f>IFERROR(__xludf.DUMMYFUNCTION("""COMPUTED_VALUE"""),"Holly Lam")</f>
        <v>Holly Lam</v>
      </c>
      <c r="H1062" s="26" t="b">
        <v>0</v>
      </c>
    </row>
    <row r="1063" hidden="1">
      <c r="A1063" s="26" t="str">
        <f>VLOOKUP(B1063,'2020 SRED (JIRA) - Issues and l'!$B:$C,2,FALSE)</f>
        <v>portal-builder-SRED</v>
      </c>
      <c r="B1063" s="27" t="str">
        <f>IFERROR(__xludf.DUMMYFUNCTION("""COMPUTED_VALUE"""),"ITP-1871")</f>
        <v>ITP-1871</v>
      </c>
      <c r="C1063" s="26" t="str">
        <f>IFERROR(__xludf.DUMMYFUNCTION("""COMPUTED_VALUE"""),"Add touchpoint completion indicator to the top of each touchpoint page")</f>
        <v>Add touchpoint completion indicator to the top of each touchpoint page</v>
      </c>
      <c r="D1063" s="28">
        <f>IFERROR(__xludf.DUMMYFUNCTION("""COMPUTED_VALUE"""),0.5)</f>
        <v>0.5</v>
      </c>
      <c r="E1063" s="29">
        <f>IFERROR(__xludf.DUMMYFUNCTION("""COMPUTED_VALUE"""),44111.52083333333)</f>
        <v>44111.52083</v>
      </c>
      <c r="F1063" s="26" t="str">
        <f>IFERROR(__xludf.DUMMYFUNCTION("""COMPUTED_VALUE"""),"5e98d69b272c6a0c0e88b806")</f>
        <v>5e98d69b272c6a0c0e88b806</v>
      </c>
      <c r="G1063" s="26" t="str">
        <f>IFERROR(__xludf.DUMMYFUNCTION("""COMPUTED_VALUE"""),"Pauline Reyes")</f>
        <v>Pauline Reyes</v>
      </c>
      <c r="H1063" s="26" t="b">
        <v>0</v>
      </c>
    </row>
    <row r="1064" hidden="1">
      <c r="A1064" s="26" t="str">
        <f>VLOOKUP(B1064,'2020 SRED (JIRA) - Issues and l'!$B:$C,2,FALSE)</f>
        <v>insite-event-SRED</v>
      </c>
      <c r="B1064" s="27" t="str">
        <f>IFERROR(__xludf.DUMMYFUNCTION("""COMPUTED_VALUE"""),"ZAPI-141")</f>
        <v>ZAPI-141</v>
      </c>
      <c r="C1064" s="26" t="str">
        <f>IFERROR(__xludf.DUMMYFUNCTION("""COMPUTED_VALUE"""),"Multiple recording fieldsets displayed in web meeting reports and recordings widget ")</f>
        <v>Multiple recording fieldsets displayed in web meeting reports and recordings widget </v>
      </c>
      <c r="D1064" s="28">
        <f>IFERROR(__xludf.DUMMYFUNCTION("""COMPUTED_VALUE"""),3.5)</f>
        <v>3.5</v>
      </c>
      <c r="E1064" s="29">
        <f>IFERROR(__xludf.DUMMYFUNCTION("""COMPUTED_VALUE"""),44111.54166666667)</f>
        <v>44111.54167</v>
      </c>
      <c r="F1064" s="26" t="str">
        <f>IFERROR(__xludf.DUMMYFUNCTION("""COMPUTED_VALUE"""),"557058:3124a1f0-e92a-405c-93f2-c1d4e621bc77")</f>
        <v>557058:3124a1f0-e92a-405c-93f2-c1d4e621bc77</v>
      </c>
      <c r="G1064" s="26" t="str">
        <f>IFERROR(__xludf.DUMMYFUNCTION("""COMPUTED_VALUE"""),"Trevor Coehoorn")</f>
        <v>Trevor Coehoorn</v>
      </c>
      <c r="H1064" s="26" t="b">
        <v>0</v>
      </c>
    </row>
    <row r="1065" hidden="1">
      <c r="A1065" s="26" t="str">
        <f>VLOOKUP(B1065,'2020 SRED (JIRA) - Issues and l'!$B:$C,2,FALSE)</f>
        <v>portal-builder-SRED</v>
      </c>
      <c r="B1065" s="27" t="str">
        <f>IFERROR(__xludf.DUMMYFUNCTION("""COMPUTED_VALUE"""),"ITP-1874")</f>
        <v>ITP-1874</v>
      </c>
      <c r="C1065" s="26" t="str">
        <f>IFERROR(__xludf.DUMMYFUNCTION("""COMPUTED_VALUE"""),"Multiple webform submission group conditions")</f>
        <v>Multiple webform submission group conditions</v>
      </c>
      <c r="D1065" s="28">
        <f>IFERROR(__xludf.DUMMYFUNCTION("""COMPUTED_VALUE"""),0.5)</f>
        <v>0.5</v>
      </c>
      <c r="E1065" s="29">
        <f>IFERROR(__xludf.DUMMYFUNCTION("""COMPUTED_VALUE"""),44111.54166666667)</f>
        <v>44111.54167</v>
      </c>
      <c r="F1065" s="26" t="str">
        <f>IFERROR(__xludf.DUMMYFUNCTION("""COMPUTED_VALUE"""),"5f5125a6333edb00434bffaf")</f>
        <v>5f5125a6333edb00434bffaf</v>
      </c>
      <c r="G1065" s="26" t="str">
        <f>IFERROR(__xludf.DUMMYFUNCTION("""COMPUTED_VALUE"""),"Terry Waldner")</f>
        <v>Terry Waldner</v>
      </c>
      <c r="H1065" s="26" t="b">
        <v>0</v>
      </c>
    </row>
    <row r="1066">
      <c r="A1066" s="26" t="str">
        <f>VLOOKUP(B1066,'2020 SRED (JIRA) - Issues and l'!$B:$C,2,FALSE)</f>
        <v>insite-workflow-SRED</v>
      </c>
      <c r="B1066" s="27" t="str">
        <f>IFERROR(__xludf.DUMMYFUNCTION("""COMPUTED_VALUE"""),"APPS-447")</f>
        <v>APPS-447</v>
      </c>
      <c r="C1066" s="26" t="str">
        <f>IFERROR(__xludf.DUMMYFUNCTION("""COMPUTED_VALUE"""),"Add proposal service costs and flow-through costs to proposal doc")</f>
        <v>Add proposal service costs and flow-through costs to proposal doc</v>
      </c>
      <c r="D1066" s="28">
        <f>IFERROR(__xludf.DUMMYFUNCTION("""COMPUTED_VALUE"""),0.333333333333333)</f>
        <v>0.3333333333</v>
      </c>
      <c r="E1066" s="29">
        <f>IFERROR(__xludf.DUMMYFUNCTION("""COMPUTED_VALUE"""),44112.0)</f>
        <v>44112</v>
      </c>
      <c r="F1066" s="26" t="str">
        <f>IFERROR(__xludf.DUMMYFUNCTION("""COMPUTED_VALUE"""),"557058:ed1ddc66-d84d-405c-a815-0fcc6147ba14")</f>
        <v>557058:ed1ddc66-d84d-405c-a815-0fcc6147ba14</v>
      </c>
      <c r="G1066" s="26" t="str">
        <f>IFERROR(__xludf.DUMMYFUNCTION("""COMPUTED_VALUE"""),"Mark Corrigan")</f>
        <v>Mark Corrigan</v>
      </c>
      <c r="H1066" s="26" t="b">
        <v>0</v>
      </c>
    </row>
    <row r="1067">
      <c r="A1067" s="26" t="str">
        <f>VLOOKUP(B1067,'2020 SRED (JIRA) - Issues and l'!$B:$C,2,FALSE)</f>
        <v>insite-event-SRED</v>
      </c>
      <c r="B1067" s="27" t="str">
        <f>IFERROR(__xludf.DUMMYFUNCTION("""COMPUTED_VALUE"""),"ZAPI-141")</f>
        <v>ZAPI-141</v>
      </c>
      <c r="C1067" s="26" t="str">
        <f>IFERROR(__xludf.DUMMYFUNCTION("""COMPUTED_VALUE"""),"Multiple recording fieldsets displayed in web meeting reports and recordings widget ")</f>
        <v>Multiple recording fieldsets displayed in web meeting reports and recordings widget </v>
      </c>
      <c r="D1067" s="28">
        <f>IFERROR(__xludf.DUMMYFUNCTION("""COMPUTED_VALUE"""),0.25)</f>
        <v>0.25</v>
      </c>
      <c r="E1067" s="29">
        <f>IFERROR(__xludf.DUMMYFUNCTION("""COMPUTED_VALUE"""),44112.0)</f>
        <v>44112</v>
      </c>
      <c r="F1067" s="26" t="str">
        <f>IFERROR(__xludf.DUMMYFUNCTION("""COMPUTED_VALUE"""),"557058:ed1ddc66-d84d-405c-a815-0fcc6147ba14")</f>
        <v>557058:ed1ddc66-d84d-405c-a815-0fcc6147ba14</v>
      </c>
      <c r="G1067" s="26" t="str">
        <f>IFERROR(__xludf.DUMMYFUNCTION("""COMPUTED_VALUE"""),"Mark Corrigan")</f>
        <v>Mark Corrigan</v>
      </c>
      <c r="H1067" s="26" t="b">
        <v>0</v>
      </c>
    </row>
    <row r="1068">
      <c r="A1068" s="26" t="str">
        <f>VLOOKUP(B1068,'2020 SRED (JIRA) - Issues and l'!$B:$C,2,FALSE)</f>
        <v>portal-builder-SRED</v>
      </c>
      <c r="B1068" s="27" t="str">
        <f>IFERROR(__xludf.DUMMYFUNCTION("""COMPUTED_VALUE"""),"ITP-1871")</f>
        <v>ITP-1871</v>
      </c>
      <c r="C1068" s="26" t="str">
        <f>IFERROR(__xludf.DUMMYFUNCTION("""COMPUTED_VALUE"""),"Add touchpoint completion indicator to the top of each touchpoint page")</f>
        <v>Add touchpoint completion indicator to the top of each touchpoint page</v>
      </c>
      <c r="D1068" s="28">
        <f>IFERROR(__xludf.DUMMYFUNCTION("""COMPUTED_VALUE"""),0.25)</f>
        <v>0.25</v>
      </c>
      <c r="E1068" s="29">
        <f>IFERROR(__xludf.DUMMYFUNCTION("""COMPUTED_VALUE"""),44112.0)</f>
        <v>44112</v>
      </c>
      <c r="F1068" s="26" t="str">
        <f>IFERROR(__xludf.DUMMYFUNCTION("""COMPUTED_VALUE"""),"557058:ed1ddc66-d84d-405c-a815-0fcc6147ba14")</f>
        <v>557058:ed1ddc66-d84d-405c-a815-0fcc6147ba14</v>
      </c>
      <c r="G1068" s="26" t="str">
        <f>IFERROR(__xludf.DUMMYFUNCTION("""COMPUTED_VALUE"""),"Mark Corrigan")</f>
        <v>Mark Corrigan</v>
      </c>
      <c r="H1068" s="26" t="b">
        <v>0</v>
      </c>
    </row>
    <row r="1069" hidden="1">
      <c r="A1069" s="26" t="str">
        <f>VLOOKUP(B1069,'2020 SRED (JIRA) - Issues and l'!$B:$C,2,FALSE)</f>
        <v>insite-workflow-SRED</v>
      </c>
      <c r="B1069" s="27" t="str">
        <f>IFERROR(__xludf.DUMMYFUNCTION("""COMPUTED_VALUE"""),"APPS-473")</f>
        <v>APPS-473</v>
      </c>
      <c r="C1069" s="26" t="str">
        <f>IFERROR(__xludf.DUMMYFUNCTION("""COMPUTED_VALUE"""),"Onboarding checklist")</f>
        <v>Onboarding checklist</v>
      </c>
      <c r="D1069" s="28">
        <f>IFERROR(__xludf.DUMMYFUNCTION("""COMPUTED_VALUE"""),2.0)</f>
        <v>2</v>
      </c>
      <c r="E1069" s="29">
        <f>IFERROR(__xludf.DUMMYFUNCTION("""COMPUTED_VALUE"""),44112.0)</f>
        <v>44112</v>
      </c>
      <c r="F1069" s="26" t="str">
        <f>IFERROR(__xludf.DUMMYFUNCTION("""COMPUTED_VALUE"""),"5ee7b6ce868ce30ac49e2521")</f>
        <v>5ee7b6ce868ce30ac49e2521</v>
      </c>
      <c r="G1069" s="26" t="str">
        <f>IFERROR(__xludf.DUMMYFUNCTION("""COMPUTED_VALUE"""),"Bryan Le")</f>
        <v>Bryan Le</v>
      </c>
      <c r="H1069" s="26" t="b">
        <v>0</v>
      </c>
    </row>
    <row r="1070" hidden="1">
      <c r="A1070" s="26" t="str">
        <f>VLOOKUP(B1070,'2020 SRED (JIRA) - Issues and l'!$B:$C,2,FALSE)</f>
        <v>insite-workflow-SRED</v>
      </c>
      <c r="B1070" s="27" t="str">
        <f>IFERROR(__xludf.DUMMYFUNCTION("""COMPUTED_VALUE"""),"APPS-472")</f>
        <v>APPS-472</v>
      </c>
      <c r="C1070" s="26" t="str">
        <f>IFERROR(__xludf.DUMMYFUNCTION("""COMPUTED_VALUE"""),"Impetus Staff profile setup")</f>
        <v>Impetus Staff profile setup</v>
      </c>
      <c r="D1070" s="28">
        <f>IFERROR(__xludf.DUMMYFUNCTION("""COMPUTED_VALUE"""),5.0)</f>
        <v>5</v>
      </c>
      <c r="E1070" s="29">
        <f>IFERROR(__xludf.DUMMYFUNCTION("""COMPUTED_VALUE"""),44112.0)</f>
        <v>44112</v>
      </c>
      <c r="F1070" s="26" t="str">
        <f>IFERROR(__xludf.DUMMYFUNCTION("""COMPUTED_VALUE"""),"5ee7b6ce868ce30ac49e2521")</f>
        <v>5ee7b6ce868ce30ac49e2521</v>
      </c>
      <c r="G1070" s="26" t="str">
        <f>IFERROR(__xludf.DUMMYFUNCTION("""COMPUTED_VALUE"""),"Bryan Le")</f>
        <v>Bryan Le</v>
      </c>
      <c r="H1070" s="26" t="b">
        <v>0</v>
      </c>
    </row>
    <row r="1071" hidden="1">
      <c r="A1071" s="26" t="str">
        <f>VLOOKUP(B1071,'2020 SRED (JIRA) - Issues and l'!$B:$C,2,FALSE)</f>
        <v>insite-workflow-SRED</v>
      </c>
      <c r="B1071" s="27" t="str">
        <f>IFERROR(__xludf.DUMMYFUNCTION("""COMPUTED_VALUE"""),"APPS-470")</f>
        <v>APPS-470</v>
      </c>
      <c r="C1071" s="26" t="str">
        <f>IFERROR(__xludf.DUMMYFUNCTION("""COMPUTED_VALUE"""),"Relabel field for additional client stakeholders")</f>
        <v>Relabel field for additional client stakeholders</v>
      </c>
      <c r="D1071" s="28">
        <f>IFERROR(__xludf.DUMMYFUNCTION("""COMPUTED_VALUE"""),7.0)</f>
        <v>7</v>
      </c>
      <c r="E1071" s="29">
        <f>IFERROR(__xludf.DUMMYFUNCTION("""COMPUTED_VALUE"""),44112.0)</f>
        <v>44112</v>
      </c>
      <c r="F1071" s="26" t="str">
        <f>IFERROR(__xludf.DUMMYFUNCTION("""COMPUTED_VALUE"""),"5ee7b6cf02b4400ac4b65399")</f>
        <v>5ee7b6cf02b4400ac4b65399</v>
      </c>
      <c r="G1071" s="26" t="str">
        <f>IFERROR(__xludf.DUMMYFUNCTION("""COMPUTED_VALUE"""),"Jessica Obando")</f>
        <v>Jessica Obando</v>
      </c>
      <c r="H1071" s="26" t="b">
        <v>0</v>
      </c>
    </row>
    <row r="1072" hidden="1">
      <c r="A1072" s="26" t="str">
        <f>VLOOKUP(B1072,'2020 SRED (JIRA) - Issues and l'!$B:$C,2,FALSE)</f>
        <v>insite-event-SRED</v>
      </c>
      <c r="B1072" s="27" t="str">
        <f>IFERROR(__xludf.DUMMYFUNCTION("""COMPUTED_VALUE"""),"ZAPI-141")</f>
        <v>ZAPI-141</v>
      </c>
      <c r="C1072" s="26" t="str">
        <f>IFERROR(__xludf.DUMMYFUNCTION("""COMPUTED_VALUE"""),"Multiple recording fieldsets displayed in web meeting reports and recordings widget ")</f>
        <v>Multiple recording fieldsets displayed in web meeting reports and recordings widget </v>
      </c>
      <c r="D1072" s="28">
        <f>IFERROR(__xludf.DUMMYFUNCTION("""COMPUTED_VALUE"""),0.25)</f>
        <v>0.25</v>
      </c>
      <c r="E1072" s="29">
        <f>IFERROR(__xludf.DUMMYFUNCTION("""COMPUTED_VALUE"""),44112.35416666667)</f>
        <v>44112.35417</v>
      </c>
      <c r="F1072" s="26" t="str">
        <f>IFERROR(__xludf.DUMMYFUNCTION("""COMPUTED_VALUE"""),"557058:3124a1f0-e92a-405c-93f2-c1d4e621bc77")</f>
        <v>557058:3124a1f0-e92a-405c-93f2-c1d4e621bc77</v>
      </c>
      <c r="G1072" s="26" t="str">
        <f>IFERROR(__xludf.DUMMYFUNCTION("""COMPUTED_VALUE"""),"Trevor Coehoorn")</f>
        <v>Trevor Coehoorn</v>
      </c>
      <c r="H1072" s="26" t="b">
        <v>0</v>
      </c>
    </row>
    <row r="1073" hidden="1">
      <c r="A1073" s="26" t="str">
        <f>VLOOKUP(B1073,'2020 SRED (JIRA) - Issues and l'!$B:$C,2,FALSE)</f>
        <v>portal-builder-SRED</v>
      </c>
      <c r="B1073" s="27" t="str">
        <f>IFERROR(__xludf.DUMMYFUNCTION("""COMPUTED_VALUE"""),"ITP-1871")</f>
        <v>ITP-1871</v>
      </c>
      <c r="C1073" s="26" t="str">
        <f>IFERROR(__xludf.DUMMYFUNCTION("""COMPUTED_VALUE"""),"Add touchpoint completion indicator to the top of each touchpoint page")</f>
        <v>Add touchpoint completion indicator to the top of each touchpoint page</v>
      </c>
      <c r="D1073" s="28">
        <f>IFERROR(__xludf.DUMMYFUNCTION("""COMPUTED_VALUE"""),0.25)</f>
        <v>0.25</v>
      </c>
      <c r="E1073" s="29">
        <f>IFERROR(__xludf.DUMMYFUNCTION("""COMPUTED_VALUE"""),44112.36458333333)</f>
        <v>44112.36458</v>
      </c>
      <c r="F1073" s="26" t="str">
        <f>IFERROR(__xludf.DUMMYFUNCTION("""COMPUTED_VALUE"""),"557058:3124a1f0-e92a-405c-93f2-c1d4e621bc77")</f>
        <v>557058:3124a1f0-e92a-405c-93f2-c1d4e621bc77</v>
      </c>
      <c r="G1073" s="26" t="str">
        <f>IFERROR(__xludf.DUMMYFUNCTION("""COMPUTED_VALUE"""),"Trevor Coehoorn")</f>
        <v>Trevor Coehoorn</v>
      </c>
      <c r="H1073" s="26" t="b">
        <v>0</v>
      </c>
    </row>
    <row r="1074" hidden="1">
      <c r="A1074" s="26" t="str">
        <f>VLOOKUP(B1074,'2020 SRED (JIRA) - Issues and l'!$B:$C,2,FALSE)</f>
        <v>portal-builder-SRED</v>
      </c>
      <c r="B1074" s="27" t="str">
        <f>IFERROR(__xludf.DUMMYFUNCTION("""COMPUTED_VALUE"""),"ITP-1868")</f>
        <v>ITP-1868</v>
      </c>
      <c r="C1074" s="26" t="str">
        <f>IFERROR(__xludf.DUMMYFUNCTION("""COMPUTED_VALUE"""),"Alternating line colours in annotated pdf reports")</f>
        <v>Alternating line colours in annotated pdf reports</v>
      </c>
      <c r="D1074" s="28">
        <f>IFERROR(__xludf.DUMMYFUNCTION("""COMPUTED_VALUE"""),0.75)</f>
        <v>0.75</v>
      </c>
      <c r="E1074" s="29">
        <f>IFERROR(__xludf.DUMMYFUNCTION("""COMPUTED_VALUE"""),44112.38541666667)</f>
        <v>44112.38542</v>
      </c>
      <c r="F1074" s="26" t="str">
        <f>IFERROR(__xludf.DUMMYFUNCTION("""COMPUTED_VALUE"""),"557058:3124a1f0-e92a-405c-93f2-c1d4e621bc77")</f>
        <v>557058:3124a1f0-e92a-405c-93f2-c1d4e621bc77</v>
      </c>
      <c r="G1074" s="26" t="str">
        <f>IFERROR(__xludf.DUMMYFUNCTION("""COMPUTED_VALUE"""),"Trevor Coehoorn")</f>
        <v>Trevor Coehoorn</v>
      </c>
      <c r="H1074" s="26" t="b">
        <v>0</v>
      </c>
    </row>
    <row r="1075" hidden="1">
      <c r="A1075" s="26" t="str">
        <f>VLOOKUP(B1075,'2020 SRED (JIRA) - Issues and l'!$B:$C,2,FALSE)</f>
        <v>insite-event-SRED</v>
      </c>
      <c r="B1075" s="27" t="str">
        <f>IFERROR(__xludf.DUMMYFUNCTION("""COMPUTED_VALUE"""),"ZAPI-141")</f>
        <v>ZAPI-141</v>
      </c>
      <c r="C1075" s="26" t="str">
        <f>IFERROR(__xludf.DUMMYFUNCTION("""COMPUTED_VALUE"""),"Multiple recording fieldsets displayed in web meeting reports and recordings widget ")</f>
        <v>Multiple recording fieldsets displayed in web meeting reports and recordings widget </v>
      </c>
      <c r="D1075" s="28">
        <f>IFERROR(__xludf.DUMMYFUNCTION("""COMPUTED_VALUE"""),0.5)</f>
        <v>0.5</v>
      </c>
      <c r="E1075" s="29">
        <f>IFERROR(__xludf.DUMMYFUNCTION("""COMPUTED_VALUE"""),44112.41666666667)</f>
        <v>44112.41667</v>
      </c>
      <c r="F1075" s="26" t="str">
        <f>IFERROR(__xludf.DUMMYFUNCTION("""COMPUTED_VALUE"""),"557058:3124a1f0-e92a-405c-93f2-c1d4e621bc77")</f>
        <v>557058:3124a1f0-e92a-405c-93f2-c1d4e621bc77</v>
      </c>
      <c r="G1075" s="26" t="str">
        <f>IFERROR(__xludf.DUMMYFUNCTION("""COMPUTED_VALUE"""),"Trevor Coehoorn")</f>
        <v>Trevor Coehoorn</v>
      </c>
      <c r="H1075" s="26" t="b">
        <v>0</v>
      </c>
    </row>
    <row r="1076" hidden="1">
      <c r="A1076" s="26" t="str">
        <f>VLOOKUP(B1076,'2020 SRED (JIRA) - Issues and l'!$B:$C,2,FALSE)</f>
        <v>portal-builder-SRED</v>
      </c>
      <c r="B1076" s="27" t="str">
        <f>IFERROR(__xludf.DUMMYFUNCTION("""COMPUTED_VALUE"""),"ITP-1874")</f>
        <v>ITP-1874</v>
      </c>
      <c r="C1076" s="26" t="str">
        <f>IFERROR(__xludf.DUMMYFUNCTION("""COMPUTED_VALUE"""),"Multiple webform submission group conditions")</f>
        <v>Multiple webform submission group conditions</v>
      </c>
      <c r="D1076" s="28">
        <f>IFERROR(__xludf.DUMMYFUNCTION("""COMPUTED_VALUE"""),1.5)</f>
        <v>1.5</v>
      </c>
      <c r="E1076" s="29">
        <f>IFERROR(__xludf.DUMMYFUNCTION("""COMPUTED_VALUE"""),44112.625)</f>
        <v>44112.625</v>
      </c>
      <c r="F1076" s="26" t="str">
        <f>IFERROR(__xludf.DUMMYFUNCTION("""COMPUTED_VALUE"""),"5f5125a6333edb00434bffaf")</f>
        <v>5f5125a6333edb00434bffaf</v>
      </c>
      <c r="G1076" s="26" t="str">
        <f>IFERROR(__xludf.DUMMYFUNCTION("""COMPUTED_VALUE"""),"Terry Waldner")</f>
        <v>Terry Waldner</v>
      </c>
      <c r="H1076" s="26" t="b">
        <v>0</v>
      </c>
    </row>
    <row r="1077" hidden="1">
      <c r="A1077" s="26" t="str">
        <f>VLOOKUP(B1077,'2020 SRED (JIRA) - Issues and l'!$B:$C,2,FALSE)</f>
        <v>portal-builder-SRED</v>
      </c>
      <c r="B1077" s="27" t="str">
        <f>IFERROR(__xludf.DUMMYFUNCTION("""COMPUTED_VALUE"""),"ITP-1871")</f>
        <v>ITP-1871</v>
      </c>
      <c r="C1077" s="26" t="str">
        <f>IFERROR(__xludf.DUMMYFUNCTION("""COMPUTED_VALUE"""),"Add touchpoint completion indicator to the top of each touchpoint page")</f>
        <v>Add touchpoint completion indicator to the top of each touchpoint page</v>
      </c>
      <c r="D1077" s="28">
        <f>IFERROR(__xludf.DUMMYFUNCTION("""COMPUTED_VALUE"""),1.25)</f>
        <v>1.25</v>
      </c>
      <c r="E1077" s="29">
        <f>IFERROR(__xludf.DUMMYFUNCTION("""COMPUTED_VALUE"""),44112.65625)</f>
        <v>44112.65625</v>
      </c>
      <c r="F1077" s="26" t="str">
        <f>IFERROR(__xludf.DUMMYFUNCTION("""COMPUTED_VALUE"""),"557058:3124a1f0-e92a-405c-93f2-c1d4e621bc77")</f>
        <v>557058:3124a1f0-e92a-405c-93f2-c1d4e621bc77</v>
      </c>
      <c r="G1077" s="26" t="str">
        <f>IFERROR(__xludf.DUMMYFUNCTION("""COMPUTED_VALUE"""),"Trevor Coehoorn")</f>
        <v>Trevor Coehoorn</v>
      </c>
      <c r="H1077" s="26" t="b">
        <v>0</v>
      </c>
    </row>
    <row r="1078">
      <c r="A1078" s="26" t="str">
        <f>VLOOKUP(B1078,'2020 SRED (JIRA) - Issues and l'!$B:$C,2,FALSE)</f>
        <v>insite-workflow-SRED</v>
      </c>
      <c r="B1078" s="27" t="str">
        <f>IFERROR(__xludf.DUMMYFUNCTION("""COMPUTED_VALUE"""),"APPS-477")</f>
        <v>APPS-477</v>
      </c>
      <c r="C1078" s="26" t="str">
        <f>IFERROR(__xludf.DUMMYFUNCTION("""COMPUTED_VALUE"""),"As a salesperson, I can initiate an internal proposal review process")</f>
        <v>As a salesperson, I can initiate an internal proposal review process</v>
      </c>
      <c r="D1078" s="28">
        <f>IFERROR(__xludf.DUMMYFUNCTION("""COMPUTED_VALUE"""),1.0)</f>
        <v>1</v>
      </c>
      <c r="E1078" s="29">
        <f>IFERROR(__xludf.DUMMYFUNCTION("""COMPUTED_VALUE"""),44113.0)</f>
        <v>44113</v>
      </c>
      <c r="F1078" s="26" t="str">
        <f>IFERROR(__xludf.DUMMYFUNCTION("""COMPUTED_VALUE"""),"557058:ed1ddc66-d84d-405c-a815-0fcc6147ba14")</f>
        <v>557058:ed1ddc66-d84d-405c-a815-0fcc6147ba14</v>
      </c>
      <c r="G1078" s="26" t="str">
        <f>IFERROR(__xludf.DUMMYFUNCTION("""COMPUTED_VALUE"""),"Mark Corrigan")</f>
        <v>Mark Corrigan</v>
      </c>
      <c r="H1078" s="26" t="b">
        <v>0</v>
      </c>
    </row>
    <row r="1079">
      <c r="A1079" s="26" t="str">
        <f>VLOOKUP(B1079,'2020 SRED (JIRA) - Issues and l'!$B:$C,2,FALSE)</f>
        <v>insite-workflow-SRED</v>
      </c>
      <c r="B1079" s="27" t="str">
        <f>IFERROR(__xludf.DUMMYFUNCTION("""COMPUTED_VALUE"""),"APPS-508")</f>
        <v>APPS-508</v>
      </c>
      <c r="C1079" s="26" t="str">
        <f>IFERROR(__xludf.DUMMYFUNCTION("""COMPUTED_VALUE"""),"Calculating additional fees for duration and participants")</f>
        <v>Calculating additional fees for duration and participants</v>
      </c>
      <c r="D1079" s="28">
        <f>IFERROR(__xludf.DUMMYFUNCTION("""COMPUTED_VALUE"""),0.5)</f>
        <v>0.5</v>
      </c>
      <c r="E1079" s="29">
        <f>IFERROR(__xludf.DUMMYFUNCTION("""COMPUTED_VALUE"""),44113.0)</f>
        <v>44113</v>
      </c>
      <c r="F1079" s="26" t="str">
        <f>IFERROR(__xludf.DUMMYFUNCTION("""COMPUTED_VALUE"""),"557058:ed1ddc66-d84d-405c-a815-0fcc6147ba14")</f>
        <v>557058:ed1ddc66-d84d-405c-a815-0fcc6147ba14</v>
      </c>
      <c r="G1079" s="26" t="str">
        <f>IFERROR(__xludf.DUMMYFUNCTION("""COMPUTED_VALUE"""),"Mark Corrigan")</f>
        <v>Mark Corrigan</v>
      </c>
      <c r="H1079" s="26" t="b">
        <v>0</v>
      </c>
    </row>
    <row r="1080">
      <c r="A1080" s="26" t="str">
        <f>VLOOKUP(B1080,'2020 SRED (JIRA) - Issues and l'!$B:$C,2,FALSE)</f>
        <v>insite-workflow-SRED</v>
      </c>
      <c r="B1080" s="27" t="str">
        <f>IFERROR(__xludf.DUMMYFUNCTION("""COMPUTED_VALUE"""),"APPS-474")</f>
        <v>APPS-474</v>
      </c>
      <c r="C1080" s="26" t="str">
        <f>IFERROR(__xludf.DUMMYFUNCTION("""COMPUTED_VALUE"""),"System access tracking - user view")</f>
        <v>System access tracking - user view</v>
      </c>
      <c r="D1080" s="28">
        <f>IFERROR(__xludf.DUMMYFUNCTION("""COMPUTED_VALUE"""),0.25)</f>
        <v>0.25</v>
      </c>
      <c r="E1080" s="29">
        <f>IFERROR(__xludf.DUMMYFUNCTION("""COMPUTED_VALUE"""),44113.0)</f>
        <v>44113</v>
      </c>
      <c r="F1080" s="26" t="str">
        <f>IFERROR(__xludf.DUMMYFUNCTION("""COMPUTED_VALUE"""),"557058:ed1ddc66-d84d-405c-a815-0fcc6147ba14")</f>
        <v>557058:ed1ddc66-d84d-405c-a815-0fcc6147ba14</v>
      </c>
      <c r="G1080" s="26" t="str">
        <f>IFERROR(__xludf.DUMMYFUNCTION("""COMPUTED_VALUE"""),"Mark Corrigan")</f>
        <v>Mark Corrigan</v>
      </c>
      <c r="H1080" s="26" t="b">
        <v>0</v>
      </c>
    </row>
    <row r="1081" hidden="1">
      <c r="A1081" s="26" t="str">
        <f>VLOOKUP(B1081,'2020 SRED (JIRA) - Issues and l'!$B:$C,2,FALSE)</f>
        <v>insite-workflow-SRED</v>
      </c>
      <c r="B1081" s="27" t="str">
        <f>IFERROR(__xludf.DUMMYFUNCTION("""COMPUTED_VALUE"""),"APPS-495")</f>
        <v>APPS-495</v>
      </c>
      <c r="C1081" s="26" t="str">
        <f>IFERROR(__xludf.DUMMYFUNCTION("""COMPUTED_VALUE"""),"Earned time off")</f>
        <v>Earned time off</v>
      </c>
      <c r="D1081" s="28">
        <f>IFERROR(__xludf.DUMMYFUNCTION("""COMPUTED_VALUE"""),2.0)</f>
        <v>2</v>
      </c>
      <c r="E1081" s="29">
        <f>IFERROR(__xludf.DUMMYFUNCTION("""COMPUTED_VALUE"""),44113.0)</f>
        <v>44113</v>
      </c>
      <c r="F1081" s="26" t="str">
        <f>IFERROR(__xludf.DUMMYFUNCTION("""COMPUTED_VALUE"""),"5ee7b6ce868ce30ac49e2521")</f>
        <v>5ee7b6ce868ce30ac49e2521</v>
      </c>
      <c r="G1081" s="26" t="str">
        <f>IFERROR(__xludf.DUMMYFUNCTION("""COMPUTED_VALUE"""),"Bryan Le")</f>
        <v>Bryan Le</v>
      </c>
      <c r="H1081" s="26" t="b">
        <v>0</v>
      </c>
    </row>
    <row r="1082" hidden="1">
      <c r="A1082" s="26" t="str">
        <f>VLOOKUP(B1082,'2020 SRED (JIRA) - Issues and l'!$B:$C,2,FALSE)</f>
        <v>insite-workflow-SRED</v>
      </c>
      <c r="B1082" s="27" t="str">
        <f>IFERROR(__xludf.DUMMYFUNCTION("""COMPUTED_VALUE"""),"APPS-474")</f>
        <v>APPS-474</v>
      </c>
      <c r="C1082" s="26" t="str">
        <f>IFERROR(__xludf.DUMMYFUNCTION("""COMPUTED_VALUE"""),"System access tracking - user view")</f>
        <v>System access tracking - user view</v>
      </c>
      <c r="D1082" s="28">
        <f>IFERROR(__xludf.DUMMYFUNCTION("""COMPUTED_VALUE"""),2.0)</f>
        <v>2</v>
      </c>
      <c r="E1082" s="29">
        <f>IFERROR(__xludf.DUMMYFUNCTION("""COMPUTED_VALUE"""),44113.0)</f>
        <v>44113</v>
      </c>
      <c r="F1082" s="26" t="str">
        <f>IFERROR(__xludf.DUMMYFUNCTION("""COMPUTED_VALUE"""),"5ee7b6ce868ce30ac49e2521")</f>
        <v>5ee7b6ce868ce30ac49e2521</v>
      </c>
      <c r="G1082" s="26" t="str">
        <f>IFERROR(__xludf.DUMMYFUNCTION("""COMPUTED_VALUE"""),"Bryan Le")</f>
        <v>Bryan Le</v>
      </c>
      <c r="H1082" s="26" t="b">
        <v>0</v>
      </c>
    </row>
    <row r="1083" hidden="1">
      <c r="A1083" s="26" t="str">
        <f>VLOOKUP(B1083,'2020 SRED (JIRA) - Issues and l'!$B:$C,2,FALSE)</f>
        <v>insite-workflow-SRED</v>
      </c>
      <c r="B1083" s="27" t="str">
        <f>IFERROR(__xludf.DUMMYFUNCTION("""COMPUTED_VALUE"""),"APPS-472")</f>
        <v>APPS-472</v>
      </c>
      <c r="C1083" s="26" t="str">
        <f>IFERROR(__xludf.DUMMYFUNCTION("""COMPUTED_VALUE"""),"Impetus Staff profile setup")</f>
        <v>Impetus Staff profile setup</v>
      </c>
      <c r="D1083" s="28">
        <f>IFERROR(__xludf.DUMMYFUNCTION("""COMPUTED_VALUE"""),1.0)</f>
        <v>1</v>
      </c>
      <c r="E1083" s="29">
        <f>IFERROR(__xludf.DUMMYFUNCTION("""COMPUTED_VALUE"""),44113.0)</f>
        <v>44113</v>
      </c>
      <c r="F1083" s="26" t="str">
        <f>IFERROR(__xludf.DUMMYFUNCTION("""COMPUTED_VALUE"""),"5ee7b6ce868ce30ac49e2521")</f>
        <v>5ee7b6ce868ce30ac49e2521</v>
      </c>
      <c r="G1083" s="26" t="str">
        <f>IFERROR(__xludf.DUMMYFUNCTION("""COMPUTED_VALUE"""),"Bryan Le")</f>
        <v>Bryan Le</v>
      </c>
      <c r="H1083" s="26" t="b">
        <v>0</v>
      </c>
    </row>
    <row r="1084" hidden="1">
      <c r="A1084" s="26" t="str">
        <f>VLOOKUP(B1084,'2020 SRED (JIRA) - Issues and l'!$B:$C,2,FALSE)</f>
        <v>insite-workflow-SRED</v>
      </c>
      <c r="B1084" s="27" t="str">
        <f>IFERROR(__xludf.DUMMYFUNCTION("""COMPUTED_VALUE"""),"APPS-492")</f>
        <v>APPS-492</v>
      </c>
      <c r="C1084" s="26" t="str">
        <f>IFERROR(__xludf.DUMMYFUNCTION("""COMPUTED_VALUE"""),"Add ""Internal reviewers"" enumlist field with Impetus staff drop-down")</f>
        <v>Add "Internal reviewers" enumlist field with Impetus staff drop-down</v>
      </c>
      <c r="D1084" s="28">
        <f>IFERROR(__xludf.DUMMYFUNCTION("""COMPUTED_VALUE"""),7.0)</f>
        <v>7</v>
      </c>
      <c r="E1084" s="29">
        <f>IFERROR(__xludf.DUMMYFUNCTION("""COMPUTED_VALUE"""),44113.0)</f>
        <v>44113</v>
      </c>
      <c r="F1084" s="26" t="str">
        <f>IFERROR(__xludf.DUMMYFUNCTION("""COMPUTED_VALUE"""),"5ee7b6cf02b4400ac4b65399")</f>
        <v>5ee7b6cf02b4400ac4b65399</v>
      </c>
      <c r="G1084" s="26" t="str">
        <f>IFERROR(__xludf.DUMMYFUNCTION("""COMPUTED_VALUE"""),"Jessica Obando")</f>
        <v>Jessica Obando</v>
      </c>
      <c r="H1084" s="26" t="b">
        <v>0</v>
      </c>
    </row>
    <row r="1085" hidden="1">
      <c r="A1085" s="26" t="str">
        <f>VLOOKUP(B1085,'2020 SRED (JIRA) - Issues and l'!$B:$C,2,FALSE)</f>
        <v>portal-builder-SRED</v>
      </c>
      <c r="B1085" s="27" t="str">
        <f>IFERROR(__xludf.DUMMYFUNCTION("""COMPUTED_VALUE"""),"ITP-1874")</f>
        <v>ITP-1874</v>
      </c>
      <c r="C1085" s="26" t="str">
        <f>IFERROR(__xludf.DUMMYFUNCTION("""COMPUTED_VALUE"""),"Multiple webform submission group conditions")</f>
        <v>Multiple webform submission group conditions</v>
      </c>
      <c r="D1085" s="28">
        <f>IFERROR(__xludf.DUMMYFUNCTION("""COMPUTED_VALUE"""),5.0)</f>
        <v>5</v>
      </c>
      <c r="E1085" s="29">
        <f>IFERROR(__xludf.DUMMYFUNCTION("""COMPUTED_VALUE"""),44113.3125)</f>
        <v>44113.3125</v>
      </c>
      <c r="F1085" s="26" t="str">
        <f>IFERROR(__xludf.DUMMYFUNCTION("""COMPUTED_VALUE"""),"5f5125a6333edb00434bffaf")</f>
        <v>5f5125a6333edb00434bffaf</v>
      </c>
      <c r="G1085" s="26" t="str">
        <f>IFERROR(__xludf.DUMMYFUNCTION("""COMPUTED_VALUE"""),"Terry Waldner")</f>
        <v>Terry Waldner</v>
      </c>
      <c r="H1085" s="26" t="b">
        <v>0</v>
      </c>
    </row>
    <row r="1086" hidden="1">
      <c r="A1086" s="26" t="str">
        <f>VLOOKUP(B1086,'2020 SRED (JIRA) - Issues and l'!$B:$C,2,FALSE)</f>
        <v>portal-builder-SRED</v>
      </c>
      <c r="B1086" s="27" t="str">
        <f>IFERROR(__xludf.DUMMYFUNCTION("""COMPUTED_VALUE"""),"ITP-1874")</f>
        <v>ITP-1874</v>
      </c>
      <c r="C1086" s="26" t="str">
        <f>IFERROR(__xludf.DUMMYFUNCTION("""COMPUTED_VALUE"""),"Multiple webform submission group conditions")</f>
        <v>Multiple webform submission group conditions</v>
      </c>
      <c r="D1086" s="28">
        <f>IFERROR(__xludf.DUMMYFUNCTION("""COMPUTED_VALUE"""),2.25)</f>
        <v>2.25</v>
      </c>
      <c r="E1086" s="29">
        <f>IFERROR(__xludf.DUMMYFUNCTION("""COMPUTED_VALUE"""),44113.57291666667)</f>
        <v>44113.57292</v>
      </c>
      <c r="F1086" s="26" t="str">
        <f>IFERROR(__xludf.DUMMYFUNCTION("""COMPUTED_VALUE"""),"5f5125a6333edb00434bffaf")</f>
        <v>5f5125a6333edb00434bffaf</v>
      </c>
      <c r="G1086" s="26" t="str">
        <f>IFERROR(__xludf.DUMMYFUNCTION("""COMPUTED_VALUE"""),"Terry Waldner")</f>
        <v>Terry Waldner</v>
      </c>
      <c r="H1086" s="26" t="b">
        <v>0</v>
      </c>
    </row>
    <row r="1087">
      <c r="A1087" s="26" t="str">
        <f>VLOOKUP(B1087,'2020 SRED (JIRA) - Issues and l'!$B:$C,2,FALSE)</f>
        <v>insite-workflow-SRED</v>
      </c>
      <c r="B1087" s="27" t="str">
        <f>IFERROR(__xludf.DUMMYFUNCTION("""COMPUTED_VALUE"""),"APPS-10")</f>
        <v>APPS-10</v>
      </c>
      <c r="C1087" s="26" t="str">
        <f>IFERROR(__xludf.DUMMYFUNCTION("""COMPUTED_VALUE"""),"Sales Pipeline app (v1)")</f>
        <v>Sales Pipeline app (v1)</v>
      </c>
      <c r="D1087" s="28">
        <f>IFERROR(__xludf.DUMMYFUNCTION("""COMPUTED_VALUE"""),1.0)</f>
        <v>1</v>
      </c>
      <c r="E1087" s="29">
        <f>IFERROR(__xludf.DUMMYFUNCTION("""COMPUTED_VALUE"""),44114.43958333333)</f>
        <v>44114.43958</v>
      </c>
      <c r="F1087" s="26" t="str">
        <f>IFERROR(__xludf.DUMMYFUNCTION("""COMPUTED_VALUE"""),"557058:ed1ddc66-d84d-405c-a815-0fcc6147ba14")</f>
        <v>557058:ed1ddc66-d84d-405c-a815-0fcc6147ba14</v>
      </c>
      <c r="G1087" s="26" t="str">
        <f>IFERROR(__xludf.DUMMYFUNCTION("""COMPUTED_VALUE"""),"Mark Corrigan")</f>
        <v>Mark Corrigan</v>
      </c>
      <c r="H1087" s="26" t="b">
        <v>0</v>
      </c>
    </row>
    <row r="1088" hidden="1">
      <c r="A1088" s="26" t="str">
        <f>VLOOKUP(B1088,'2020 SRED (JIRA) - Issues and l'!$B:$C,2,FALSE)</f>
        <v>insite-workflow-SRED</v>
      </c>
      <c r="B1088" s="27" t="str">
        <f>IFERROR(__xludf.DUMMYFUNCTION("""COMPUTED_VALUE"""),"APPS-480")</f>
        <v>APPS-480</v>
      </c>
      <c r="C1088" s="26" t="str">
        <f>IFERROR(__xludf.DUMMYFUNCTION("""COMPUTED_VALUE"""),"Change secondary header and fix styling for touchpoint inline card view")</f>
        <v>Change secondary header and fix styling for touchpoint inline card view</v>
      </c>
      <c r="D1088" s="28">
        <f>IFERROR(__xludf.DUMMYFUNCTION("""COMPUTED_VALUE"""),7.0)</f>
        <v>7</v>
      </c>
      <c r="E1088" s="29">
        <f>IFERROR(__xludf.DUMMYFUNCTION("""COMPUTED_VALUE"""),44117.0)</f>
        <v>44117</v>
      </c>
      <c r="F1088" s="26" t="str">
        <f>IFERROR(__xludf.DUMMYFUNCTION("""COMPUTED_VALUE"""),"5ee7b6cf02b4400ac4b65399")</f>
        <v>5ee7b6cf02b4400ac4b65399</v>
      </c>
      <c r="G1088" s="26" t="str">
        <f>IFERROR(__xludf.DUMMYFUNCTION("""COMPUTED_VALUE"""),"Jessica Obando")</f>
        <v>Jessica Obando</v>
      </c>
      <c r="H1088" s="26" t="b">
        <v>0</v>
      </c>
    </row>
    <row r="1089" hidden="1">
      <c r="A1089" s="26" t="str">
        <f>VLOOKUP(B1089,'2020 SRED (JIRA) - Issues and l'!$B:$C,2,FALSE)</f>
        <v>portal-builder-SRED</v>
      </c>
      <c r="B1089" s="27" t="str">
        <f>IFERROR(__xludf.DUMMYFUNCTION("""COMPUTED_VALUE"""),"ITP-1874")</f>
        <v>ITP-1874</v>
      </c>
      <c r="C1089" s="26" t="str">
        <f>IFERROR(__xludf.DUMMYFUNCTION("""COMPUTED_VALUE"""),"Multiple webform submission group conditions")</f>
        <v>Multiple webform submission group conditions</v>
      </c>
      <c r="D1089" s="28">
        <f>IFERROR(__xludf.DUMMYFUNCTION("""COMPUTED_VALUE"""),3.5)</f>
        <v>3.5</v>
      </c>
      <c r="E1089" s="29">
        <f>IFERROR(__xludf.DUMMYFUNCTION("""COMPUTED_VALUE"""),44117.33333333333)</f>
        <v>44117.33333</v>
      </c>
      <c r="F1089" s="26" t="str">
        <f>IFERROR(__xludf.DUMMYFUNCTION("""COMPUTED_VALUE"""),"5f5125a6333edb00434bffaf")</f>
        <v>5f5125a6333edb00434bffaf</v>
      </c>
      <c r="G1089" s="26" t="str">
        <f>IFERROR(__xludf.DUMMYFUNCTION("""COMPUTED_VALUE"""),"Terry Waldner")</f>
        <v>Terry Waldner</v>
      </c>
      <c r="H1089" s="26" t="b">
        <v>0</v>
      </c>
    </row>
    <row r="1090" hidden="1">
      <c r="A1090" s="26" t="str">
        <f>VLOOKUP(B1090,'2020 SRED (JIRA) - Issues and l'!$B:$C,2,FALSE)</f>
        <v>portal-builder-SRED</v>
      </c>
      <c r="B1090" s="27" t="str">
        <f>IFERROR(__xludf.DUMMYFUNCTION("""COMPUTED_VALUE"""),"ITP-1871")</f>
        <v>ITP-1871</v>
      </c>
      <c r="C1090" s="26" t="str">
        <f>IFERROR(__xludf.DUMMYFUNCTION("""COMPUTED_VALUE"""),"Add touchpoint completion indicator to the top of each touchpoint page")</f>
        <v>Add touchpoint completion indicator to the top of each touchpoint page</v>
      </c>
      <c r="D1090" s="28">
        <f>IFERROR(__xludf.DUMMYFUNCTION("""COMPUTED_VALUE"""),0.25)</f>
        <v>0.25</v>
      </c>
      <c r="E1090" s="29">
        <f>IFERROR(__xludf.DUMMYFUNCTION("""COMPUTED_VALUE"""),44117.41666666667)</f>
        <v>44117.41667</v>
      </c>
      <c r="F1090" s="26" t="str">
        <f>IFERROR(__xludf.DUMMYFUNCTION("""COMPUTED_VALUE"""),"557058:3124a1f0-e92a-405c-93f2-c1d4e621bc77")</f>
        <v>557058:3124a1f0-e92a-405c-93f2-c1d4e621bc77</v>
      </c>
      <c r="G1090" s="26" t="str">
        <f>IFERROR(__xludf.DUMMYFUNCTION("""COMPUTED_VALUE"""),"Trevor Coehoorn")</f>
        <v>Trevor Coehoorn</v>
      </c>
      <c r="H1090" s="26" t="b">
        <v>0</v>
      </c>
    </row>
    <row r="1091" hidden="1">
      <c r="A1091" s="26" t="str">
        <f>VLOOKUP(B1091,'2020 SRED (JIRA) - Issues and l'!$B:$C,2,FALSE)</f>
        <v>insite-event-SRED</v>
      </c>
      <c r="B1091" s="27" t="str">
        <f>IFERROR(__xludf.DUMMYFUNCTION("""COMPUTED_VALUE"""),"ZAPI-141")</f>
        <v>ZAPI-141</v>
      </c>
      <c r="C1091" s="26" t="str">
        <f>IFERROR(__xludf.DUMMYFUNCTION("""COMPUTED_VALUE"""),"Multiple recording fieldsets displayed in web meeting reports and recordings widget ")</f>
        <v>Multiple recording fieldsets displayed in web meeting reports and recordings widget </v>
      </c>
      <c r="D1091" s="28">
        <f>IFERROR(__xludf.DUMMYFUNCTION("""COMPUTED_VALUE"""),0.25)</f>
        <v>0.25</v>
      </c>
      <c r="E1091" s="29">
        <f>IFERROR(__xludf.DUMMYFUNCTION("""COMPUTED_VALUE"""),44117.46875)</f>
        <v>44117.46875</v>
      </c>
      <c r="F1091" s="26" t="str">
        <f>IFERROR(__xludf.DUMMYFUNCTION("""COMPUTED_VALUE"""),"557058:3124a1f0-e92a-405c-93f2-c1d4e621bc77")</f>
        <v>557058:3124a1f0-e92a-405c-93f2-c1d4e621bc77</v>
      </c>
      <c r="G1091" s="26" t="str">
        <f>IFERROR(__xludf.DUMMYFUNCTION("""COMPUTED_VALUE"""),"Trevor Coehoorn")</f>
        <v>Trevor Coehoorn</v>
      </c>
      <c r="H1091" s="26" t="b">
        <v>0</v>
      </c>
    </row>
    <row r="1092" hidden="1">
      <c r="A1092" s="26" t="str">
        <f>VLOOKUP(B1092,'2020 SRED (JIRA) - Issues and l'!$B:$C,2,FALSE)</f>
        <v>insite-event-SRED</v>
      </c>
      <c r="B1092" s="27" t="str">
        <f>IFERROR(__xludf.DUMMYFUNCTION("""COMPUTED_VALUE"""),"ZAPI-141")</f>
        <v>ZAPI-141</v>
      </c>
      <c r="C1092" s="26" t="str">
        <f>IFERROR(__xludf.DUMMYFUNCTION("""COMPUTED_VALUE"""),"Multiple recording fieldsets displayed in web meeting reports and recordings widget ")</f>
        <v>Multiple recording fieldsets displayed in web meeting reports and recordings widget </v>
      </c>
      <c r="D1092" s="28">
        <f>IFERROR(__xludf.DUMMYFUNCTION("""COMPUTED_VALUE"""),0.5)</f>
        <v>0.5</v>
      </c>
      <c r="E1092" s="29">
        <f>IFERROR(__xludf.DUMMYFUNCTION("""COMPUTED_VALUE"""),44117.48958333333)</f>
        <v>44117.48958</v>
      </c>
      <c r="F1092" s="26" t="str">
        <f>IFERROR(__xludf.DUMMYFUNCTION("""COMPUTED_VALUE"""),"557058:3124a1f0-e92a-405c-93f2-c1d4e621bc77")</f>
        <v>557058:3124a1f0-e92a-405c-93f2-c1d4e621bc77</v>
      </c>
      <c r="G1092" s="26" t="str">
        <f>IFERROR(__xludf.DUMMYFUNCTION("""COMPUTED_VALUE"""),"Trevor Coehoorn")</f>
        <v>Trevor Coehoorn</v>
      </c>
      <c r="H1092" s="26" t="b">
        <v>0</v>
      </c>
    </row>
    <row r="1093" hidden="1">
      <c r="A1093" s="26" t="str">
        <f>VLOOKUP(B1093,'2020 SRED (JIRA) - Issues and l'!$B:$C,2,FALSE)</f>
        <v>portal-builder-SRED</v>
      </c>
      <c r="B1093" s="27" t="str">
        <f>IFERROR(__xludf.DUMMYFUNCTION("""COMPUTED_VALUE"""),"ITP-1874")</f>
        <v>ITP-1874</v>
      </c>
      <c r="C1093" s="26" t="str">
        <f>IFERROR(__xludf.DUMMYFUNCTION("""COMPUTED_VALUE"""),"Multiple webform submission group conditions")</f>
        <v>Multiple webform submission group conditions</v>
      </c>
      <c r="D1093" s="28">
        <f>IFERROR(__xludf.DUMMYFUNCTION("""COMPUTED_VALUE"""),0.5)</f>
        <v>0.5</v>
      </c>
      <c r="E1093" s="29">
        <f>IFERROR(__xludf.DUMMYFUNCTION("""COMPUTED_VALUE"""),44117.5)</f>
        <v>44117.5</v>
      </c>
      <c r="F1093" s="26" t="str">
        <f>IFERROR(__xludf.DUMMYFUNCTION("""COMPUTED_VALUE"""),"5f5125a6333edb00434bffaf")</f>
        <v>5f5125a6333edb00434bffaf</v>
      </c>
      <c r="G1093" s="26" t="str">
        <f>IFERROR(__xludf.DUMMYFUNCTION("""COMPUTED_VALUE"""),"Terry Waldner")</f>
        <v>Terry Waldner</v>
      </c>
      <c r="H1093" s="26" t="b">
        <v>0</v>
      </c>
    </row>
    <row r="1094" hidden="1">
      <c r="A1094" s="26" t="str">
        <f>VLOOKUP(B1094,'2020 SRED (JIRA) - Issues and l'!$B:$C,2,FALSE)</f>
        <v>portal-builder-SRED</v>
      </c>
      <c r="B1094" s="27" t="str">
        <f>IFERROR(__xludf.DUMMYFUNCTION("""COMPUTED_VALUE"""),"ITP-1874")</f>
        <v>ITP-1874</v>
      </c>
      <c r="C1094" s="26" t="str">
        <f>IFERROR(__xludf.DUMMYFUNCTION("""COMPUTED_VALUE"""),"Multiple webform submission group conditions")</f>
        <v>Multiple webform submission group conditions</v>
      </c>
      <c r="D1094" s="28">
        <f>IFERROR(__xludf.DUMMYFUNCTION("""COMPUTED_VALUE"""),1.0)</f>
        <v>1</v>
      </c>
      <c r="E1094" s="29">
        <f>IFERROR(__xludf.DUMMYFUNCTION("""COMPUTED_VALUE"""),44117.54166666667)</f>
        <v>44117.54167</v>
      </c>
      <c r="F1094" s="26" t="str">
        <f>IFERROR(__xludf.DUMMYFUNCTION("""COMPUTED_VALUE"""),"5f5125a6333edb00434bffaf")</f>
        <v>5f5125a6333edb00434bffaf</v>
      </c>
      <c r="G1094" s="26" t="str">
        <f>IFERROR(__xludf.DUMMYFUNCTION("""COMPUTED_VALUE"""),"Terry Waldner")</f>
        <v>Terry Waldner</v>
      </c>
      <c r="H1094" s="26" t="b">
        <v>0</v>
      </c>
    </row>
    <row r="1095" hidden="1">
      <c r="A1095" s="26" t="str">
        <f>VLOOKUP(B1095,'2020 SRED (JIRA) - Issues and l'!$B:$C,2,FALSE)</f>
        <v>insite-event-SRED</v>
      </c>
      <c r="B1095" s="27" t="str">
        <f>IFERROR(__xludf.DUMMYFUNCTION("""COMPUTED_VALUE"""),"ZAPI-141")</f>
        <v>ZAPI-141</v>
      </c>
      <c r="C1095" s="26" t="str">
        <f>IFERROR(__xludf.DUMMYFUNCTION("""COMPUTED_VALUE"""),"Multiple recording fieldsets displayed in web meeting reports and recordings widget ")</f>
        <v>Multiple recording fieldsets displayed in web meeting reports and recordings widget </v>
      </c>
      <c r="D1095" s="28">
        <f>IFERROR(__xludf.DUMMYFUNCTION("""COMPUTED_VALUE"""),3.5)</f>
        <v>3.5</v>
      </c>
      <c r="E1095" s="29">
        <f>IFERROR(__xludf.DUMMYFUNCTION("""COMPUTED_VALUE"""),44117.55208333333)</f>
        <v>44117.55208</v>
      </c>
      <c r="F1095" s="26" t="str">
        <f>IFERROR(__xludf.DUMMYFUNCTION("""COMPUTED_VALUE"""),"557058:3124a1f0-e92a-405c-93f2-c1d4e621bc77")</f>
        <v>557058:3124a1f0-e92a-405c-93f2-c1d4e621bc77</v>
      </c>
      <c r="G1095" s="26" t="str">
        <f>IFERROR(__xludf.DUMMYFUNCTION("""COMPUTED_VALUE"""),"Trevor Coehoorn")</f>
        <v>Trevor Coehoorn</v>
      </c>
      <c r="H1095" s="26" t="b">
        <v>0</v>
      </c>
    </row>
    <row r="1096" hidden="1">
      <c r="A1096" s="26" t="str">
        <f>VLOOKUP(B1096,'2020 SRED (JIRA) - Issues and l'!$B:$C,2,FALSE)</f>
        <v>portal-builder-SRED</v>
      </c>
      <c r="B1096" s="27" t="str">
        <f>IFERROR(__xludf.DUMMYFUNCTION("""COMPUTED_VALUE"""),"ITP-1874")</f>
        <v>ITP-1874</v>
      </c>
      <c r="C1096" s="26" t="str">
        <f>IFERROR(__xludf.DUMMYFUNCTION("""COMPUTED_VALUE"""),"Multiple webform submission group conditions")</f>
        <v>Multiple webform submission group conditions</v>
      </c>
      <c r="D1096" s="28">
        <f>IFERROR(__xludf.DUMMYFUNCTION("""COMPUTED_VALUE"""),2.25)</f>
        <v>2.25</v>
      </c>
      <c r="E1096" s="29">
        <f>IFERROR(__xludf.DUMMYFUNCTION("""COMPUTED_VALUE"""),44117.59375)</f>
        <v>44117.59375</v>
      </c>
      <c r="F1096" s="26" t="str">
        <f>IFERROR(__xludf.DUMMYFUNCTION("""COMPUTED_VALUE"""),"5f5125a6333edb00434bffaf")</f>
        <v>5f5125a6333edb00434bffaf</v>
      </c>
      <c r="G1096" s="26" t="str">
        <f>IFERROR(__xludf.DUMMYFUNCTION("""COMPUTED_VALUE"""),"Terry Waldner")</f>
        <v>Terry Waldner</v>
      </c>
      <c r="H1096" s="26" t="b">
        <v>0</v>
      </c>
    </row>
    <row r="1097" hidden="1">
      <c r="A1097" s="26" t="str">
        <f>VLOOKUP(B1097,'2020 SRED (JIRA) - Issues and l'!$B:$C,2,FALSE)</f>
        <v>portal-builder-SRED</v>
      </c>
      <c r="B1097" s="27" t="str">
        <f>IFERROR(__xludf.DUMMYFUNCTION("""COMPUTED_VALUE"""),"ITP-1871")</f>
        <v>ITP-1871</v>
      </c>
      <c r="C1097" s="26" t="str">
        <f>IFERROR(__xludf.DUMMYFUNCTION("""COMPUTED_VALUE"""),"Add touchpoint completion indicator to the top of each touchpoint page")</f>
        <v>Add touchpoint completion indicator to the top of each touchpoint page</v>
      </c>
      <c r="D1097" s="28">
        <f>IFERROR(__xludf.DUMMYFUNCTION("""COMPUTED_VALUE"""),0.25)</f>
        <v>0.25</v>
      </c>
      <c r="E1097" s="29">
        <f>IFERROR(__xludf.DUMMYFUNCTION("""COMPUTED_VALUE"""),44117.69791666667)</f>
        <v>44117.69792</v>
      </c>
      <c r="F1097" s="26" t="str">
        <f>IFERROR(__xludf.DUMMYFUNCTION("""COMPUTED_VALUE"""),"557058:3124a1f0-e92a-405c-93f2-c1d4e621bc77")</f>
        <v>557058:3124a1f0-e92a-405c-93f2-c1d4e621bc77</v>
      </c>
      <c r="G1097" s="26" t="str">
        <f>IFERROR(__xludf.DUMMYFUNCTION("""COMPUTED_VALUE"""),"Trevor Coehoorn")</f>
        <v>Trevor Coehoorn</v>
      </c>
      <c r="H1097" s="26" t="b">
        <v>0</v>
      </c>
    </row>
    <row r="1098">
      <c r="A1098" s="26" t="str">
        <f>VLOOKUP(B1098,'2020 SRED (JIRA) - Issues and l'!$B:$C,2,FALSE)</f>
        <v>insite-workflow-SRED</v>
      </c>
      <c r="B1098" s="27" t="str">
        <f>IFERROR(__xludf.DUMMYFUNCTION("""COMPUTED_VALUE"""),"APPS-10")</f>
        <v>APPS-10</v>
      </c>
      <c r="C1098" s="26" t="str">
        <f>IFERROR(__xludf.DUMMYFUNCTION("""COMPUTED_VALUE"""),"Sales Pipeline app (v1)")</f>
        <v>Sales Pipeline app (v1)</v>
      </c>
      <c r="D1098" s="28">
        <f>IFERROR(__xludf.DUMMYFUNCTION("""COMPUTED_VALUE"""),2.0)</f>
        <v>2</v>
      </c>
      <c r="E1098" s="29">
        <f>IFERROR(__xludf.DUMMYFUNCTION("""COMPUTED_VALUE"""),44118.0)</f>
        <v>44118</v>
      </c>
      <c r="F1098" s="26" t="str">
        <f>IFERROR(__xludf.DUMMYFUNCTION("""COMPUTED_VALUE"""),"557058:ed1ddc66-d84d-405c-a815-0fcc6147ba14")</f>
        <v>557058:ed1ddc66-d84d-405c-a815-0fcc6147ba14</v>
      </c>
      <c r="G1098" s="26" t="str">
        <f>IFERROR(__xludf.DUMMYFUNCTION("""COMPUTED_VALUE"""),"Mark Corrigan")</f>
        <v>Mark Corrigan</v>
      </c>
      <c r="H1098" s="26" t="b">
        <v>0</v>
      </c>
    </row>
    <row r="1099" hidden="1">
      <c r="A1099" s="26" t="str">
        <f>VLOOKUP(B1099,'2020 SRED (JIRA) - Issues and l'!$B:$C,2,FALSE)</f>
        <v>insite-workflow-SRED</v>
      </c>
      <c r="B1099" s="27" t="str">
        <f>IFERROR(__xludf.DUMMYFUNCTION("""COMPUTED_VALUE"""),"APPS-474")</f>
        <v>APPS-474</v>
      </c>
      <c r="C1099" s="26" t="str">
        <f>IFERROR(__xludf.DUMMYFUNCTION("""COMPUTED_VALUE"""),"System access tracking - user view")</f>
        <v>System access tracking - user view</v>
      </c>
      <c r="D1099" s="28">
        <f>IFERROR(__xludf.DUMMYFUNCTION("""COMPUTED_VALUE"""),4.0)</f>
        <v>4</v>
      </c>
      <c r="E1099" s="29">
        <f>IFERROR(__xludf.DUMMYFUNCTION("""COMPUTED_VALUE"""),44118.0)</f>
        <v>44118</v>
      </c>
      <c r="F1099" s="26" t="str">
        <f>IFERROR(__xludf.DUMMYFUNCTION("""COMPUTED_VALUE"""),"5ee7b6ce868ce30ac49e2521")</f>
        <v>5ee7b6ce868ce30ac49e2521</v>
      </c>
      <c r="G1099" s="26" t="str">
        <f>IFERROR(__xludf.DUMMYFUNCTION("""COMPUTED_VALUE"""),"Bryan Le")</f>
        <v>Bryan Le</v>
      </c>
      <c r="H1099" s="26" t="b">
        <v>0</v>
      </c>
    </row>
    <row r="1100" hidden="1">
      <c r="A1100" s="26" t="str">
        <f>VLOOKUP(B1100,'2020 SRED (JIRA) - Issues and l'!$B:$C,2,FALSE)</f>
        <v>insite-workflow-SRED</v>
      </c>
      <c r="B1100" s="27" t="str">
        <f>IFERROR(__xludf.DUMMYFUNCTION("""COMPUTED_VALUE"""),"APPS-388")</f>
        <v>APPS-388</v>
      </c>
      <c r="C1100" s="26" t="str">
        <f>IFERROR(__xludf.DUMMYFUNCTION("""COMPUTED_VALUE"""),"Cleanup tasks")</f>
        <v>Cleanup tasks</v>
      </c>
      <c r="D1100" s="28">
        <f>IFERROR(__xludf.DUMMYFUNCTION("""COMPUTED_VALUE"""),7.0)</f>
        <v>7</v>
      </c>
      <c r="E1100" s="29">
        <f>IFERROR(__xludf.DUMMYFUNCTION("""COMPUTED_VALUE"""),44118.0)</f>
        <v>44118</v>
      </c>
      <c r="F1100" s="26" t="str">
        <f>IFERROR(__xludf.DUMMYFUNCTION("""COMPUTED_VALUE"""),"5ee7b6cf02b4400ac4b65399")</f>
        <v>5ee7b6cf02b4400ac4b65399</v>
      </c>
      <c r="G1100" s="26" t="str">
        <f>IFERROR(__xludf.DUMMYFUNCTION("""COMPUTED_VALUE"""),"Jessica Obando")</f>
        <v>Jessica Obando</v>
      </c>
      <c r="H1100" s="26" t="b">
        <v>0</v>
      </c>
    </row>
    <row r="1101" hidden="1">
      <c r="A1101" s="26" t="str">
        <f>VLOOKUP(B1101,'2020 SRED (JIRA) - Issues and l'!$B:$C,2,FALSE)</f>
        <v>portal-builder-SRED</v>
      </c>
      <c r="B1101" s="27" t="str">
        <f>IFERROR(__xludf.DUMMYFUNCTION("""COMPUTED_VALUE"""),"ITP-1874")</f>
        <v>ITP-1874</v>
      </c>
      <c r="C1101" s="26" t="str">
        <f>IFERROR(__xludf.DUMMYFUNCTION("""COMPUTED_VALUE"""),"Multiple webform submission group conditions")</f>
        <v>Multiple webform submission group conditions</v>
      </c>
      <c r="D1101" s="28">
        <f>IFERROR(__xludf.DUMMYFUNCTION("""COMPUTED_VALUE"""),4.25)</f>
        <v>4.25</v>
      </c>
      <c r="E1101" s="29">
        <f>IFERROR(__xludf.DUMMYFUNCTION("""COMPUTED_VALUE"""),44118.34375)</f>
        <v>44118.34375</v>
      </c>
      <c r="F1101" s="26" t="str">
        <f>IFERROR(__xludf.DUMMYFUNCTION("""COMPUTED_VALUE"""),"5f5125a6333edb00434bffaf")</f>
        <v>5f5125a6333edb00434bffaf</v>
      </c>
      <c r="G1101" s="26" t="str">
        <f>IFERROR(__xludf.DUMMYFUNCTION("""COMPUTED_VALUE"""),"Terry Waldner")</f>
        <v>Terry Waldner</v>
      </c>
      <c r="H1101" s="26" t="b">
        <v>0</v>
      </c>
    </row>
    <row r="1102" hidden="1">
      <c r="A1102" s="26" t="str">
        <f>VLOOKUP(B1102,'2020 SRED (JIRA) - Issues and l'!$B:$C,2,FALSE)</f>
        <v>insite-event-SRED</v>
      </c>
      <c r="B1102" s="27" t="str">
        <f>IFERROR(__xludf.DUMMYFUNCTION("""COMPUTED_VALUE"""),"ZAPI-141")</f>
        <v>ZAPI-141</v>
      </c>
      <c r="C1102" s="26" t="str">
        <f>IFERROR(__xludf.DUMMYFUNCTION("""COMPUTED_VALUE"""),"Multiple recording fieldsets displayed in web meeting reports and recordings widget ")</f>
        <v>Multiple recording fieldsets displayed in web meeting reports and recordings widget </v>
      </c>
      <c r="D1102" s="28">
        <f>IFERROR(__xludf.DUMMYFUNCTION("""COMPUTED_VALUE"""),0.5)</f>
        <v>0.5</v>
      </c>
      <c r="E1102" s="29">
        <f>IFERROR(__xludf.DUMMYFUNCTION("""COMPUTED_VALUE"""),44118.38541666667)</f>
        <v>44118.38542</v>
      </c>
      <c r="F1102" s="26" t="str">
        <f>IFERROR(__xludf.DUMMYFUNCTION("""COMPUTED_VALUE"""),"557058:3124a1f0-e92a-405c-93f2-c1d4e621bc77")</f>
        <v>557058:3124a1f0-e92a-405c-93f2-c1d4e621bc77</v>
      </c>
      <c r="G1102" s="26" t="str">
        <f>IFERROR(__xludf.DUMMYFUNCTION("""COMPUTED_VALUE"""),"Trevor Coehoorn")</f>
        <v>Trevor Coehoorn</v>
      </c>
      <c r="H1102" s="26" t="b">
        <v>0</v>
      </c>
    </row>
    <row r="1103" hidden="1">
      <c r="A1103" s="26" t="str">
        <f>VLOOKUP(B1103,'2020 SRED (JIRA) - Issues and l'!$B:$C,2,FALSE)</f>
        <v>portal-builder-SRED</v>
      </c>
      <c r="B1103" s="27" t="str">
        <f>IFERROR(__xludf.DUMMYFUNCTION("""COMPUTED_VALUE"""),"ITP-1874")</f>
        <v>ITP-1874</v>
      </c>
      <c r="C1103" s="26" t="str">
        <f>IFERROR(__xludf.DUMMYFUNCTION("""COMPUTED_VALUE"""),"Multiple webform submission group conditions")</f>
        <v>Multiple webform submission group conditions</v>
      </c>
      <c r="D1103" s="28">
        <f>IFERROR(__xludf.DUMMYFUNCTION("""COMPUTED_VALUE"""),2.75)</f>
        <v>2.75</v>
      </c>
      <c r="E1103" s="29">
        <f>IFERROR(__xludf.DUMMYFUNCTION("""COMPUTED_VALUE"""),44118.40625)</f>
        <v>44118.40625</v>
      </c>
      <c r="F1103" s="26" t="str">
        <f>IFERROR(__xludf.DUMMYFUNCTION("""COMPUTED_VALUE"""),"557058:3124a1f0-e92a-405c-93f2-c1d4e621bc77")</f>
        <v>557058:3124a1f0-e92a-405c-93f2-c1d4e621bc77</v>
      </c>
      <c r="G1103" s="26" t="str">
        <f>IFERROR(__xludf.DUMMYFUNCTION("""COMPUTED_VALUE"""),"Trevor Coehoorn")</f>
        <v>Trevor Coehoorn</v>
      </c>
      <c r="H1103" s="26" t="b">
        <v>0</v>
      </c>
    </row>
    <row r="1104" hidden="1">
      <c r="A1104" s="26" t="str">
        <f>VLOOKUP(B1104,'2020 SRED (JIRA) - Issues and l'!$B:$C,2,FALSE)</f>
        <v>portal-builder-SRED</v>
      </c>
      <c r="B1104" s="27" t="str">
        <f>IFERROR(__xludf.DUMMYFUNCTION("""COMPUTED_VALUE"""),"ITP-1874")</f>
        <v>ITP-1874</v>
      </c>
      <c r="C1104" s="26" t="str">
        <f>IFERROR(__xludf.DUMMYFUNCTION("""COMPUTED_VALUE"""),"Multiple webform submission group conditions")</f>
        <v>Multiple webform submission group conditions</v>
      </c>
      <c r="D1104" s="28">
        <f>IFERROR(__xludf.DUMMYFUNCTION("""COMPUTED_VALUE"""),2.5)</f>
        <v>2.5</v>
      </c>
      <c r="E1104" s="29">
        <f>IFERROR(__xludf.DUMMYFUNCTION("""COMPUTED_VALUE"""),44118.54166666667)</f>
        <v>44118.54167</v>
      </c>
      <c r="F1104" s="26" t="str">
        <f>IFERROR(__xludf.DUMMYFUNCTION("""COMPUTED_VALUE"""),"5f5125a6333edb00434bffaf")</f>
        <v>5f5125a6333edb00434bffaf</v>
      </c>
      <c r="G1104" s="26" t="str">
        <f>IFERROR(__xludf.DUMMYFUNCTION("""COMPUTED_VALUE"""),"Terry Waldner")</f>
        <v>Terry Waldner</v>
      </c>
      <c r="H1104" s="26" t="b">
        <v>0</v>
      </c>
    </row>
    <row r="1105" hidden="1">
      <c r="A1105" s="26" t="str">
        <f>VLOOKUP(B1105,'2020 SRED (JIRA) - Issues and l'!$B:$C,2,FALSE)</f>
        <v>insite-event-SRED</v>
      </c>
      <c r="B1105" s="27" t="str">
        <f>IFERROR(__xludf.DUMMYFUNCTION("""COMPUTED_VALUE"""),"ZAPI-141")</f>
        <v>ZAPI-141</v>
      </c>
      <c r="C1105" s="26" t="str">
        <f>IFERROR(__xludf.DUMMYFUNCTION("""COMPUTED_VALUE"""),"Multiple recording fieldsets displayed in web meeting reports and recordings widget ")</f>
        <v>Multiple recording fieldsets displayed in web meeting reports and recordings widget </v>
      </c>
      <c r="D1105" s="28">
        <f>IFERROR(__xludf.DUMMYFUNCTION("""COMPUTED_VALUE"""),0.5)</f>
        <v>0.5</v>
      </c>
      <c r="E1105" s="29">
        <f>IFERROR(__xludf.DUMMYFUNCTION("""COMPUTED_VALUE"""),44118.55208333333)</f>
        <v>44118.55208</v>
      </c>
      <c r="F1105" s="26" t="str">
        <f>IFERROR(__xludf.DUMMYFUNCTION("""COMPUTED_VALUE"""),"557058:3124a1f0-e92a-405c-93f2-c1d4e621bc77")</f>
        <v>557058:3124a1f0-e92a-405c-93f2-c1d4e621bc77</v>
      </c>
      <c r="G1105" s="26" t="str">
        <f>IFERROR(__xludf.DUMMYFUNCTION("""COMPUTED_VALUE"""),"Trevor Coehoorn")</f>
        <v>Trevor Coehoorn</v>
      </c>
      <c r="H1105" s="26" t="b">
        <v>0</v>
      </c>
    </row>
    <row r="1106" hidden="1">
      <c r="A1106" s="26" t="str">
        <f>VLOOKUP(B1106,'2020 SRED (JIRA) - Issues and l'!$B:$C,2,FALSE)</f>
        <v>insite-event-SRED</v>
      </c>
      <c r="B1106" s="27" t="str">
        <f>IFERROR(__xludf.DUMMYFUNCTION("""COMPUTED_VALUE"""),"ZAPI-141")</f>
        <v>ZAPI-141</v>
      </c>
      <c r="C1106" s="26" t="str">
        <f>IFERROR(__xludf.DUMMYFUNCTION("""COMPUTED_VALUE"""),"Multiple recording fieldsets displayed in web meeting reports and recordings widget ")</f>
        <v>Multiple recording fieldsets displayed in web meeting reports and recordings widget </v>
      </c>
      <c r="D1106" s="28">
        <f>IFERROR(__xludf.DUMMYFUNCTION("""COMPUTED_VALUE"""),1.25)</f>
        <v>1.25</v>
      </c>
      <c r="E1106" s="29">
        <f>IFERROR(__xludf.DUMMYFUNCTION("""COMPUTED_VALUE"""),44118.58333333333)</f>
        <v>44118.58333</v>
      </c>
      <c r="F1106" s="26" t="str">
        <f>IFERROR(__xludf.DUMMYFUNCTION("""COMPUTED_VALUE"""),"557058:3124a1f0-e92a-405c-93f2-c1d4e621bc77")</f>
        <v>557058:3124a1f0-e92a-405c-93f2-c1d4e621bc77</v>
      </c>
      <c r="G1106" s="26" t="str">
        <f>IFERROR(__xludf.DUMMYFUNCTION("""COMPUTED_VALUE"""),"Trevor Coehoorn")</f>
        <v>Trevor Coehoorn</v>
      </c>
      <c r="H1106" s="26" t="b">
        <v>0</v>
      </c>
    </row>
    <row r="1107" hidden="1">
      <c r="A1107" s="26" t="str">
        <f>VLOOKUP(B1107,'2020 SRED (JIRA) - Issues and l'!$B:$C,2,FALSE)</f>
        <v>insite-event-SRED</v>
      </c>
      <c r="B1107" s="27" t="str">
        <f>IFERROR(__xludf.DUMMYFUNCTION("""COMPUTED_VALUE"""),"ZAPI-146")</f>
        <v>ZAPI-146</v>
      </c>
      <c r="C1107" s="26" t="str">
        <f>IFERROR(__xludf.DUMMYFUNCTION("""COMPUTED_VALUE"""),"Display name does not show up in Zoom when registration form is used")</f>
        <v>Display name does not show up in Zoom when registration form is used</v>
      </c>
      <c r="D1107" s="28">
        <f>IFERROR(__xludf.DUMMYFUNCTION("""COMPUTED_VALUE"""),0.5)</f>
        <v>0.5</v>
      </c>
      <c r="E1107" s="29">
        <f>IFERROR(__xludf.DUMMYFUNCTION("""COMPUTED_VALUE"""),44118.64583333333)</f>
        <v>44118.64583</v>
      </c>
      <c r="F1107" s="26" t="str">
        <f>IFERROR(__xludf.DUMMYFUNCTION("""COMPUTED_VALUE"""),"557058:3124a1f0-e92a-405c-93f2-c1d4e621bc77")</f>
        <v>557058:3124a1f0-e92a-405c-93f2-c1d4e621bc77</v>
      </c>
      <c r="G1107" s="26" t="str">
        <f>IFERROR(__xludf.DUMMYFUNCTION("""COMPUTED_VALUE"""),"Trevor Coehoorn")</f>
        <v>Trevor Coehoorn</v>
      </c>
      <c r="H1107" s="26" t="b">
        <v>0</v>
      </c>
    </row>
    <row r="1108" hidden="1">
      <c r="A1108" s="26" t="str">
        <f>VLOOKUP(B1108,'2020 SRED (JIRA) - Issues and l'!$B:$C,2,FALSE)</f>
        <v>insite-event-SRED</v>
      </c>
      <c r="B1108" s="27" t="str">
        <f>IFERROR(__xludf.DUMMYFUNCTION("""COMPUTED_VALUE"""),"ZAPI-141")</f>
        <v>ZAPI-141</v>
      </c>
      <c r="C1108" s="26" t="str">
        <f>IFERROR(__xludf.DUMMYFUNCTION("""COMPUTED_VALUE"""),"Multiple recording fieldsets displayed in web meeting reports and recordings widget ")</f>
        <v>Multiple recording fieldsets displayed in web meeting reports and recordings widget </v>
      </c>
      <c r="D1108" s="28">
        <f>IFERROR(__xludf.DUMMYFUNCTION("""COMPUTED_VALUE"""),0.25)</f>
        <v>0.25</v>
      </c>
      <c r="E1108" s="29">
        <f>IFERROR(__xludf.DUMMYFUNCTION("""COMPUTED_VALUE"""),44118.66666666667)</f>
        <v>44118.66667</v>
      </c>
      <c r="F1108" s="26" t="str">
        <f>IFERROR(__xludf.DUMMYFUNCTION("""COMPUTED_VALUE"""),"557058:3124a1f0-e92a-405c-93f2-c1d4e621bc77")</f>
        <v>557058:3124a1f0-e92a-405c-93f2-c1d4e621bc77</v>
      </c>
      <c r="G1108" s="26" t="str">
        <f>IFERROR(__xludf.DUMMYFUNCTION("""COMPUTED_VALUE"""),"Trevor Coehoorn")</f>
        <v>Trevor Coehoorn</v>
      </c>
      <c r="H1108" s="26" t="b">
        <v>0</v>
      </c>
    </row>
    <row r="1109" hidden="1">
      <c r="A1109" s="26" t="str">
        <f>VLOOKUP(B1109,'2020 SRED (JIRA) - Issues and l'!$B:$C,2,FALSE)</f>
        <v>insite-event-SRED</v>
      </c>
      <c r="B1109" s="27" t="str">
        <f>IFERROR(__xludf.DUMMYFUNCTION("""COMPUTED_VALUE"""),"ZAPI-146")</f>
        <v>ZAPI-146</v>
      </c>
      <c r="C1109" s="26" t="str">
        <f>IFERROR(__xludf.DUMMYFUNCTION("""COMPUTED_VALUE"""),"Display name does not show up in Zoom when registration form is used")</f>
        <v>Display name does not show up in Zoom when registration form is used</v>
      </c>
      <c r="D1109" s="28">
        <f>IFERROR(__xludf.DUMMYFUNCTION("""COMPUTED_VALUE"""),0.25)</f>
        <v>0.25</v>
      </c>
      <c r="E1109" s="29">
        <f>IFERROR(__xludf.DUMMYFUNCTION("""COMPUTED_VALUE"""),44118.67708333333)</f>
        <v>44118.67708</v>
      </c>
      <c r="F1109" s="26" t="str">
        <f>IFERROR(__xludf.DUMMYFUNCTION("""COMPUTED_VALUE"""),"557058:3124a1f0-e92a-405c-93f2-c1d4e621bc77")</f>
        <v>557058:3124a1f0-e92a-405c-93f2-c1d4e621bc77</v>
      </c>
      <c r="G1109" s="26" t="str">
        <f>IFERROR(__xludf.DUMMYFUNCTION("""COMPUTED_VALUE"""),"Trevor Coehoorn")</f>
        <v>Trevor Coehoorn</v>
      </c>
      <c r="H1109" s="26" t="b">
        <v>0</v>
      </c>
    </row>
    <row r="1110">
      <c r="A1110" s="26" t="str">
        <f>VLOOKUP(B1110,'2020 SRED (JIRA) - Issues and l'!$B:$C,2,FALSE)</f>
        <v>insite-event-SRED</v>
      </c>
      <c r="B1110" s="27" t="str">
        <f>IFERROR(__xludf.DUMMYFUNCTION("""COMPUTED_VALUE"""),"ZAPI-6")</f>
        <v>ZAPI-6</v>
      </c>
      <c r="C1110" s="26" t="str">
        <f>IFERROR(__xludf.DUMMYFUNCTION("""COMPUTED_VALUE"""),"Zoom API v2 (Registration Flow and Reporting)")</f>
        <v>Zoom API v2 (Registration Flow and Reporting)</v>
      </c>
      <c r="D1110" s="28">
        <f>IFERROR(__xludf.DUMMYFUNCTION("""COMPUTED_VALUE"""),1.5)</f>
        <v>1.5</v>
      </c>
      <c r="E1110" s="29">
        <f>IFERROR(__xludf.DUMMYFUNCTION("""COMPUTED_VALUE"""),44119.0)</f>
        <v>44119</v>
      </c>
      <c r="F1110" s="26" t="str">
        <f>IFERROR(__xludf.DUMMYFUNCTION("""COMPUTED_VALUE"""),"557058:ed1ddc66-d84d-405c-a815-0fcc6147ba14")</f>
        <v>557058:ed1ddc66-d84d-405c-a815-0fcc6147ba14</v>
      </c>
      <c r="G1110" s="26" t="str">
        <f>IFERROR(__xludf.DUMMYFUNCTION("""COMPUTED_VALUE"""),"Mark Corrigan")</f>
        <v>Mark Corrigan</v>
      </c>
      <c r="H1110" s="26" t="b">
        <v>0</v>
      </c>
    </row>
    <row r="1111">
      <c r="A1111" s="26" t="str">
        <f>VLOOKUP(B1111,'2020 SRED (JIRA) - Issues and l'!$B:$C,2,FALSE)</f>
        <v>insite-workflow-SRED</v>
      </c>
      <c r="B1111" s="27" t="str">
        <f>IFERROR(__xludf.DUMMYFUNCTION("""COMPUTED_VALUE"""),"APPS-487")</f>
        <v>APPS-487</v>
      </c>
      <c r="C1111" s="26" t="str">
        <f>IFERROR(__xludf.DUMMYFUNCTION("""COMPUTED_VALUE"""),"Show proposal status field on proposal detail and form views")</f>
        <v>Show proposal status field on proposal detail and form views</v>
      </c>
      <c r="D1111" s="28">
        <f>IFERROR(__xludf.DUMMYFUNCTION("""COMPUTED_VALUE"""),0.5)</f>
        <v>0.5</v>
      </c>
      <c r="E1111" s="29">
        <f>IFERROR(__xludf.DUMMYFUNCTION("""COMPUTED_VALUE"""),44119.0)</f>
        <v>44119</v>
      </c>
      <c r="F1111" s="26" t="str">
        <f>IFERROR(__xludf.DUMMYFUNCTION("""COMPUTED_VALUE"""),"557058:ed1ddc66-d84d-405c-a815-0fcc6147ba14")</f>
        <v>557058:ed1ddc66-d84d-405c-a815-0fcc6147ba14</v>
      </c>
      <c r="G1111" s="26" t="str">
        <f>IFERROR(__xludf.DUMMYFUNCTION("""COMPUTED_VALUE"""),"Mark Corrigan")</f>
        <v>Mark Corrigan</v>
      </c>
      <c r="H1111" s="26" t="b">
        <v>0</v>
      </c>
    </row>
    <row r="1112">
      <c r="A1112" s="26" t="str">
        <f>VLOOKUP(B1112,'2020 SRED (JIRA) - Issues and l'!$B:$C,2,FALSE)</f>
        <v>insite-workflow-SRED</v>
      </c>
      <c r="B1112" s="27" t="str">
        <f>IFERROR(__xludf.DUMMYFUNCTION("""COMPUTED_VALUE"""),"APPS-375")</f>
        <v>APPS-375</v>
      </c>
      <c r="C1112" s="26" t="str">
        <f>IFERROR(__xludf.DUMMYFUNCTION("""COMPUTED_VALUE"""),"As a salesperson, I can associate add-ons and reductions with products")</f>
        <v>As a salesperson, I can associate add-ons and reductions with products</v>
      </c>
      <c r="D1112" s="28">
        <f>IFERROR(__xludf.DUMMYFUNCTION("""COMPUTED_VALUE"""),0.75)</f>
        <v>0.75</v>
      </c>
      <c r="E1112" s="29">
        <f>IFERROR(__xludf.DUMMYFUNCTION("""COMPUTED_VALUE"""),44119.0)</f>
        <v>44119</v>
      </c>
      <c r="F1112" s="26" t="str">
        <f>IFERROR(__xludf.DUMMYFUNCTION("""COMPUTED_VALUE"""),"557058:ed1ddc66-d84d-405c-a815-0fcc6147ba14")</f>
        <v>557058:ed1ddc66-d84d-405c-a815-0fcc6147ba14</v>
      </c>
      <c r="G1112" s="26" t="str">
        <f>IFERROR(__xludf.DUMMYFUNCTION("""COMPUTED_VALUE"""),"Mark Corrigan")</f>
        <v>Mark Corrigan</v>
      </c>
      <c r="H1112" s="26" t="b">
        <v>0</v>
      </c>
    </row>
    <row r="1113" hidden="1">
      <c r="A1113" s="26" t="str">
        <f>VLOOKUP(B1113,'2020 SRED (JIRA) - Issues and l'!$B:$C,2,FALSE)</f>
        <v>insite-workflow-SRED</v>
      </c>
      <c r="B1113" s="27" t="str">
        <f>IFERROR(__xludf.DUMMYFUNCTION("""COMPUTED_VALUE"""),"APPS-474")</f>
        <v>APPS-474</v>
      </c>
      <c r="C1113" s="26" t="str">
        <f>IFERROR(__xludf.DUMMYFUNCTION("""COMPUTED_VALUE"""),"System access tracking - user view")</f>
        <v>System access tracking - user view</v>
      </c>
      <c r="D1113" s="28">
        <f>IFERROR(__xludf.DUMMYFUNCTION("""COMPUTED_VALUE"""),5.0)</f>
        <v>5</v>
      </c>
      <c r="E1113" s="29">
        <f>IFERROR(__xludf.DUMMYFUNCTION("""COMPUTED_VALUE"""),44119.0)</f>
        <v>44119</v>
      </c>
      <c r="F1113" s="26" t="str">
        <f>IFERROR(__xludf.DUMMYFUNCTION("""COMPUTED_VALUE"""),"5ee7b6ce868ce30ac49e2521")</f>
        <v>5ee7b6ce868ce30ac49e2521</v>
      </c>
      <c r="G1113" s="26" t="str">
        <f>IFERROR(__xludf.DUMMYFUNCTION("""COMPUTED_VALUE"""),"Bryan Le")</f>
        <v>Bryan Le</v>
      </c>
      <c r="H1113" s="26" t="b">
        <v>0</v>
      </c>
    </row>
    <row r="1114" hidden="1">
      <c r="A1114" s="26" t="str">
        <f>VLOOKUP(B1114,'2020 SRED (JIRA) - Issues and l'!$B:$C,2,FALSE)</f>
        <v>insite-workflow-SRED</v>
      </c>
      <c r="B1114" s="27" t="str">
        <f>IFERROR(__xludf.DUMMYFUNCTION("""COMPUTED_VALUE"""),"APPS-494")</f>
        <v>APPS-494</v>
      </c>
      <c r="C1114" s="26" t="str">
        <f>IFERROR(__xludf.DUMMYFUNCTION("""COMPUTED_VALUE"""),"Policy tracking")</f>
        <v>Policy tracking</v>
      </c>
      <c r="D1114" s="28">
        <f>IFERROR(__xludf.DUMMYFUNCTION("""COMPUTED_VALUE"""),2.0)</f>
        <v>2</v>
      </c>
      <c r="E1114" s="29">
        <f>IFERROR(__xludf.DUMMYFUNCTION("""COMPUTED_VALUE"""),44119.0)</f>
        <v>44119</v>
      </c>
      <c r="F1114" s="26" t="str">
        <f>IFERROR(__xludf.DUMMYFUNCTION("""COMPUTED_VALUE"""),"5ee7b6ce868ce30ac49e2521")</f>
        <v>5ee7b6ce868ce30ac49e2521</v>
      </c>
      <c r="G1114" s="26" t="str">
        <f>IFERROR(__xludf.DUMMYFUNCTION("""COMPUTED_VALUE"""),"Bryan Le")</f>
        <v>Bryan Le</v>
      </c>
      <c r="H1114" s="26" t="b">
        <v>0</v>
      </c>
    </row>
    <row r="1115" hidden="1">
      <c r="A1115" s="26" t="str">
        <f>VLOOKUP(B1115,'2020 SRED (JIRA) - Issues and l'!$B:$C,2,FALSE)</f>
        <v>insite-workflow-SRED</v>
      </c>
      <c r="B1115" s="27" t="str">
        <f>IFERROR(__xludf.DUMMYFUNCTION("""COMPUTED_VALUE"""),"APPS-435")</f>
        <v>APPS-435</v>
      </c>
      <c r="C1115" s="26" t="str">
        <f>IFERROR(__xludf.DUMMYFUNCTION("""COMPUTED_VALUE"""),"Troubleshoot AppSheet iframe not showing in Safari")</f>
        <v>Troubleshoot AppSheet iframe not showing in Safari</v>
      </c>
      <c r="D1115" s="28">
        <f>IFERROR(__xludf.DUMMYFUNCTION("""COMPUTED_VALUE"""),7.0)</f>
        <v>7</v>
      </c>
      <c r="E1115" s="29">
        <f>IFERROR(__xludf.DUMMYFUNCTION("""COMPUTED_VALUE"""),44119.0)</f>
        <v>44119</v>
      </c>
      <c r="F1115" s="26" t="str">
        <f>IFERROR(__xludf.DUMMYFUNCTION("""COMPUTED_VALUE"""),"5ee7b6cf02b4400ac4b65399")</f>
        <v>5ee7b6cf02b4400ac4b65399</v>
      </c>
      <c r="G1115" s="26" t="str">
        <f>IFERROR(__xludf.DUMMYFUNCTION("""COMPUTED_VALUE"""),"Jessica Obando")</f>
        <v>Jessica Obando</v>
      </c>
      <c r="H1115" s="26" t="b">
        <v>0</v>
      </c>
    </row>
    <row r="1116" hidden="1">
      <c r="A1116" s="26" t="str">
        <f>VLOOKUP(B1116,'2020 SRED (JIRA) - Issues and l'!$B:$C,2,FALSE)</f>
        <v>portal-builder-SRED</v>
      </c>
      <c r="B1116" s="27" t="str">
        <f>IFERROR(__xludf.DUMMYFUNCTION("""COMPUTED_VALUE"""),"ITP-1874")</f>
        <v>ITP-1874</v>
      </c>
      <c r="C1116" s="26" t="str">
        <f>IFERROR(__xludf.DUMMYFUNCTION("""COMPUTED_VALUE"""),"Multiple webform submission group conditions")</f>
        <v>Multiple webform submission group conditions</v>
      </c>
      <c r="D1116" s="28">
        <f>IFERROR(__xludf.DUMMYFUNCTION("""COMPUTED_VALUE"""),5.75)</f>
        <v>5.75</v>
      </c>
      <c r="E1116" s="29">
        <f>IFERROR(__xludf.DUMMYFUNCTION("""COMPUTED_VALUE"""),44119.3125)</f>
        <v>44119.3125</v>
      </c>
      <c r="F1116" s="26" t="str">
        <f>IFERROR(__xludf.DUMMYFUNCTION("""COMPUTED_VALUE"""),"5f5125a6333edb00434bffaf")</f>
        <v>5f5125a6333edb00434bffaf</v>
      </c>
      <c r="G1116" s="26" t="str">
        <f>IFERROR(__xludf.DUMMYFUNCTION("""COMPUTED_VALUE"""),"Terry Waldner")</f>
        <v>Terry Waldner</v>
      </c>
      <c r="H1116" s="26" t="b">
        <v>0</v>
      </c>
    </row>
    <row r="1117" hidden="1">
      <c r="A1117" s="26" t="str">
        <f>VLOOKUP(B1117,'2020 SRED (JIRA) - Issues and l'!$B:$C,2,FALSE)</f>
        <v>insite-event-SRED</v>
      </c>
      <c r="B1117" s="27" t="str">
        <f>IFERROR(__xludf.DUMMYFUNCTION("""COMPUTED_VALUE"""),"ZAPI-141")</f>
        <v>ZAPI-141</v>
      </c>
      <c r="C1117" s="26" t="str">
        <f>IFERROR(__xludf.DUMMYFUNCTION("""COMPUTED_VALUE"""),"Multiple recording fieldsets displayed in web meeting reports and recordings widget ")</f>
        <v>Multiple recording fieldsets displayed in web meeting reports and recordings widget </v>
      </c>
      <c r="D1117" s="28">
        <f>IFERROR(__xludf.DUMMYFUNCTION("""COMPUTED_VALUE"""),0.25)</f>
        <v>0.25</v>
      </c>
      <c r="E1117" s="29">
        <f>IFERROR(__xludf.DUMMYFUNCTION("""COMPUTED_VALUE"""),44119.38541666667)</f>
        <v>44119.38542</v>
      </c>
      <c r="F1117" s="26" t="str">
        <f>IFERROR(__xludf.DUMMYFUNCTION("""COMPUTED_VALUE"""),"557058:3124a1f0-e92a-405c-93f2-c1d4e621bc77")</f>
        <v>557058:3124a1f0-e92a-405c-93f2-c1d4e621bc77</v>
      </c>
      <c r="G1117" s="26" t="str">
        <f>IFERROR(__xludf.DUMMYFUNCTION("""COMPUTED_VALUE"""),"Trevor Coehoorn")</f>
        <v>Trevor Coehoorn</v>
      </c>
      <c r="H1117" s="26" t="b">
        <v>0</v>
      </c>
    </row>
    <row r="1118" hidden="1">
      <c r="A1118" s="26" t="str">
        <f>VLOOKUP(B1118,'2020 SRED (JIRA) - Issues and l'!$B:$C,2,FALSE)</f>
        <v>insite-event-SRED</v>
      </c>
      <c r="B1118" s="27" t="str">
        <f>IFERROR(__xludf.DUMMYFUNCTION("""COMPUTED_VALUE"""),"ZAPI-141")</f>
        <v>ZAPI-141</v>
      </c>
      <c r="C1118" s="26" t="str">
        <f>IFERROR(__xludf.DUMMYFUNCTION("""COMPUTED_VALUE"""),"Multiple recording fieldsets displayed in web meeting reports and recordings widget ")</f>
        <v>Multiple recording fieldsets displayed in web meeting reports and recordings widget </v>
      </c>
      <c r="D1118" s="28">
        <f>IFERROR(__xludf.DUMMYFUNCTION("""COMPUTED_VALUE"""),2.75)</f>
        <v>2.75</v>
      </c>
      <c r="E1118" s="29">
        <f>IFERROR(__xludf.DUMMYFUNCTION("""COMPUTED_VALUE"""),44119.39583333333)</f>
        <v>44119.39583</v>
      </c>
      <c r="F1118" s="26" t="str">
        <f>IFERROR(__xludf.DUMMYFUNCTION("""COMPUTED_VALUE"""),"557058:3124a1f0-e92a-405c-93f2-c1d4e621bc77")</f>
        <v>557058:3124a1f0-e92a-405c-93f2-c1d4e621bc77</v>
      </c>
      <c r="G1118" s="26" t="str">
        <f>IFERROR(__xludf.DUMMYFUNCTION("""COMPUTED_VALUE"""),"Trevor Coehoorn")</f>
        <v>Trevor Coehoorn</v>
      </c>
      <c r="H1118" s="26" t="b">
        <v>0</v>
      </c>
    </row>
    <row r="1119" hidden="1">
      <c r="A1119" s="26" t="str">
        <f>VLOOKUP(B1119,'2020 SRED (JIRA) - Issues and l'!$B:$C,2,FALSE)</f>
        <v>insite-event-SRED</v>
      </c>
      <c r="B1119" s="27" t="str">
        <f>IFERROR(__xludf.DUMMYFUNCTION("""COMPUTED_VALUE"""),"ZAPI-141")</f>
        <v>ZAPI-141</v>
      </c>
      <c r="C1119" s="26" t="str">
        <f>IFERROR(__xludf.DUMMYFUNCTION("""COMPUTED_VALUE"""),"Multiple recording fieldsets displayed in web meeting reports and recordings widget ")</f>
        <v>Multiple recording fieldsets displayed in web meeting reports and recordings widget </v>
      </c>
      <c r="D1119" s="28">
        <f>IFERROR(__xludf.DUMMYFUNCTION("""COMPUTED_VALUE"""),1.0)</f>
        <v>1</v>
      </c>
      <c r="E1119" s="29">
        <f>IFERROR(__xludf.DUMMYFUNCTION("""COMPUTED_VALUE"""),44119.53125)</f>
        <v>44119.53125</v>
      </c>
      <c r="F1119" s="26" t="str">
        <f>IFERROR(__xludf.DUMMYFUNCTION("""COMPUTED_VALUE"""),"557058:3124a1f0-e92a-405c-93f2-c1d4e621bc77")</f>
        <v>557058:3124a1f0-e92a-405c-93f2-c1d4e621bc77</v>
      </c>
      <c r="G1119" s="26" t="str">
        <f>IFERROR(__xludf.DUMMYFUNCTION("""COMPUTED_VALUE"""),"Trevor Coehoorn")</f>
        <v>Trevor Coehoorn</v>
      </c>
      <c r="H1119" s="26" t="b">
        <v>0</v>
      </c>
    </row>
    <row r="1120" hidden="1">
      <c r="A1120" s="26" t="str">
        <f>VLOOKUP(B1120,'2020 SRED (JIRA) - Issues and l'!$B:$C,2,FALSE)</f>
        <v>insite-event-SRED</v>
      </c>
      <c r="B1120" s="27" t="str">
        <f>IFERROR(__xludf.DUMMYFUNCTION("""COMPUTED_VALUE"""),"ZAPI-146")</f>
        <v>ZAPI-146</v>
      </c>
      <c r="C1120" s="26" t="str">
        <f>IFERROR(__xludf.DUMMYFUNCTION("""COMPUTED_VALUE"""),"Display name does not show up in Zoom when registration form is used")</f>
        <v>Display name does not show up in Zoom when registration form is used</v>
      </c>
      <c r="D1120" s="28">
        <f>IFERROR(__xludf.DUMMYFUNCTION("""COMPUTED_VALUE"""),1.5)</f>
        <v>1.5</v>
      </c>
      <c r="E1120" s="29">
        <f>IFERROR(__xludf.DUMMYFUNCTION("""COMPUTED_VALUE"""),44119.57291666667)</f>
        <v>44119.57292</v>
      </c>
      <c r="F1120" s="26" t="str">
        <f>IFERROR(__xludf.DUMMYFUNCTION("""COMPUTED_VALUE"""),"557058:3124a1f0-e92a-405c-93f2-c1d4e621bc77")</f>
        <v>557058:3124a1f0-e92a-405c-93f2-c1d4e621bc77</v>
      </c>
      <c r="G1120" s="26" t="str">
        <f>IFERROR(__xludf.DUMMYFUNCTION("""COMPUTED_VALUE"""),"Trevor Coehoorn")</f>
        <v>Trevor Coehoorn</v>
      </c>
      <c r="H1120" s="26" t="b">
        <v>0</v>
      </c>
    </row>
    <row r="1121" hidden="1">
      <c r="A1121" s="26" t="str">
        <f>VLOOKUP(B1121,'2020 SRED (JIRA) - Issues and l'!$B:$C,2,FALSE)</f>
        <v>portal-builder-SRED</v>
      </c>
      <c r="B1121" s="27" t="str">
        <f>IFERROR(__xludf.DUMMYFUNCTION("""COMPUTED_VALUE"""),"ITP-1874")</f>
        <v>ITP-1874</v>
      </c>
      <c r="C1121" s="26" t="str">
        <f>IFERROR(__xludf.DUMMYFUNCTION("""COMPUTED_VALUE"""),"Multiple webform submission group conditions")</f>
        <v>Multiple webform submission group conditions</v>
      </c>
      <c r="D1121" s="28">
        <f>IFERROR(__xludf.DUMMYFUNCTION("""COMPUTED_VALUE"""),1.25)</f>
        <v>1.25</v>
      </c>
      <c r="E1121" s="29">
        <f>IFERROR(__xludf.DUMMYFUNCTION("""COMPUTED_VALUE"""),44119.57291666667)</f>
        <v>44119.57292</v>
      </c>
      <c r="F1121" s="26" t="str">
        <f>IFERROR(__xludf.DUMMYFUNCTION("""COMPUTED_VALUE"""),"5f5125a6333edb00434bffaf")</f>
        <v>5f5125a6333edb00434bffaf</v>
      </c>
      <c r="G1121" s="26" t="str">
        <f>IFERROR(__xludf.DUMMYFUNCTION("""COMPUTED_VALUE"""),"Terry Waldner")</f>
        <v>Terry Waldner</v>
      </c>
      <c r="H1121" s="26" t="b">
        <v>0</v>
      </c>
    </row>
    <row r="1122" hidden="1">
      <c r="A1122" s="26" t="str">
        <f>VLOOKUP(B1122,'2020 SRED (JIRA) - Issues and l'!$B:$C,2,FALSE)</f>
        <v>insite-event-SRED</v>
      </c>
      <c r="B1122" s="27" t="str">
        <f>IFERROR(__xludf.DUMMYFUNCTION("""COMPUTED_VALUE"""),"ZAPI-135")</f>
        <v>ZAPI-135</v>
      </c>
      <c r="C1122" s="26" t="str">
        <f>IFERROR(__xludf.DUMMYFUNCTION("""COMPUTED_VALUE"""),"Make meeting registration approval link easier to understand")</f>
        <v>Make meeting registration approval link easier to understand</v>
      </c>
      <c r="D1122" s="28">
        <f>IFERROR(__xludf.DUMMYFUNCTION("""COMPUTED_VALUE"""),1.0)</f>
        <v>1</v>
      </c>
      <c r="E1122" s="29">
        <f>IFERROR(__xludf.DUMMYFUNCTION("""COMPUTED_VALUE"""),44119.63541666667)</f>
        <v>44119.63542</v>
      </c>
      <c r="F1122" s="26" t="str">
        <f>IFERROR(__xludf.DUMMYFUNCTION("""COMPUTED_VALUE"""),"557058:3124a1f0-e92a-405c-93f2-c1d4e621bc77")</f>
        <v>557058:3124a1f0-e92a-405c-93f2-c1d4e621bc77</v>
      </c>
      <c r="G1122" s="26" t="str">
        <f>IFERROR(__xludf.DUMMYFUNCTION("""COMPUTED_VALUE"""),"Trevor Coehoorn")</f>
        <v>Trevor Coehoorn</v>
      </c>
      <c r="H1122" s="26" t="b">
        <v>0</v>
      </c>
    </row>
    <row r="1123" hidden="1">
      <c r="A1123" s="26" t="str">
        <f>VLOOKUP(B1123,'2020 SRED (JIRA) - Issues and l'!$B:$C,2,FALSE)</f>
        <v>insite-event-SRED</v>
      </c>
      <c r="B1123" s="27" t="str">
        <f>IFERROR(__xludf.DUMMYFUNCTION("""COMPUTED_VALUE"""),"ZAPI-161")</f>
        <v>ZAPI-161</v>
      </c>
      <c r="C1123" s="26" t="str">
        <f>IFERROR(__xludf.DUMMYFUNCTION("""COMPUTED_VALUE"""),"Illegal choice' validation error when selecting visible reports for a webinar")</f>
        <v>Illegal choice' validation error when selecting visible reports for a webinar</v>
      </c>
      <c r="D1123" s="28">
        <f>IFERROR(__xludf.DUMMYFUNCTION("""COMPUTED_VALUE"""),0.25)</f>
        <v>0.25</v>
      </c>
      <c r="E1123" s="29">
        <f>IFERROR(__xludf.DUMMYFUNCTION("""COMPUTED_VALUE"""),44119.67708333333)</f>
        <v>44119.67708</v>
      </c>
      <c r="F1123" s="26" t="str">
        <f>IFERROR(__xludf.DUMMYFUNCTION("""COMPUTED_VALUE"""),"557058:3124a1f0-e92a-405c-93f2-c1d4e621bc77")</f>
        <v>557058:3124a1f0-e92a-405c-93f2-c1d4e621bc77</v>
      </c>
      <c r="G1123" s="26" t="str">
        <f>IFERROR(__xludf.DUMMYFUNCTION("""COMPUTED_VALUE"""),"Trevor Coehoorn")</f>
        <v>Trevor Coehoorn</v>
      </c>
      <c r="H1123" s="26" t="b">
        <v>0</v>
      </c>
    </row>
    <row r="1124" hidden="1">
      <c r="A1124" s="26" t="str">
        <f>VLOOKUP(B1124,'2020 SRED (JIRA) - Issues and l'!$B:$C,2,FALSE)</f>
        <v>insite-event-SRED</v>
      </c>
      <c r="B1124" s="27" t="str">
        <f>IFERROR(__xludf.DUMMYFUNCTION("""COMPUTED_VALUE"""),"ZAPI-135")</f>
        <v>ZAPI-135</v>
      </c>
      <c r="C1124" s="26" t="str">
        <f>IFERROR(__xludf.DUMMYFUNCTION("""COMPUTED_VALUE"""),"Make meeting registration approval link easier to understand")</f>
        <v>Make meeting registration approval link easier to understand</v>
      </c>
      <c r="D1124" s="28">
        <f>IFERROR(__xludf.DUMMYFUNCTION("""COMPUTED_VALUE"""),0.25)</f>
        <v>0.25</v>
      </c>
      <c r="E1124" s="29">
        <f>IFERROR(__xludf.DUMMYFUNCTION("""COMPUTED_VALUE"""),44119.6875)</f>
        <v>44119.6875</v>
      </c>
      <c r="F1124" s="26" t="str">
        <f>IFERROR(__xludf.DUMMYFUNCTION("""COMPUTED_VALUE"""),"557058:3124a1f0-e92a-405c-93f2-c1d4e621bc77")</f>
        <v>557058:3124a1f0-e92a-405c-93f2-c1d4e621bc77</v>
      </c>
      <c r="G1124" s="26" t="str">
        <f>IFERROR(__xludf.DUMMYFUNCTION("""COMPUTED_VALUE"""),"Trevor Coehoorn")</f>
        <v>Trevor Coehoorn</v>
      </c>
      <c r="H1124" s="26" t="b">
        <v>0</v>
      </c>
    </row>
    <row r="1125">
      <c r="A1125" s="26" t="str">
        <f>VLOOKUP(B1125,'2020 SRED (JIRA) - Issues and l'!$B:$C,2,FALSE)</f>
        <v>insite-workflow-SRED</v>
      </c>
      <c r="B1125" s="27" t="str">
        <f>IFERROR(__xludf.DUMMYFUNCTION("""COMPUTED_VALUE"""),"APPS-10")</f>
        <v>APPS-10</v>
      </c>
      <c r="C1125" s="26" t="str">
        <f>IFERROR(__xludf.DUMMYFUNCTION("""COMPUTED_VALUE"""),"Sales Pipeline app (v1)")</f>
        <v>Sales Pipeline app (v1)</v>
      </c>
      <c r="D1125" s="28">
        <f>IFERROR(__xludf.DUMMYFUNCTION("""COMPUTED_VALUE"""),2.0)</f>
        <v>2</v>
      </c>
      <c r="E1125" s="29">
        <f>IFERROR(__xludf.DUMMYFUNCTION("""COMPUTED_VALUE"""),44120.0)</f>
        <v>44120</v>
      </c>
      <c r="F1125" s="26" t="str">
        <f>IFERROR(__xludf.DUMMYFUNCTION("""COMPUTED_VALUE"""),"557058:ed1ddc66-d84d-405c-a815-0fcc6147ba14")</f>
        <v>557058:ed1ddc66-d84d-405c-a815-0fcc6147ba14</v>
      </c>
      <c r="G1125" s="26" t="str">
        <f>IFERROR(__xludf.DUMMYFUNCTION("""COMPUTED_VALUE"""),"Mark Corrigan")</f>
        <v>Mark Corrigan</v>
      </c>
      <c r="H1125" s="26" t="b">
        <v>0</v>
      </c>
    </row>
    <row r="1126">
      <c r="A1126" s="26" t="str">
        <f>VLOOKUP(B1126,'2020 SRED (JIRA) - Issues and l'!$B:$C,2,FALSE)</f>
        <v>insite-workflow-SRED</v>
      </c>
      <c r="B1126" s="27" t="str">
        <f>IFERROR(__xludf.DUMMYFUNCTION("""COMPUTED_VALUE"""),"APPS-254")</f>
        <v>APPS-254</v>
      </c>
      <c r="C1126" s="26" t="str">
        <f>IFERROR(__xludf.DUMMYFUNCTION("""COMPUTED_VALUE"""),"As a salesperson, I can define canned touchpoint inclusions and insert them into touchpoint form")</f>
        <v>As a salesperson, I can define canned touchpoint inclusions and insert them into touchpoint form</v>
      </c>
      <c r="D1126" s="28">
        <f>IFERROR(__xludf.DUMMYFUNCTION("""COMPUTED_VALUE"""),0.5)</f>
        <v>0.5</v>
      </c>
      <c r="E1126" s="29">
        <f>IFERROR(__xludf.DUMMYFUNCTION("""COMPUTED_VALUE"""),44120.0)</f>
        <v>44120</v>
      </c>
      <c r="F1126" s="26" t="str">
        <f>IFERROR(__xludf.DUMMYFUNCTION("""COMPUTED_VALUE"""),"557058:ed1ddc66-d84d-405c-a815-0fcc6147ba14")</f>
        <v>557058:ed1ddc66-d84d-405c-a815-0fcc6147ba14</v>
      </c>
      <c r="G1126" s="26" t="str">
        <f>IFERROR(__xludf.DUMMYFUNCTION("""COMPUTED_VALUE"""),"Mark Corrigan")</f>
        <v>Mark Corrigan</v>
      </c>
      <c r="H1126" s="26" t="b">
        <v>0</v>
      </c>
    </row>
    <row r="1127">
      <c r="A1127" s="26" t="str">
        <f>VLOOKUP(B1127,'2020 SRED (JIRA) - Issues and l'!$B:$C,2,FALSE)</f>
        <v>insite-workflow-SRED</v>
      </c>
      <c r="B1127" s="27" t="str">
        <f>IFERROR(__xludf.DUMMYFUNCTION("""COMPUTED_VALUE"""),"APPS-435")</f>
        <v>APPS-435</v>
      </c>
      <c r="C1127" s="26" t="str">
        <f>IFERROR(__xludf.DUMMYFUNCTION("""COMPUTED_VALUE"""),"Troubleshoot AppSheet iframe not showing in Safari")</f>
        <v>Troubleshoot AppSheet iframe not showing in Safari</v>
      </c>
      <c r="D1127" s="28">
        <f>IFERROR(__xludf.DUMMYFUNCTION("""COMPUTED_VALUE"""),0.25)</f>
        <v>0.25</v>
      </c>
      <c r="E1127" s="29">
        <f>IFERROR(__xludf.DUMMYFUNCTION("""COMPUTED_VALUE"""),44120.0)</f>
        <v>44120</v>
      </c>
      <c r="F1127" s="26" t="str">
        <f>IFERROR(__xludf.DUMMYFUNCTION("""COMPUTED_VALUE"""),"557058:ed1ddc66-d84d-405c-a815-0fcc6147ba14")</f>
        <v>557058:ed1ddc66-d84d-405c-a815-0fcc6147ba14</v>
      </c>
      <c r="G1127" s="26" t="str">
        <f>IFERROR(__xludf.DUMMYFUNCTION("""COMPUTED_VALUE"""),"Mark Corrigan")</f>
        <v>Mark Corrigan</v>
      </c>
      <c r="H1127" s="26" t="b">
        <v>0</v>
      </c>
    </row>
    <row r="1128">
      <c r="A1128" s="26" t="str">
        <f>VLOOKUP(B1128,'2020 SRED (JIRA) - Issues and l'!$B:$C,2,FALSE)</f>
        <v>insite-workflow-SRED</v>
      </c>
      <c r="B1128" s="27" t="str">
        <f>IFERROR(__xludf.DUMMYFUNCTION("""COMPUTED_VALUE"""),"APPS-375")</f>
        <v>APPS-375</v>
      </c>
      <c r="C1128" s="26" t="str">
        <f>IFERROR(__xludf.DUMMYFUNCTION("""COMPUTED_VALUE"""),"As a salesperson, I can associate add-ons and reductions with products")</f>
        <v>As a salesperson, I can associate add-ons and reductions with products</v>
      </c>
      <c r="D1128" s="28">
        <f>IFERROR(__xludf.DUMMYFUNCTION("""COMPUTED_VALUE"""),0.5)</f>
        <v>0.5</v>
      </c>
      <c r="E1128" s="29">
        <f>IFERROR(__xludf.DUMMYFUNCTION("""COMPUTED_VALUE"""),44120.0)</f>
        <v>44120</v>
      </c>
      <c r="F1128" s="26" t="str">
        <f>IFERROR(__xludf.DUMMYFUNCTION("""COMPUTED_VALUE"""),"557058:ed1ddc66-d84d-405c-a815-0fcc6147ba14")</f>
        <v>557058:ed1ddc66-d84d-405c-a815-0fcc6147ba14</v>
      </c>
      <c r="G1128" s="26" t="str">
        <f>IFERROR(__xludf.DUMMYFUNCTION("""COMPUTED_VALUE"""),"Mark Corrigan")</f>
        <v>Mark Corrigan</v>
      </c>
      <c r="H1128" s="26" t="b">
        <v>0</v>
      </c>
    </row>
    <row r="1129" hidden="1">
      <c r="A1129" s="26" t="str">
        <f>VLOOKUP(B1129,'2020 SRED (JIRA) - Issues and l'!$B:$C,2,FALSE)</f>
        <v>insite-workflow-SRED</v>
      </c>
      <c r="B1129" s="27" t="str">
        <f>IFERROR(__xludf.DUMMYFUNCTION("""COMPUTED_VALUE"""),"APPS-473")</f>
        <v>APPS-473</v>
      </c>
      <c r="C1129" s="26" t="str">
        <f>IFERROR(__xludf.DUMMYFUNCTION("""COMPUTED_VALUE"""),"Onboarding checklist")</f>
        <v>Onboarding checklist</v>
      </c>
      <c r="D1129" s="28">
        <f>IFERROR(__xludf.DUMMYFUNCTION("""COMPUTED_VALUE"""),7.0)</f>
        <v>7</v>
      </c>
      <c r="E1129" s="29">
        <f>IFERROR(__xludf.DUMMYFUNCTION("""COMPUTED_VALUE"""),44120.0)</f>
        <v>44120</v>
      </c>
      <c r="F1129" s="26" t="str">
        <f>IFERROR(__xludf.DUMMYFUNCTION("""COMPUTED_VALUE"""),"5ee7b6ce868ce30ac49e2521")</f>
        <v>5ee7b6ce868ce30ac49e2521</v>
      </c>
      <c r="G1129" s="26" t="str">
        <f>IFERROR(__xludf.DUMMYFUNCTION("""COMPUTED_VALUE"""),"Bryan Le")</f>
        <v>Bryan Le</v>
      </c>
      <c r="H1129" s="26" t="b">
        <v>0</v>
      </c>
    </row>
    <row r="1130" hidden="1">
      <c r="A1130" s="26" t="str">
        <f>VLOOKUP(B1130,'2020 SRED (JIRA) - Issues and l'!$B:$C,2,FALSE)</f>
        <v>insite-workflow-SRED</v>
      </c>
      <c r="B1130" s="27" t="str">
        <f>IFERROR(__xludf.DUMMYFUNCTION("""COMPUTED_VALUE"""),"APPS-388")</f>
        <v>APPS-388</v>
      </c>
      <c r="C1130" s="26" t="str">
        <f>IFERROR(__xludf.DUMMYFUNCTION("""COMPUTED_VALUE"""),"Cleanup tasks")</f>
        <v>Cleanup tasks</v>
      </c>
      <c r="D1130" s="28">
        <f>IFERROR(__xludf.DUMMYFUNCTION("""COMPUTED_VALUE"""),7.0)</f>
        <v>7</v>
      </c>
      <c r="E1130" s="29">
        <f>IFERROR(__xludf.DUMMYFUNCTION("""COMPUTED_VALUE"""),44120.0)</f>
        <v>44120</v>
      </c>
      <c r="F1130" s="26" t="str">
        <f>IFERROR(__xludf.DUMMYFUNCTION("""COMPUTED_VALUE"""),"5ee7b6cf02b4400ac4b65399")</f>
        <v>5ee7b6cf02b4400ac4b65399</v>
      </c>
      <c r="G1130" s="26" t="str">
        <f>IFERROR(__xludf.DUMMYFUNCTION("""COMPUTED_VALUE"""),"Jessica Obando")</f>
        <v>Jessica Obando</v>
      </c>
      <c r="H1130" s="26" t="b">
        <v>0</v>
      </c>
    </row>
    <row r="1131" hidden="1">
      <c r="A1131" s="26" t="str">
        <f>VLOOKUP(B1131,'2020 SRED (JIRA) - Issues and l'!$B:$C,2,FALSE)</f>
        <v>insite-event-SRED</v>
      </c>
      <c r="B1131" s="27" t="str">
        <f>IFERROR(__xludf.DUMMYFUNCTION("""COMPUTED_VALUE"""),"ZAPI-139")</f>
        <v>ZAPI-139</v>
      </c>
      <c r="C1131" s="26" t="str">
        <f>IFERROR(__xludf.DUMMYFUNCTION("""COMPUTED_VALUE"""),"Join and leaving time should be in EST timezone")</f>
        <v>Join and leaving time should be in EST timezone</v>
      </c>
      <c r="D1131" s="28">
        <f>IFERROR(__xludf.DUMMYFUNCTION("""COMPUTED_VALUE"""),0.75)</f>
        <v>0.75</v>
      </c>
      <c r="E1131" s="29">
        <f>IFERROR(__xludf.DUMMYFUNCTION("""COMPUTED_VALUE"""),44120.35416666667)</f>
        <v>44120.35417</v>
      </c>
      <c r="F1131" s="26" t="str">
        <f>IFERROR(__xludf.DUMMYFUNCTION("""COMPUTED_VALUE"""),"557058:3124a1f0-e92a-405c-93f2-c1d4e621bc77")</f>
        <v>557058:3124a1f0-e92a-405c-93f2-c1d4e621bc77</v>
      </c>
      <c r="G1131" s="26" t="str">
        <f>IFERROR(__xludf.DUMMYFUNCTION("""COMPUTED_VALUE"""),"Trevor Coehoorn")</f>
        <v>Trevor Coehoorn</v>
      </c>
      <c r="H1131" s="26" t="b">
        <v>0</v>
      </c>
    </row>
    <row r="1132" hidden="1">
      <c r="A1132" s="26" t="str">
        <f>VLOOKUP(B1132,'2020 SRED (JIRA) - Issues and l'!$B:$C,2,FALSE)</f>
        <v>insite-event-SRED</v>
      </c>
      <c r="B1132" s="27" t="str">
        <f>IFERROR(__xludf.DUMMYFUNCTION("""COMPUTED_VALUE"""),"ZAPI-13")</f>
        <v>ZAPI-13</v>
      </c>
      <c r="C1132" s="26" t="str">
        <f>IFERROR(__xludf.DUMMYFUNCTION("""COMPUTED_VALUE"""),"As an attendee, I can access meeting/webinar recordings via the portal")</f>
        <v>As an attendee, I can access meeting/webinar recordings via the portal</v>
      </c>
      <c r="D1132" s="28">
        <f>IFERROR(__xludf.DUMMYFUNCTION("""COMPUTED_VALUE"""),0.25)</f>
        <v>0.25</v>
      </c>
      <c r="E1132" s="29">
        <f>IFERROR(__xludf.DUMMYFUNCTION("""COMPUTED_VALUE"""),44120.38541666667)</f>
        <v>44120.38542</v>
      </c>
      <c r="F1132" s="26" t="str">
        <f>IFERROR(__xludf.DUMMYFUNCTION("""COMPUTED_VALUE"""),"557058:3124a1f0-e92a-405c-93f2-c1d4e621bc77")</f>
        <v>557058:3124a1f0-e92a-405c-93f2-c1d4e621bc77</v>
      </c>
      <c r="G1132" s="26" t="str">
        <f>IFERROR(__xludf.DUMMYFUNCTION("""COMPUTED_VALUE"""),"Trevor Coehoorn")</f>
        <v>Trevor Coehoorn</v>
      </c>
      <c r="H1132" s="26" t="b">
        <v>0</v>
      </c>
    </row>
    <row r="1133" hidden="1">
      <c r="A1133" s="26" t="str">
        <f>VLOOKUP(B1133,'2020 SRED (JIRA) - Issues and l'!$B:$C,2,FALSE)</f>
        <v>insite-event-SRED</v>
      </c>
      <c r="B1133" s="27" t="str">
        <f>IFERROR(__xludf.DUMMYFUNCTION("""COMPUTED_VALUE"""),"ZAPI-13")</f>
        <v>ZAPI-13</v>
      </c>
      <c r="C1133" s="26" t="str">
        <f>IFERROR(__xludf.DUMMYFUNCTION("""COMPUTED_VALUE"""),"As an attendee, I can access meeting/webinar recordings via the portal")</f>
        <v>As an attendee, I can access meeting/webinar recordings via the portal</v>
      </c>
      <c r="D1133" s="28">
        <f>IFERROR(__xludf.DUMMYFUNCTION("""COMPUTED_VALUE"""),0.75)</f>
        <v>0.75</v>
      </c>
      <c r="E1133" s="29">
        <f>IFERROR(__xludf.DUMMYFUNCTION("""COMPUTED_VALUE"""),44120.39583333333)</f>
        <v>44120.39583</v>
      </c>
      <c r="F1133" s="26" t="str">
        <f>IFERROR(__xludf.DUMMYFUNCTION("""COMPUTED_VALUE"""),"557058:3124a1f0-e92a-405c-93f2-c1d4e621bc77")</f>
        <v>557058:3124a1f0-e92a-405c-93f2-c1d4e621bc77</v>
      </c>
      <c r="G1133" s="26" t="str">
        <f>IFERROR(__xludf.DUMMYFUNCTION("""COMPUTED_VALUE"""),"Trevor Coehoorn")</f>
        <v>Trevor Coehoorn</v>
      </c>
      <c r="H1133" s="26" t="b">
        <v>0</v>
      </c>
    </row>
    <row r="1134" hidden="1">
      <c r="A1134" s="26" t="str">
        <f>VLOOKUP(B1134,'2020 SRED (JIRA) - Issues and l'!$B:$C,2,FALSE)</f>
        <v>insite-event-SRED</v>
      </c>
      <c r="B1134" s="27" t="str">
        <f>IFERROR(__xludf.DUMMYFUNCTION("""COMPUTED_VALUE"""),"ZAPI-13")</f>
        <v>ZAPI-13</v>
      </c>
      <c r="C1134" s="26" t="str">
        <f>IFERROR(__xludf.DUMMYFUNCTION("""COMPUTED_VALUE"""),"As an attendee, I can access meeting/webinar recordings via the portal")</f>
        <v>As an attendee, I can access meeting/webinar recordings via the portal</v>
      </c>
      <c r="D1134" s="28">
        <f>IFERROR(__xludf.DUMMYFUNCTION("""COMPUTED_VALUE"""),0.5)</f>
        <v>0.5</v>
      </c>
      <c r="E1134" s="29">
        <f>IFERROR(__xludf.DUMMYFUNCTION("""COMPUTED_VALUE"""),44120.4375)</f>
        <v>44120.4375</v>
      </c>
      <c r="F1134" s="26" t="str">
        <f>IFERROR(__xludf.DUMMYFUNCTION("""COMPUTED_VALUE"""),"557058:3124a1f0-e92a-405c-93f2-c1d4e621bc77")</f>
        <v>557058:3124a1f0-e92a-405c-93f2-c1d4e621bc77</v>
      </c>
      <c r="G1134" s="26" t="str">
        <f>IFERROR(__xludf.DUMMYFUNCTION("""COMPUTED_VALUE"""),"Trevor Coehoorn")</f>
        <v>Trevor Coehoorn</v>
      </c>
      <c r="H1134" s="26" t="b">
        <v>0</v>
      </c>
    </row>
    <row r="1135" hidden="1">
      <c r="A1135" s="26" t="str">
        <f>VLOOKUP(B1135,'2020 SRED (JIRA) - Issues and l'!$B:$C,2,FALSE)</f>
        <v>insite-event-SRED</v>
      </c>
      <c r="B1135" s="27" t="str">
        <f>IFERROR(__xludf.DUMMYFUNCTION("""COMPUTED_VALUE"""),"ZAPI-61")</f>
        <v>ZAPI-61</v>
      </c>
      <c r="C1135" s="26" t="str">
        <f>IFERROR(__xludf.DUMMYFUNCTION("""COMPUTED_VALUE"""),"As an Impetus staff member, I can view all scheduled client meetings, dry runs, etc. and their meeting IDs, portal links to join, Impetus resources, etc.")</f>
        <v>As an Impetus staff member, I can view all scheduled client meetings, dry runs, etc. and their meeting IDs, portal links to join, Impetus resources, etc.</v>
      </c>
      <c r="D1135" s="28">
        <f>IFERROR(__xludf.DUMMYFUNCTION("""COMPUTED_VALUE"""),1.25)</f>
        <v>1.25</v>
      </c>
      <c r="E1135" s="29">
        <f>IFERROR(__xludf.DUMMYFUNCTION("""COMPUTED_VALUE"""),44120.45833333333)</f>
        <v>44120.45833</v>
      </c>
      <c r="F1135" s="26" t="str">
        <f>IFERROR(__xludf.DUMMYFUNCTION("""COMPUTED_VALUE"""),"557058:3124a1f0-e92a-405c-93f2-c1d4e621bc77")</f>
        <v>557058:3124a1f0-e92a-405c-93f2-c1d4e621bc77</v>
      </c>
      <c r="G1135" s="26" t="str">
        <f>IFERROR(__xludf.DUMMYFUNCTION("""COMPUTED_VALUE"""),"Trevor Coehoorn")</f>
        <v>Trevor Coehoorn</v>
      </c>
      <c r="H1135" s="26" t="b">
        <v>0</v>
      </c>
    </row>
    <row r="1136" hidden="1">
      <c r="A1136" s="26" t="str">
        <f>VLOOKUP(B1136,'2020 SRED (JIRA) - Issues and l'!$B:$C,2,FALSE)</f>
        <v>insite-workflow-SRED</v>
      </c>
      <c r="B1136" s="27" t="str">
        <f>IFERROR(__xludf.DUMMYFUNCTION("""COMPUTED_VALUE"""),"APPS-463")</f>
        <v>APPS-463</v>
      </c>
      <c r="C1136" s="26" t="str">
        <f>IFERROR(__xludf.DUMMYFUNCTION("""COMPUTED_VALUE"""),"Data modelling and project planning for Impetus IT/HR app")</f>
        <v>Data modelling and project planning for Impetus IT/HR app</v>
      </c>
      <c r="D1136" s="28">
        <f>IFERROR(__xludf.DUMMYFUNCTION("""COMPUTED_VALUE"""),0.5)</f>
        <v>0.5</v>
      </c>
      <c r="E1136" s="29">
        <f>IFERROR(__xludf.DUMMYFUNCTION("""COMPUTED_VALUE"""),44120.5)</f>
        <v>44120.5</v>
      </c>
      <c r="F1136" s="26" t="str">
        <f>IFERROR(__xludf.DUMMYFUNCTION("""COMPUTED_VALUE"""),"5ec3f07a5269230c34d51fd3")</f>
        <v>5ec3f07a5269230c34d51fd3</v>
      </c>
      <c r="G1136" s="26" t="str">
        <f>IFERROR(__xludf.DUMMYFUNCTION("""COMPUTED_VALUE"""),"Nikita Kuzmin")</f>
        <v>Nikita Kuzmin</v>
      </c>
      <c r="H1136" s="26" t="b">
        <v>0</v>
      </c>
    </row>
    <row r="1137" hidden="1">
      <c r="A1137" s="26" t="str">
        <f>VLOOKUP(B1137,'2020 SRED (JIRA) - Issues and l'!$B:$C,2,FALSE)</f>
        <v>insite-event-SRED</v>
      </c>
      <c r="B1137" s="27" t="str">
        <f>IFERROR(__xludf.DUMMYFUNCTION("""COMPUTED_VALUE"""),"ZAPI-61")</f>
        <v>ZAPI-61</v>
      </c>
      <c r="C1137" s="26" t="str">
        <f>IFERROR(__xludf.DUMMYFUNCTION("""COMPUTED_VALUE"""),"As an Impetus staff member, I can view all scheduled client meetings, dry runs, etc. and their meeting IDs, portal links to join, Impetus resources, etc.")</f>
        <v>As an Impetus staff member, I can view all scheduled client meetings, dry runs, etc. and their meeting IDs, portal links to join, Impetus resources, etc.</v>
      </c>
      <c r="D1137" s="28">
        <f>IFERROR(__xludf.DUMMYFUNCTION("""COMPUTED_VALUE"""),4.0)</f>
        <v>4</v>
      </c>
      <c r="E1137" s="29">
        <f>IFERROR(__xludf.DUMMYFUNCTION("""COMPUTED_VALUE"""),44120.54166666667)</f>
        <v>44120.54167</v>
      </c>
      <c r="F1137" s="26" t="str">
        <f>IFERROR(__xludf.DUMMYFUNCTION("""COMPUTED_VALUE"""),"557058:3124a1f0-e92a-405c-93f2-c1d4e621bc77")</f>
        <v>557058:3124a1f0-e92a-405c-93f2-c1d4e621bc77</v>
      </c>
      <c r="G1137" s="26" t="str">
        <f>IFERROR(__xludf.DUMMYFUNCTION("""COMPUTED_VALUE"""),"Trevor Coehoorn")</f>
        <v>Trevor Coehoorn</v>
      </c>
      <c r="H1137" s="26" t="b">
        <v>0</v>
      </c>
    </row>
    <row r="1138" hidden="1">
      <c r="A1138" s="26" t="str">
        <f>VLOOKUP(B1138,'2020 SRED (JIRA) - Issues and l'!$B:$C,2,FALSE)</f>
        <v>insite-workflow-SRED</v>
      </c>
      <c r="B1138" s="27" t="str">
        <f>IFERROR(__xludf.DUMMYFUNCTION("""COMPUTED_VALUE"""),"APPS-463")</f>
        <v>APPS-463</v>
      </c>
      <c r="C1138" s="26" t="str">
        <f>IFERROR(__xludf.DUMMYFUNCTION("""COMPUTED_VALUE"""),"Data modelling and project planning for Impetus IT/HR app")</f>
        <v>Data modelling and project planning for Impetus IT/HR app</v>
      </c>
      <c r="D1138" s="28">
        <f>IFERROR(__xludf.DUMMYFUNCTION("""COMPUTED_VALUE"""),0.5)</f>
        <v>0.5</v>
      </c>
      <c r="E1138" s="29">
        <f>IFERROR(__xludf.DUMMYFUNCTION("""COMPUTED_VALUE"""),44120.64583333333)</f>
        <v>44120.64583</v>
      </c>
      <c r="F1138" s="26" t="str">
        <f>IFERROR(__xludf.DUMMYFUNCTION("""COMPUTED_VALUE"""),"5ec3f07a5269230c34d51fd3")</f>
        <v>5ec3f07a5269230c34d51fd3</v>
      </c>
      <c r="G1138" s="26" t="str">
        <f>IFERROR(__xludf.DUMMYFUNCTION("""COMPUTED_VALUE"""),"Nikita Kuzmin")</f>
        <v>Nikita Kuzmin</v>
      </c>
      <c r="H1138" s="26" t="b">
        <v>0</v>
      </c>
    </row>
    <row r="1139">
      <c r="A1139" s="26" t="str">
        <f>VLOOKUP(B1139,'2020 SRED (JIRA) - Issues and l'!$B:$C,2,FALSE)</f>
        <v>insite-workflow-SRED</v>
      </c>
      <c r="B1139" s="27" t="str">
        <f>IFERROR(__xludf.DUMMYFUNCTION("""COMPUTED_VALUE"""),"APPS-10")</f>
        <v>APPS-10</v>
      </c>
      <c r="C1139" s="26" t="str">
        <f>IFERROR(__xludf.DUMMYFUNCTION("""COMPUTED_VALUE"""),"Sales Pipeline app (v1)")</f>
        <v>Sales Pipeline app (v1)</v>
      </c>
      <c r="D1139" s="28">
        <f>IFERROR(__xludf.DUMMYFUNCTION("""COMPUTED_VALUE"""),1.0)</f>
        <v>1</v>
      </c>
      <c r="E1139" s="29">
        <f>IFERROR(__xludf.DUMMYFUNCTION("""COMPUTED_VALUE"""),44121.0)</f>
        <v>44121</v>
      </c>
      <c r="F1139" s="26" t="str">
        <f>IFERROR(__xludf.DUMMYFUNCTION("""COMPUTED_VALUE"""),"557058:ed1ddc66-d84d-405c-a815-0fcc6147ba14")</f>
        <v>557058:ed1ddc66-d84d-405c-a815-0fcc6147ba14</v>
      </c>
      <c r="G1139" s="26" t="str">
        <f>IFERROR(__xludf.DUMMYFUNCTION("""COMPUTED_VALUE"""),"Mark Corrigan")</f>
        <v>Mark Corrigan</v>
      </c>
      <c r="H1139" s="26" t="b">
        <v>0</v>
      </c>
    </row>
    <row r="1140">
      <c r="A1140" s="26" t="str">
        <f>VLOOKUP(B1140,'2020 SRED (JIRA) - Issues and l'!$B:$C,2,FALSE)</f>
        <v>insite-workflow-SRED</v>
      </c>
      <c r="B1140" s="27" t="str">
        <f>IFERROR(__xludf.DUMMYFUNCTION("""COMPUTED_VALUE"""),"APPS-508")</f>
        <v>APPS-508</v>
      </c>
      <c r="C1140" s="26" t="str">
        <f>IFERROR(__xludf.DUMMYFUNCTION("""COMPUTED_VALUE"""),"Calculating additional fees for duration and participants")</f>
        <v>Calculating additional fees for duration and participants</v>
      </c>
      <c r="D1140" s="28">
        <f>IFERROR(__xludf.DUMMYFUNCTION("""COMPUTED_VALUE"""),0.25)</f>
        <v>0.25</v>
      </c>
      <c r="E1140" s="29">
        <f>IFERROR(__xludf.DUMMYFUNCTION("""COMPUTED_VALUE"""),44123.0)</f>
        <v>44123</v>
      </c>
      <c r="F1140" s="26" t="str">
        <f>IFERROR(__xludf.DUMMYFUNCTION("""COMPUTED_VALUE"""),"557058:ed1ddc66-d84d-405c-a815-0fcc6147ba14")</f>
        <v>557058:ed1ddc66-d84d-405c-a815-0fcc6147ba14</v>
      </c>
      <c r="G1140" s="26" t="str">
        <f>IFERROR(__xludf.DUMMYFUNCTION("""COMPUTED_VALUE"""),"Mark Corrigan")</f>
        <v>Mark Corrigan</v>
      </c>
      <c r="H1140" s="26" t="b">
        <v>0</v>
      </c>
    </row>
    <row r="1141">
      <c r="A1141" s="26" t="str">
        <f>VLOOKUP(B1141,'2020 SRED (JIRA) - Issues and l'!$B:$C,2,FALSE)</f>
        <v>insite-event-SRED</v>
      </c>
      <c r="B1141" s="27" t="str">
        <f>IFERROR(__xludf.DUMMYFUNCTION("""COMPUTED_VALUE"""),"ZAPI-169")</f>
        <v>ZAPI-169</v>
      </c>
      <c r="C1141" s="26" t="str">
        <f>IFERROR(__xludf.DUMMYFUNCTION("""COMPUTED_VALUE"""),"Prevent users from downloading unauthorized recording files")</f>
        <v>Prevent users from downloading unauthorized recording files</v>
      </c>
      <c r="D1141" s="28">
        <f>IFERROR(__xludf.DUMMYFUNCTION("""COMPUTED_VALUE"""),0.25)</f>
        <v>0.25</v>
      </c>
      <c r="E1141" s="29">
        <f>IFERROR(__xludf.DUMMYFUNCTION("""COMPUTED_VALUE"""),44123.0)</f>
        <v>44123</v>
      </c>
      <c r="F1141" s="26" t="str">
        <f>IFERROR(__xludf.DUMMYFUNCTION("""COMPUTED_VALUE"""),"557058:ed1ddc66-d84d-405c-a815-0fcc6147ba14")</f>
        <v>557058:ed1ddc66-d84d-405c-a815-0fcc6147ba14</v>
      </c>
      <c r="G1141" s="26" t="str">
        <f>IFERROR(__xludf.DUMMYFUNCTION("""COMPUTED_VALUE"""),"Mark Corrigan")</f>
        <v>Mark Corrigan</v>
      </c>
      <c r="H1141" s="26" t="b">
        <v>0</v>
      </c>
    </row>
    <row r="1142" hidden="1">
      <c r="A1142" s="26" t="str">
        <f>VLOOKUP(B1142,'2020 SRED (JIRA) - Issues and l'!$B:$C,2,FALSE)</f>
        <v>insite-workflow-SRED</v>
      </c>
      <c r="B1142" s="27" t="str">
        <f>IFERROR(__xludf.DUMMYFUNCTION("""COMPUTED_VALUE"""),"APPS-494")</f>
        <v>APPS-494</v>
      </c>
      <c r="C1142" s="26" t="str">
        <f>IFERROR(__xludf.DUMMYFUNCTION("""COMPUTED_VALUE"""),"Policy tracking")</f>
        <v>Policy tracking</v>
      </c>
      <c r="D1142" s="28">
        <f>IFERROR(__xludf.DUMMYFUNCTION("""COMPUTED_VALUE"""),3.0)</f>
        <v>3</v>
      </c>
      <c r="E1142" s="29">
        <f>IFERROR(__xludf.DUMMYFUNCTION("""COMPUTED_VALUE"""),44123.0)</f>
        <v>44123</v>
      </c>
      <c r="F1142" s="26" t="str">
        <f>IFERROR(__xludf.DUMMYFUNCTION("""COMPUTED_VALUE"""),"5ee7b6ce868ce30ac49e2521")</f>
        <v>5ee7b6ce868ce30ac49e2521</v>
      </c>
      <c r="G1142" s="26" t="str">
        <f>IFERROR(__xludf.DUMMYFUNCTION("""COMPUTED_VALUE"""),"Bryan Le")</f>
        <v>Bryan Le</v>
      </c>
      <c r="H1142" s="26" t="b">
        <v>0</v>
      </c>
    </row>
    <row r="1143" hidden="1">
      <c r="A1143" s="26" t="str">
        <f>VLOOKUP(B1143,'2020 SRED (JIRA) - Issues and l'!$B:$C,2,FALSE)</f>
        <v>insite-workflow-SRED</v>
      </c>
      <c r="B1143" s="27" t="str">
        <f>IFERROR(__xludf.DUMMYFUNCTION("""COMPUTED_VALUE"""),"APPS-254")</f>
        <v>APPS-254</v>
      </c>
      <c r="C1143" s="26" t="str">
        <f>IFERROR(__xludf.DUMMYFUNCTION("""COMPUTED_VALUE"""),"As a salesperson, I can define canned touchpoint inclusions and insert them into touchpoint form")</f>
        <v>As a salesperson, I can define canned touchpoint inclusions and insert them into touchpoint form</v>
      </c>
      <c r="D1143" s="28">
        <f>IFERROR(__xludf.DUMMYFUNCTION("""COMPUTED_VALUE"""),7.0)</f>
        <v>7</v>
      </c>
      <c r="E1143" s="29">
        <f>IFERROR(__xludf.DUMMYFUNCTION("""COMPUTED_VALUE"""),44123.0)</f>
        <v>44123</v>
      </c>
      <c r="F1143" s="26" t="str">
        <f>IFERROR(__xludf.DUMMYFUNCTION("""COMPUTED_VALUE"""),"5ee7b6cf02b4400ac4b65399")</f>
        <v>5ee7b6cf02b4400ac4b65399</v>
      </c>
      <c r="G1143" s="26" t="str">
        <f>IFERROR(__xludf.DUMMYFUNCTION("""COMPUTED_VALUE"""),"Jessica Obando")</f>
        <v>Jessica Obando</v>
      </c>
      <c r="H1143" s="26" t="b">
        <v>0</v>
      </c>
    </row>
    <row r="1144" hidden="1">
      <c r="A1144" s="26" t="str">
        <f>VLOOKUP(B1144,'2020 SRED (JIRA) - Issues and l'!$B:$C,2,FALSE)</f>
        <v>insite-event-SRED</v>
      </c>
      <c r="B1144" s="27" t="str">
        <f>IFERROR(__xludf.DUMMYFUNCTION("""COMPUTED_VALUE"""),"ZAPI-61")</f>
        <v>ZAPI-61</v>
      </c>
      <c r="C1144" s="26" t="str">
        <f>IFERROR(__xludf.DUMMYFUNCTION("""COMPUTED_VALUE"""),"As an Impetus staff member, I can view all scheduled client meetings, dry runs, etc. and their meeting IDs, portal links to join, Impetus resources, etc.")</f>
        <v>As an Impetus staff member, I can view all scheduled client meetings, dry runs, etc. and their meeting IDs, portal links to join, Impetus resources, etc.</v>
      </c>
      <c r="D1144" s="28">
        <f>IFERROR(__xludf.DUMMYFUNCTION("""COMPUTED_VALUE"""),0.25)</f>
        <v>0.25</v>
      </c>
      <c r="E1144" s="29">
        <f>IFERROR(__xludf.DUMMYFUNCTION("""COMPUTED_VALUE"""),44123.5)</f>
        <v>44123.5</v>
      </c>
      <c r="F1144" s="26" t="str">
        <f>IFERROR(__xludf.DUMMYFUNCTION("""COMPUTED_VALUE"""),"557058:3124a1f0-e92a-405c-93f2-c1d4e621bc77")</f>
        <v>557058:3124a1f0-e92a-405c-93f2-c1d4e621bc77</v>
      </c>
      <c r="G1144" s="26" t="str">
        <f>IFERROR(__xludf.DUMMYFUNCTION("""COMPUTED_VALUE"""),"Trevor Coehoorn")</f>
        <v>Trevor Coehoorn</v>
      </c>
      <c r="H1144" s="26" t="b">
        <v>0</v>
      </c>
    </row>
    <row r="1145" hidden="1">
      <c r="A1145" s="26" t="str">
        <f>VLOOKUP(B1145,'2020 SRED (JIRA) - Issues and l'!$B:$C,2,FALSE)</f>
        <v>insite-event-SRED</v>
      </c>
      <c r="B1145" s="27" t="str">
        <f>IFERROR(__xludf.DUMMYFUNCTION("""COMPUTED_VALUE"""),"ZAPI-161")</f>
        <v>ZAPI-161</v>
      </c>
      <c r="C1145" s="26" t="str">
        <f>IFERROR(__xludf.DUMMYFUNCTION("""COMPUTED_VALUE"""),"Illegal choice' validation error when selecting visible reports for a webinar")</f>
        <v>Illegal choice' validation error when selecting visible reports for a webinar</v>
      </c>
      <c r="D1145" s="28">
        <f>IFERROR(__xludf.DUMMYFUNCTION("""COMPUTED_VALUE"""),0.25)</f>
        <v>0.25</v>
      </c>
      <c r="E1145" s="29">
        <f>IFERROR(__xludf.DUMMYFUNCTION("""COMPUTED_VALUE"""),44123.55208333333)</f>
        <v>44123.55208</v>
      </c>
      <c r="F1145" s="26" t="str">
        <f>IFERROR(__xludf.DUMMYFUNCTION("""COMPUTED_VALUE"""),"557058:3124a1f0-e92a-405c-93f2-c1d4e621bc77")</f>
        <v>557058:3124a1f0-e92a-405c-93f2-c1d4e621bc77</v>
      </c>
      <c r="G1145" s="26" t="str">
        <f>IFERROR(__xludf.DUMMYFUNCTION("""COMPUTED_VALUE"""),"Trevor Coehoorn")</f>
        <v>Trevor Coehoorn</v>
      </c>
      <c r="H1145" s="26" t="b">
        <v>0</v>
      </c>
    </row>
    <row r="1146" hidden="1">
      <c r="A1146" s="26" t="str">
        <f>VLOOKUP(B1146,'2020 SRED (JIRA) - Issues and l'!$B:$C,2,FALSE)</f>
        <v>insite-event-SRED</v>
      </c>
      <c r="B1146" s="27" t="str">
        <f>IFERROR(__xludf.DUMMYFUNCTION("""COMPUTED_VALUE"""),"ZAPI-86")</f>
        <v>ZAPI-86</v>
      </c>
      <c r="C1146" s="26" t="str">
        <f>IFERROR(__xludf.DUMMYFUNCTION("""COMPUTED_VALUE"""),"Zoom API v2.2 (Cleanup) 🧹")</f>
        <v>Zoom API v2.2 (Cleanup) 🧹</v>
      </c>
      <c r="D1146" s="28">
        <f>IFERROR(__xludf.DUMMYFUNCTION("""COMPUTED_VALUE"""),1.25)</f>
        <v>1.25</v>
      </c>
      <c r="E1146" s="29">
        <f>IFERROR(__xludf.DUMMYFUNCTION("""COMPUTED_VALUE"""),44123.58333333333)</f>
        <v>44123.58333</v>
      </c>
      <c r="F1146" s="26" t="str">
        <f>IFERROR(__xludf.DUMMYFUNCTION("""COMPUTED_VALUE"""),"557058:3124a1f0-e92a-405c-93f2-c1d4e621bc77")</f>
        <v>557058:3124a1f0-e92a-405c-93f2-c1d4e621bc77</v>
      </c>
      <c r="G1146" s="26" t="str">
        <f>IFERROR(__xludf.DUMMYFUNCTION("""COMPUTED_VALUE"""),"Trevor Coehoorn")</f>
        <v>Trevor Coehoorn</v>
      </c>
      <c r="H1146" s="26" t="b">
        <v>0</v>
      </c>
    </row>
    <row r="1147" hidden="1">
      <c r="A1147" s="26" t="str">
        <f>VLOOKUP(B1147,'2020 SRED (JIRA) - Issues and l'!$B:$C,2,FALSE)</f>
        <v>insite-event-SRED</v>
      </c>
      <c r="B1147" s="27" t="str">
        <f>IFERROR(__xludf.DUMMYFUNCTION("""COMPUTED_VALUE"""),"ZAPI-86")</f>
        <v>ZAPI-86</v>
      </c>
      <c r="C1147" s="26" t="str">
        <f>IFERROR(__xludf.DUMMYFUNCTION("""COMPUTED_VALUE"""),"Zoom API v2.2 (Cleanup) 🧹")</f>
        <v>Zoom API v2.2 (Cleanup) 🧹</v>
      </c>
      <c r="D1147" s="28">
        <f>IFERROR(__xludf.DUMMYFUNCTION("""COMPUTED_VALUE"""),0.5)</f>
        <v>0.5</v>
      </c>
      <c r="E1147" s="29">
        <f>IFERROR(__xludf.DUMMYFUNCTION("""COMPUTED_VALUE"""),44123.63541666667)</f>
        <v>44123.63542</v>
      </c>
      <c r="F1147" s="26" t="str">
        <f>IFERROR(__xludf.DUMMYFUNCTION("""COMPUTED_VALUE"""),"557058:3124a1f0-e92a-405c-93f2-c1d4e621bc77")</f>
        <v>557058:3124a1f0-e92a-405c-93f2-c1d4e621bc77</v>
      </c>
      <c r="G1147" s="26" t="str">
        <f>IFERROR(__xludf.DUMMYFUNCTION("""COMPUTED_VALUE"""),"Trevor Coehoorn")</f>
        <v>Trevor Coehoorn</v>
      </c>
      <c r="H1147" s="26" t="b">
        <v>0</v>
      </c>
    </row>
    <row r="1148" hidden="1">
      <c r="A1148" s="26" t="str">
        <f>VLOOKUP(B1148,'2020 SRED (JIRA) - Issues and l'!$B:$C,2,FALSE)</f>
        <v>portal-builder-SRED</v>
      </c>
      <c r="B1148" s="27" t="str">
        <f>IFERROR(__xludf.DUMMYFUNCTION("""COMPUTED_VALUE"""),"ITP-1874")</f>
        <v>ITP-1874</v>
      </c>
      <c r="C1148" s="26" t="str">
        <f>IFERROR(__xludf.DUMMYFUNCTION("""COMPUTED_VALUE"""),"Multiple webform submission group conditions")</f>
        <v>Multiple webform submission group conditions</v>
      </c>
      <c r="D1148" s="28">
        <f>IFERROR(__xludf.DUMMYFUNCTION("""COMPUTED_VALUE"""),0.5)</f>
        <v>0.5</v>
      </c>
      <c r="E1148" s="29">
        <f>IFERROR(__xludf.DUMMYFUNCTION("""COMPUTED_VALUE"""),44123.67708333333)</f>
        <v>44123.67708</v>
      </c>
      <c r="F1148" s="26" t="str">
        <f>IFERROR(__xludf.DUMMYFUNCTION("""COMPUTED_VALUE"""),"557058:3124a1f0-e92a-405c-93f2-c1d4e621bc77")</f>
        <v>557058:3124a1f0-e92a-405c-93f2-c1d4e621bc77</v>
      </c>
      <c r="G1148" s="26" t="str">
        <f>IFERROR(__xludf.DUMMYFUNCTION("""COMPUTED_VALUE"""),"Trevor Coehoorn")</f>
        <v>Trevor Coehoorn</v>
      </c>
      <c r="H1148" s="26" t="b">
        <v>0</v>
      </c>
    </row>
    <row r="1149">
      <c r="A1149" s="26" t="str">
        <f>VLOOKUP(B1149,'2020 SRED (JIRA) - Issues and l'!$B:$C,2,FALSE)</f>
        <v>insite-workflow-SRED</v>
      </c>
      <c r="B1149" s="27" t="str">
        <f>IFERROR(__xludf.DUMMYFUNCTION("""COMPUTED_VALUE"""),"APPS-507")</f>
        <v>APPS-507</v>
      </c>
      <c r="C1149" s="26" t="str">
        <f>IFERROR(__xludf.DUMMYFUNCTION("""COMPUTED_VALUE"""),"Get up to speed on Google Apps Script for maintenance of proposal builder")</f>
        <v>Get up to speed on Google Apps Script for maintenance of proposal builder</v>
      </c>
      <c r="D1149" s="28">
        <f>IFERROR(__xludf.DUMMYFUNCTION("""COMPUTED_VALUE"""),0.5)</f>
        <v>0.5</v>
      </c>
      <c r="E1149" s="29">
        <f>IFERROR(__xludf.DUMMYFUNCTION("""COMPUTED_VALUE"""),44124.0)</f>
        <v>44124</v>
      </c>
      <c r="F1149" s="26" t="str">
        <f>IFERROR(__xludf.DUMMYFUNCTION("""COMPUTED_VALUE"""),"557058:ed1ddc66-d84d-405c-a815-0fcc6147ba14")</f>
        <v>557058:ed1ddc66-d84d-405c-a815-0fcc6147ba14</v>
      </c>
      <c r="G1149" s="26" t="str">
        <f>IFERROR(__xludf.DUMMYFUNCTION("""COMPUTED_VALUE"""),"Mark Corrigan")</f>
        <v>Mark Corrigan</v>
      </c>
      <c r="H1149" s="26" t="b">
        <v>0</v>
      </c>
    </row>
    <row r="1150">
      <c r="A1150" s="26" t="str">
        <f>VLOOKUP(B1150,'2020 SRED (JIRA) - Issues and l'!$B:$C,2,FALSE)</f>
        <v>insite-workflow-SRED</v>
      </c>
      <c r="B1150" s="27" t="str">
        <f>IFERROR(__xludf.DUMMYFUNCTION("""COMPUTED_VALUE"""),"APPS-10")</f>
        <v>APPS-10</v>
      </c>
      <c r="C1150" s="26" t="str">
        <f>IFERROR(__xludf.DUMMYFUNCTION("""COMPUTED_VALUE"""),"Sales Pipeline app (v1)")</f>
        <v>Sales Pipeline app (v1)</v>
      </c>
      <c r="D1150" s="28">
        <f>IFERROR(__xludf.DUMMYFUNCTION("""COMPUTED_VALUE"""),2.5)</f>
        <v>2.5</v>
      </c>
      <c r="E1150" s="29">
        <f>IFERROR(__xludf.DUMMYFUNCTION("""COMPUTED_VALUE"""),44124.0)</f>
        <v>44124</v>
      </c>
      <c r="F1150" s="26" t="str">
        <f>IFERROR(__xludf.DUMMYFUNCTION("""COMPUTED_VALUE"""),"557058:ed1ddc66-d84d-405c-a815-0fcc6147ba14")</f>
        <v>557058:ed1ddc66-d84d-405c-a815-0fcc6147ba14</v>
      </c>
      <c r="G1150" s="26" t="str">
        <f>IFERROR(__xludf.DUMMYFUNCTION("""COMPUTED_VALUE"""),"Mark Corrigan")</f>
        <v>Mark Corrigan</v>
      </c>
      <c r="H1150" s="26" t="b">
        <v>0</v>
      </c>
    </row>
    <row r="1151">
      <c r="A1151" s="26" t="str">
        <f>VLOOKUP(B1151,'2020 SRED (JIRA) - Issues and l'!$B:$C,2,FALSE)</f>
        <v>insite-event-SRED</v>
      </c>
      <c r="B1151" s="27" t="str">
        <f>IFERROR(__xludf.DUMMYFUNCTION("""COMPUTED_VALUE"""),"EB9-2")</f>
        <v>EB9-2</v>
      </c>
      <c r="C1151" s="26" t="str">
        <f>IFERROR(__xludf.DUMMYFUNCTION("""COMPUTED_VALUE"""),"Drupal 9 Migration Planning")</f>
        <v>Drupal 9 Migration Planning</v>
      </c>
      <c r="D1151" s="28">
        <f>IFERROR(__xludf.DUMMYFUNCTION("""COMPUTED_VALUE"""),0.25)</f>
        <v>0.25</v>
      </c>
      <c r="E1151" s="29">
        <f>IFERROR(__xludf.DUMMYFUNCTION("""COMPUTED_VALUE"""),44124.0)</f>
        <v>44124</v>
      </c>
      <c r="F1151" s="26" t="str">
        <f>IFERROR(__xludf.DUMMYFUNCTION("""COMPUTED_VALUE"""),"557058:ed1ddc66-d84d-405c-a815-0fcc6147ba14")</f>
        <v>557058:ed1ddc66-d84d-405c-a815-0fcc6147ba14</v>
      </c>
      <c r="G1151" s="26" t="str">
        <f>IFERROR(__xludf.DUMMYFUNCTION("""COMPUTED_VALUE"""),"Mark Corrigan")</f>
        <v>Mark Corrigan</v>
      </c>
      <c r="H1151" s="26" t="b">
        <v>0</v>
      </c>
    </row>
    <row r="1152">
      <c r="A1152" s="26" t="str">
        <f>VLOOKUP(B1152,'2020 SRED (JIRA) - Issues and l'!$B:$C,2,FALSE)</f>
        <v>portal-builder-SRED</v>
      </c>
      <c r="B1152" s="27" t="str">
        <f>IFERROR(__xludf.DUMMYFUNCTION("""COMPUTED_VALUE"""),"ITP-1874")</f>
        <v>ITP-1874</v>
      </c>
      <c r="C1152" s="26" t="str">
        <f>IFERROR(__xludf.DUMMYFUNCTION("""COMPUTED_VALUE"""),"Multiple webform submission group conditions")</f>
        <v>Multiple webform submission group conditions</v>
      </c>
      <c r="D1152" s="28">
        <f>IFERROR(__xludf.DUMMYFUNCTION("""COMPUTED_VALUE"""),0.25)</f>
        <v>0.25</v>
      </c>
      <c r="E1152" s="29">
        <f>IFERROR(__xludf.DUMMYFUNCTION("""COMPUTED_VALUE"""),44124.0)</f>
        <v>44124</v>
      </c>
      <c r="F1152" s="26" t="str">
        <f>IFERROR(__xludf.DUMMYFUNCTION("""COMPUTED_VALUE"""),"557058:ed1ddc66-d84d-405c-a815-0fcc6147ba14")</f>
        <v>557058:ed1ddc66-d84d-405c-a815-0fcc6147ba14</v>
      </c>
      <c r="G1152" s="26" t="str">
        <f>IFERROR(__xludf.DUMMYFUNCTION("""COMPUTED_VALUE"""),"Mark Corrigan")</f>
        <v>Mark Corrigan</v>
      </c>
      <c r="H1152" s="26" t="b">
        <v>0</v>
      </c>
    </row>
    <row r="1153">
      <c r="A1153" s="26" t="str">
        <f>VLOOKUP(B1153,'2020 SRED (JIRA) - Issues and l'!$B:$C,2,FALSE)</f>
        <v>insite-event-SRED</v>
      </c>
      <c r="B1153" s="27" t="str">
        <f>IFERROR(__xludf.DUMMYFUNCTION("""COMPUTED_VALUE"""),"ZAPI-86")</f>
        <v>ZAPI-86</v>
      </c>
      <c r="C1153" s="26" t="str">
        <f>IFERROR(__xludf.DUMMYFUNCTION("""COMPUTED_VALUE"""),"Zoom API v2.2 (Cleanup) 🧹")</f>
        <v>Zoom API v2.2 (Cleanup) 🧹</v>
      </c>
      <c r="D1153" s="28">
        <f>IFERROR(__xludf.DUMMYFUNCTION("""COMPUTED_VALUE"""),0.5)</f>
        <v>0.5</v>
      </c>
      <c r="E1153" s="29">
        <f>IFERROR(__xludf.DUMMYFUNCTION("""COMPUTED_VALUE"""),44124.0)</f>
        <v>44124</v>
      </c>
      <c r="F1153" s="26" t="str">
        <f>IFERROR(__xludf.DUMMYFUNCTION("""COMPUTED_VALUE"""),"557058:ed1ddc66-d84d-405c-a815-0fcc6147ba14")</f>
        <v>557058:ed1ddc66-d84d-405c-a815-0fcc6147ba14</v>
      </c>
      <c r="G1153" s="26" t="str">
        <f>IFERROR(__xludf.DUMMYFUNCTION("""COMPUTED_VALUE"""),"Mark Corrigan")</f>
        <v>Mark Corrigan</v>
      </c>
      <c r="H1153" s="26" t="b">
        <v>0</v>
      </c>
    </row>
    <row r="1154" hidden="1">
      <c r="A1154" s="26" t="str">
        <f>VLOOKUP(B1154,'2020 SRED (JIRA) - Issues and l'!$B:$C,2,FALSE)</f>
        <v>insite-workflow-SRED</v>
      </c>
      <c r="B1154" s="27" t="str">
        <f>IFERROR(__xludf.DUMMYFUNCTION("""COMPUTED_VALUE"""),"APPS-507")</f>
        <v>APPS-507</v>
      </c>
      <c r="C1154" s="26" t="str">
        <f>IFERROR(__xludf.DUMMYFUNCTION("""COMPUTED_VALUE"""),"Get up to speed on Google Apps Script for maintenance of proposal builder")</f>
        <v>Get up to speed on Google Apps Script for maintenance of proposal builder</v>
      </c>
      <c r="D1154" s="28">
        <f>IFERROR(__xludf.DUMMYFUNCTION("""COMPUTED_VALUE"""),7.0)</f>
        <v>7</v>
      </c>
      <c r="E1154" s="29">
        <f>IFERROR(__xludf.DUMMYFUNCTION("""COMPUTED_VALUE"""),44124.0)</f>
        <v>44124</v>
      </c>
      <c r="F1154" s="26" t="str">
        <f>IFERROR(__xludf.DUMMYFUNCTION("""COMPUTED_VALUE"""),"5ee7b6ce868ce30ac49e2521")</f>
        <v>5ee7b6ce868ce30ac49e2521</v>
      </c>
      <c r="G1154" s="26" t="str">
        <f>IFERROR(__xludf.DUMMYFUNCTION("""COMPUTED_VALUE"""),"Bryan Le")</f>
        <v>Bryan Le</v>
      </c>
      <c r="H1154" s="26" t="b">
        <v>0</v>
      </c>
    </row>
    <row r="1155" hidden="1">
      <c r="A1155" s="26" t="str">
        <f>VLOOKUP(B1155,'2020 SRED (JIRA) - Issues and l'!$B:$C,2,FALSE)</f>
        <v>insite-workflow-SRED</v>
      </c>
      <c r="B1155" s="27" t="str">
        <f>IFERROR(__xludf.DUMMYFUNCTION("""COMPUTED_VALUE"""),"APPS-480")</f>
        <v>APPS-480</v>
      </c>
      <c r="C1155" s="26" t="str">
        <f>IFERROR(__xludf.DUMMYFUNCTION("""COMPUTED_VALUE"""),"Change secondary header and fix styling for touchpoint inline card view")</f>
        <v>Change secondary header and fix styling for touchpoint inline card view</v>
      </c>
      <c r="D1155" s="28">
        <f>IFERROR(__xludf.DUMMYFUNCTION("""COMPUTED_VALUE"""),7.0)</f>
        <v>7</v>
      </c>
      <c r="E1155" s="29">
        <f>IFERROR(__xludf.DUMMYFUNCTION("""COMPUTED_VALUE"""),44124.0)</f>
        <v>44124</v>
      </c>
      <c r="F1155" s="26" t="str">
        <f>IFERROR(__xludf.DUMMYFUNCTION("""COMPUTED_VALUE"""),"5ee7b6cf02b4400ac4b65399")</f>
        <v>5ee7b6cf02b4400ac4b65399</v>
      </c>
      <c r="G1155" s="26" t="str">
        <f>IFERROR(__xludf.DUMMYFUNCTION("""COMPUTED_VALUE"""),"Jessica Obando")</f>
        <v>Jessica Obando</v>
      </c>
      <c r="H1155" s="26" t="b">
        <v>0</v>
      </c>
    </row>
    <row r="1156" hidden="1">
      <c r="A1156" s="26" t="str">
        <f>VLOOKUP(B1156,'2020 SRED (JIRA) - Issues and l'!$B:$C,2,FALSE)</f>
        <v>portal-builder-SRED</v>
      </c>
      <c r="B1156" s="27" t="str">
        <f>IFERROR(__xludf.DUMMYFUNCTION("""COMPUTED_VALUE"""),"ITP-1874")</f>
        <v>ITP-1874</v>
      </c>
      <c r="C1156" s="26" t="str">
        <f>IFERROR(__xludf.DUMMYFUNCTION("""COMPUTED_VALUE"""),"Multiple webform submission group conditions")</f>
        <v>Multiple webform submission group conditions</v>
      </c>
      <c r="D1156" s="28">
        <f>IFERROR(__xludf.DUMMYFUNCTION("""COMPUTED_VALUE"""),1.75)</f>
        <v>1.75</v>
      </c>
      <c r="E1156" s="29">
        <f>IFERROR(__xludf.DUMMYFUNCTION("""COMPUTED_VALUE"""),44124.33333333333)</f>
        <v>44124.33333</v>
      </c>
      <c r="F1156" s="26" t="str">
        <f>IFERROR(__xludf.DUMMYFUNCTION("""COMPUTED_VALUE"""),"5f5125a6333edb00434bffaf")</f>
        <v>5f5125a6333edb00434bffaf</v>
      </c>
      <c r="G1156" s="26" t="str">
        <f>IFERROR(__xludf.DUMMYFUNCTION("""COMPUTED_VALUE"""),"Terry Waldner")</f>
        <v>Terry Waldner</v>
      </c>
      <c r="H1156" s="26" t="b">
        <v>0</v>
      </c>
    </row>
    <row r="1157" hidden="1">
      <c r="A1157" s="26" t="str">
        <f>VLOOKUP(B1157,'2020 SRED (JIRA) - Issues and l'!$B:$C,2,FALSE)</f>
        <v>insite-event-SRED</v>
      </c>
      <c r="B1157" s="27" t="str">
        <f>IFERROR(__xludf.DUMMYFUNCTION("""COMPUTED_VALUE"""),"ZAPI-86")</f>
        <v>ZAPI-86</v>
      </c>
      <c r="C1157" s="26" t="str">
        <f>IFERROR(__xludf.DUMMYFUNCTION("""COMPUTED_VALUE"""),"Zoom API v2.2 (Cleanup) 🧹")</f>
        <v>Zoom API v2.2 (Cleanup) 🧹</v>
      </c>
      <c r="D1157" s="28">
        <f>IFERROR(__xludf.DUMMYFUNCTION("""COMPUTED_VALUE"""),0.5)</f>
        <v>0.5</v>
      </c>
      <c r="E1157" s="29">
        <f>IFERROR(__xludf.DUMMYFUNCTION("""COMPUTED_VALUE"""),44124.38541666667)</f>
        <v>44124.38542</v>
      </c>
      <c r="F1157" s="26" t="str">
        <f>IFERROR(__xludf.DUMMYFUNCTION("""COMPUTED_VALUE"""),"557058:3124a1f0-e92a-405c-93f2-c1d4e621bc77")</f>
        <v>557058:3124a1f0-e92a-405c-93f2-c1d4e621bc77</v>
      </c>
      <c r="G1157" s="26" t="str">
        <f>IFERROR(__xludf.DUMMYFUNCTION("""COMPUTED_VALUE"""),"Trevor Coehoorn")</f>
        <v>Trevor Coehoorn</v>
      </c>
      <c r="H1157" s="26" t="b">
        <v>0</v>
      </c>
    </row>
    <row r="1158" hidden="1">
      <c r="A1158" s="26" t="str">
        <f>VLOOKUP(B1158,'2020 SRED (JIRA) - Issues and l'!$B:$C,2,FALSE)</f>
        <v>insite-event-SRED</v>
      </c>
      <c r="B1158" s="27" t="str">
        <f>IFERROR(__xludf.DUMMYFUNCTION("""COMPUTED_VALUE"""),"ZAPI-86")</f>
        <v>ZAPI-86</v>
      </c>
      <c r="C1158" s="26" t="str">
        <f>IFERROR(__xludf.DUMMYFUNCTION("""COMPUTED_VALUE"""),"Zoom API v2.2 (Cleanup) 🧹")</f>
        <v>Zoom API v2.2 (Cleanup) 🧹</v>
      </c>
      <c r="D1158" s="28">
        <f>IFERROR(__xludf.DUMMYFUNCTION("""COMPUTED_VALUE"""),0.5)</f>
        <v>0.5</v>
      </c>
      <c r="E1158" s="29">
        <f>IFERROR(__xludf.DUMMYFUNCTION("""COMPUTED_VALUE"""),44124.42708333333)</f>
        <v>44124.42708</v>
      </c>
      <c r="F1158" s="26" t="str">
        <f>IFERROR(__xludf.DUMMYFUNCTION("""COMPUTED_VALUE"""),"557058:3124a1f0-e92a-405c-93f2-c1d4e621bc77")</f>
        <v>557058:3124a1f0-e92a-405c-93f2-c1d4e621bc77</v>
      </c>
      <c r="G1158" s="26" t="str">
        <f>IFERROR(__xludf.DUMMYFUNCTION("""COMPUTED_VALUE"""),"Trevor Coehoorn")</f>
        <v>Trevor Coehoorn</v>
      </c>
      <c r="H1158" s="26" t="b">
        <v>0</v>
      </c>
    </row>
    <row r="1159" hidden="1">
      <c r="A1159" s="26" t="str">
        <f>VLOOKUP(B1159,'2020 SRED (JIRA) - Issues and l'!$B:$C,2,FALSE)</f>
        <v>insite-event-SRED</v>
      </c>
      <c r="B1159" s="27" t="str">
        <f>IFERROR(__xludf.DUMMYFUNCTION("""COMPUTED_VALUE"""),"ZAPI-86")</f>
        <v>ZAPI-86</v>
      </c>
      <c r="C1159" s="26" t="str">
        <f>IFERROR(__xludf.DUMMYFUNCTION("""COMPUTED_VALUE"""),"Zoom API v2.2 (Cleanup) 🧹")</f>
        <v>Zoom API v2.2 (Cleanup) 🧹</v>
      </c>
      <c r="D1159" s="28">
        <f>IFERROR(__xludf.DUMMYFUNCTION("""COMPUTED_VALUE"""),0.25)</f>
        <v>0.25</v>
      </c>
      <c r="E1159" s="29">
        <f>IFERROR(__xludf.DUMMYFUNCTION("""COMPUTED_VALUE"""),44124.44791666667)</f>
        <v>44124.44792</v>
      </c>
      <c r="F1159" s="26" t="str">
        <f>IFERROR(__xludf.DUMMYFUNCTION("""COMPUTED_VALUE"""),"557058:3124a1f0-e92a-405c-93f2-c1d4e621bc77")</f>
        <v>557058:3124a1f0-e92a-405c-93f2-c1d4e621bc77</v>
      </c>
      <c r="G1159" s="26" t="str">
        <f>IFERROR(__xludf.DUMMYFUNCTION("""COMPUTED_VALUE"""),"Trevor Coehoorn")</f>
        <v>Trevor Coehoorn</v>
      </c>
      <c r="H1159" s="26" t="b">
        <v>0</v>
      </c>
    </row>
    <row r="1160" hidden="1">
      <c r="A1160" s="26" t="str">
        <f>VLOOKUP(B1160,'2020 SRED (JIRA) - Issues and l'!$B:$C,2,FALSE)</f>
        <v>portal-builder-SRED</v>
      </c>
      <c r="B1160" s="27" t="str">
        <f>IFERROR(__xludf.DUMMYFUNCTION("""COMPUTED_VALUE"""),"ITP-1874")</f>
        <v>ITP-1874</v>
      </c>
      <c r="C1160" s="26" t="str">
        <f>IFERROR(__xludf.DUMMYFUNCTION("""COMPUTED_VALUE"""),"Multiple webform submission group conditions")</f>
        <v>Multiple webform submission group conditions</v>
      </c>
      <c r="D1160" s="28">
        <f>IFERROR(__xludf.DUMMYFUNCTION("""COMPUTED_VALUE"""),0.25)</f>
        <v>0.25</v>
      </c>
      <c r="E1160" s="29">
        <f>IFERROR(__xludf.DUMMYFUNCTION("""COMPUTED_VALUE"""),44124.47916666667)</f>
        <v>44124.47917</v>
      </c>
      <c r="F1160" s="26" t="str">
        <f>IFERROR(__xludf.DUMMYFUNCTION("""COMPUTED_VALUE"""),"557058:3124a1f0-e92a-405c-93f2-c1d4e621bc77")</f>
        <v>557058:3124a1f0-e92a-405c-93f2-c1d4e621bc77</v>
      </c>
      <c r="G1160" s="26" t="str">
        <f>IFERROR(__xludf.DUMMYFUNCTION("""COMPUTED_VALUE"""),"Trevor Coehoorn")</f>
        <v>Trevor Coehoorn</v>
      </c>
      <c r="H1160" s="26" t="b">
        <v>0</v>
      </c>
    </row>
    <row r="1161" hidden="1">
      <c r="A1161" s="26" t="str">
        <f>VLOOKUP(B1161,'2020 SRED (JIRA) - Issues and l'!$B:$C,2,FALSE)</f>
        <v>insite-event-SRED</v>
      </c>
      <c r="B1161" s="27" t="str">
        <f>IFERROR(__xludf.DUMMYFUNCTION("""COMPUTED_VALUE"""),"ZAPI-86")</f>
        <v>ZAPI-86</v>
      </c>
      <c r="C1161" s="26" t="str">
        <f>IFERROR(__xludf.DUMMYFUNCTION("""COMPUTED_VALUE"""),"Zoom API v2.2 (Cleanup) 🧹")</f>
        <v>Zoom API v2.2 (Cleanup) 🧹</v>
      </c>
      <c r="D1161" s="28">
        <f>IFERROR(__xludf.DUMMYFUNCTION("""COMPUTED_VALUE"""),0.5)</f>
        <v>0.5</v>
      </c>
      <c r="E1161" s="29">
        <f>IFERROR(__xludf.DUMMYFUNCTION("""COMPUTED_VALUE"""),44124.66666666667)</f>
        <v>44124.66667</v>
      </c>
      <c r="F1161" s="26" t="str">
        <f>IFERROR(__xludf.DUMMYFUNCTION("""COMPUTED_VALUE"""),"557058:3124a1f0-e92a-405c-93f2-c1d4e621bc77")</f>
        <v>557058:3124a1f0-e92a-405c-93f2-c1d4e621bc77</v>
      </c>
      <c r="G1161" s="26" t="str">
        <f>IFERROR(__xludf.DUMMYFUNCTION("""COMPUTED_VALUE"""),"Trevor Coehoorn")</f>
        <v>Trevor Coehoorn</v>
      </c>
      <c r="H1161" s="26" t="b">
        <v>0</v>
      </c>
    </row>
    <row r="1162">
      <c r="A1162" s="26" t="str">
        <f>VLOOKUP(B1162,'2020 SRED (JIRA) - Issues and l'!$B:$C,2,FALSE)</f>
        <v>insite-workflow-SRED</v>
      </c>
      <c r="B1162" s="27" t="str">
        <f>IFERROR(__xludf.DUMMYFUNCTION("""COMPUTED_VALUE"""),"APPS-507")</f>
        <v>APPS-507</v>
      </c>
      <c r="C1162" s="26" t="str">
        <f>IFERROR(__xludf.DUMMYFUNCTION("""COMPUTED_VALUE"""),"Get up to speed on Google Apps Script for maintenance of proposal builder")</f>
        <v>Get up to speed on Google Apps Script for maintenance of proposal builder</v>
      </c>
      <c r="D1162" s="28">
        <f>IFERROR(__xludf.DUMMYFUNCTION("""COMPUTED_VALUE"""),0.25)</f>
        <v>0.25</v>
      </c>
      <c r="E1162" s="29">
        <f>IFERROR(__xludf.DUMMYFUNCTION("""COMPUTED_VALUE"""),44125.0)</f>
        <v>44125</v>
      </c>
      <c r="F1162" s="26" t="str">
        <f>IFERROR(__xludf.DUMMYFUNCTION("""COMPUTED_VALUE"""),"557058:ed1ddc66-d84d-405c-a815-0fcc6147ba14")</f>
        <v>557058:ed1ddc66-d84d-405c-a815-0fcc6147ba14</v>
      </c>
      <c r="G1162" s="26" t="str">
        <f>IFERROR(__xludf.DUMMYFUNCTION("""COMPUTED_VALUE"""),"Mark Corrigan")</f>
        <v>Mark Corrigan</v>
      </c>
      <c r="H1162" s="26" t="b">
        <v>0</v>
      </c>
    </row>
    <row r="1163" hidden="1">
      <c r="A1163" s="26" t="str">
        <f>VLOOKUP(B1163,'2020 SRED (JIRA) - Issues and l'!$B:$C,2,FALSE)</f>
        <v>insite-workflow-SRED</v>
      </c>
      <c r="B1163" s="27" t="str">
        <f>IFERROR(__xludf.DUMMYFUNCTION("""COMPUTED_VALUE"""),"APPS-507")</f>
        <v>APPS-507</v>
      </c>
      <c r="C1163" s="26" t="str">
        <f>IFERROR(__xludf.DUMMYFUNCTION("""COMPUTED_VALUE"""),"Get up to speed on Google Apps Script for maintenance of proposal builder")</f>
        <v>Get up to speed on Google Apps Script for maintenance of proposal builder</v>
      </c>
      <c r="D1163" s="28">
        <f>IFERROR(__xludf.DUMMYFUNCTION("""COMPUTED_VALUE"""),7.0)</f>
        <v>7</v>
      </c>
      <c r="E1163" s="29">
        <f>IFERROR(__xludf.DUMMYFUNCTION("""COMPUTED_VALUE"""),44125.0)</f>
        <v>44125</v>
      </c>
      <c r="F1163" s="26" t="str">
        <f>IFERROR(__xludf.DUMMYFUNCTION("""COMPUTED_VALUE"""),"5ee7b6ce868ce30ac49e2521")</f>
        <v>5ee7b6ce868ce30ac49e2521</v>
      </c>
      <c r="G1163" s="26" t="str">
        <f>IFERROR(__xludf.DUMMYFUNCTION("""COMPUTED_VALUE"""),"Bryan Le")</f>
        <v>Bryan Le</v>
      </c>
      <c r="H1163" s="26" t="b">
        <v>0</v>
      </c>
    </row>
    <row r="1164" hidden="1">
      <c r="A1164" s="26" t="str">
        <f>VLOOKUP(B1164,'2020 SRED (JIRA) - Issues and l'!$B:$C,2,FALSE)</f>
        <v>insite-workflow-SRED</v>
      </c>
      <c r="B1164" s="27" t="str">
        <f>IFERROR(__xludf.DUMMYFUNCTION("""COMPUTED_VALUE"""),"APPS-499")</f>
        <v>APPS-499</v>
      </c>
      <c r="C1164" s="26" t="str">
        <f>IFERROR(__xludf.DUMMYFUNCTION("""COMPUTED_VALUE"""),"As a salesperson, if work will take place outside of Canada, I'm warned that additional programming may be required")</f>
        <v>As a salesperson, if work will take place outside of Canada, I'm warned that additional programming may be required</v>
      </c>
      <c r="D1164" s="28">
        <f>IFERROR(__xludf.DUMMYFUNCTION("""COMPUTED_VALUE"""),7.0)</f>
        <v>7</v>
      </c>
      <c r="E1164" s="29">
        <f>IFERROR(__xludf.DUMMYFUNCTION("""COMPUTED_VALUE"""),44125.0)</f>
        <v>44125</v>
      </c>
      <c r="F1164" s="26" t="str">
        <f>IFERROR(__xludf.DUMMYFUNCTION("""COMPUTED_VALUE"""),"5ee7b6cf02b4400ac4b65399")</f>
        <v>5ee7b6cf02b4400ac4b65399</v>
      </c>
      <c r="G1164" s="26" t="str">
        <f>IFERROR(__xludf.DUMMYFUNCTION("""COMPUTED_VALUE"""),"Jessica Obando")</f>
        <v>Jessica Obando</v>
      </c>
      <c r="H1164" s="26" t="b">
        <v>0</v>
      </c>
    </row>
    <row r="1165" hidden="1">
      <c r="A1165" s="26" t="str">
        <f>VLOOKUP(B1165,'2020 SRED (JIRA) - Issues and l'!$B:$C,2,FALSE)</f>
        <v>insite-event-SRED</v>
      </c>
      <c r="B1165" s="27" t="str">
        <f>IFERROR(__xludf.DUMMYFUNCTION("""COMPUTED_VALUE"""),"ZAPI-86")</f>
        <v>ZAPI-86</v>
      </c>
      <c r="C1165" s="26" t="str">
        <f>IFERROR(__xludf.DUMMYFUNCTION("""COMPUTED_VALUE"""),"Zoom API v2.2 (Cleanup) 🧹")</f>
        <v>Zoom API v2.2 (Cleanup) 🧹</v>
      </c>
      <c r="D1165" s="28">
        <f>IFERROR(__xludf.DUMMYFUNCTION("""COMPUTED_VALUE"""),0.5)</f>
        <v>0.5</v>
      </c>
      <c r="E1165" s="29">
        <f>IFERROR(__xludf.DUMMYFUNCTION("""COMPUTED_VALUE"""),44125.38541666667)</f>
        <v>44125.38542</v>
      </c>
      <c r="F1165" s="26" t="str">
        <f>IFERROR(__xludf.DUMMYFUNCTION("""COMPUTED_VALUE"""),"557058:3124a1f0-e92a-405c-93f2-c1d4e621bc77")</f>
        <v>557058:3124a1f0-e92a-405c-93f2-c1d4e621bc77</v>
      </c>
      <c r="G1165" s="26" t="str">
        <f>IFERROR(__xludf.DUMMYFUNCTION("""COMPUTED_VALUE"""),"Trevor Coehoorn")</f>
        <v>Trevor Coehoorn</v>
      </c>
      <c r="H1165" s="26" t="b">
        <v>0</v>
      </c>
    </row>
    <row r="1166" hidden="1">
      <c r="A1166" s="26" t="str">
        <f>VLOOKUP(B1166,'2020 SRED (JIRA) - Issues and l'!$B:$C,2,FALSE)</f>
        <v>insite-event-SRED</v>
      </c>
      <c r="B1166" s="27" t="str">
        <f>IFERROR(__xludf.DUMMYFUNCTION("""COMPUTED_VALUE"""),"ZAPI-169")</f>
        <v>ZAPI-169</v>
      </c>
      <c r="C1166" s="26" t="str">
        <f>IFERROR(__xludf.DUMMYFUNCTION("""COMPUTED_VALUE"""),"Prevent users from downloading unauthorized recording files")</f>
        <v>Prevent users from downloading unauthorized recording files</v>
      </c>
      <c r="D1166" s="28">
        <f>IFERROR(__xludf.DUMMYFUNCTION("""COMPUTED_VALUE"""),2.0)</f>
        <v>2</v>
      </c>
      <c r="E1166" s="29">
        <f>IFERROR(__xludf.DUMMYFUNCTION("""COMPUTED_VALUE"""),44125.42708333333)</f>
        <v>44125.42708</v>
      </c>
      <c r="F1166" s="26" t="str">
        <f>IFERROR(__xludf.DUMMYFUNCTION("""COMPUTED_VALUE"""),"557058:3124a1f0-e92a-405c-93f2-c1d4e621bc77")</f>
        <v>557058:3124a1f0-e92a-405c-93f2-c1d4e621bc77</v>
      </c>
      <c r="G1166" s="26" t="str">
        <f>IFERROR(__xludf.DUMMYFUNCTION("""COMPUTED_VALUE"""),"Trevor Coehoorn")</f>
        <v>Trevor Coehoorn</v>
      </c>
      <c r="H1166" s="26" t="b">
        <v>0</v>
      </c>
    </row>
    <row r="1167" hidden="1">
      <c r="A1167" s="26" t="str">
        <f>VLOOKUP(B1167,'2020 SRED (JIRA) - Issues and l'!$B:$C,2,FALSE)</f>
        <v>insite-event-SRED</v>
      </c>
      <c r="B1167" s="27" t="str">
        <f>IFERROR(__xludf.DUMMYFUNCTION("""COMPUTED_VALUE"""),"ZAPI-169")</f>
        <v>ZAPI-169</v>
      </c>
      <c r="C1167" s="26" t="str">
        <f>IFERROR(__xludf.DUMMYFUNCTION("""COMPUTED_VALUE"""),"Prevent users from downloading unauthorized recording files")</f>
        <v>Prevent users from downloading unauthorized recording files</v>
      </c>
      <c r="D1167" s="28">
        <f>IFERROR(__xludf.DUMMYFUNCTION("""COMPUTED_VALUE"""),3.0)</f>
        <v>3</v>
      </c>
      <c r="E1167" s="29">
        <f>IFERROR(__xludf.DUMMYFUNCTION("""COMPUTED_VALUE"""),44125.55208333333)</f>
        <v>44125.55208</v>
      </c>
      <c r="F1167" s="26" t="str">
        <f>IFERROR(__xludf.DUMMYFUNCTION("""COMPUTED_VALUE"""),"557058:3124a1f0-e92a-405c-93f2-c1d4e621bc77")</f>
        <v>557058:3124a1f0-e92a-405c-93f2-c1d4e621bc77</v>
      </c>
      <c r="G1167" s="26" t="str">
        <f>IFERROR(__xludf.DUMMYFUNCTION("""COMPUTED_VALUE"""),"Trevor Coehoorn")</f>
        <v>Trevor Coehoorn</v>
      </c>
      <c r="H1167" s="26" t="b">
        <v>0</v>
      </c>
    </row>
    <row r="1168" hidden="1">
      <c r="A1168" s="26" t="str">
        <f>VLOOKUP(B1168,'2020 SRED (JIRA) - Issues and l'!$B:$C,2,FALSE)</f>
        <v>insite-mapping-SRED</v>
      </c>
      <c r="B1168" s="27" t="str">
        <f>IFERROR(__xludf.DUMMYFUNCTION("""COMPUTED_VALUE"""),"IM-516")</f>
        <v>IM-516</v>
      </c>
      <c r="C1168" s="26" t="str">
        <f>IFERROR(__xludf.DUMMYFUNCTION("""COMPUTED_VALUE"""),"New Space for InSite Mapping™")</f>
        <v>New Space for InSite Mapping™</v>
      </c>
      <c r="D1168" s="28">
        <f>IFERROR(__xludf.DUMMYFUNCTION("""COMPUTED_VALUE"""),2.0)</f>
        <v>2</v>
      </c>
      <c r="E1168" s="29">
        <f>IFERROR(__xludf.DUMMYFUNCTION("""COMPUTED_VALUE"""),44125.64583333333)</f>
        <v>44125.64583</v>
      </c>
      <c r="F1168" s="26" t="str">
        <f>IFERROR(__xludf.DUMMYFUNCTION("""COMPUTED_VALUE"""),"5f412f3d1ac29c0045fa3c5b")</f>
        <v>5f412f3d1ac29c0045fa3c5b</v>
      </c>
      <c r="G1168" s="26" t="str">
        <f>IFERROR(__xludf.DUMMYFUNCTION("""COMPUTED_VALUE"""),"Travis Drew")</f>
        <v>Travis Drew</v>
      </c>
      <c r="H1168" s="26" t="b">
        <v>0</v>
      </c>
    </row>
    <row r="1169" hidden="1">
      <c r="A1169" s="26" t="str">
        <f>VLOOKUP(B1169,'2020 SRED (JIRA) - Issues and l'!$B:$C,2,FALSE)</f>
        <v>insite-event-SRED</v>
      </c>
      <c r="B1169" s="27" t="str">
        <f>IFERROR(__xludf.DUMMYFUNCTION("""COMPUTED_VALUE"""),"ZAPI-169")</f>
        <v>ZAPI-169</v>
      </c>
      <c r="C1169" s="26" t="str">
        <f>IFERROR(__xludf.DUMMYFUNCTION("""COMPUTED_VALUE"""),"Prevent users from downloading unauthorized recording files")</f>
        <v>Prevent users from downloading unauthorized recording files</v>
      </c>
      <c r="D1169" s="28">
        <f>IFERROR(__xludf.DUMMYFUNCTION("""COMPUTED_VALUE"""),0.5)</f>
        <v>0.5</v>
      </c>
      <c r="E1169" s="29">
        <f>IFERROR(__xludf.DUMMYFUNCTION("""COMPUTED_VALUE"""),44125.6875)</f>
        <v>44125.6875</v>
      </c>
      <c r="F1169" s="26" t="str">
        <f>IFERROR(__xludf.DUMMYFUNCTION("""COMPUTED_VALUE"""),"557058:3124a1f0-e92a-405c-93f2-c1d4e621bc77")</f>
        <v>557058:3124a1f0-e92a-405c-93f2-c1d4e621bc77</v>
      </c>
      <c r="G1169" s="26" t="str">
        <f>IFERROR(__xludf.DUMMYFUNCTION("""COMPUTED_VALUE"""),"Trevor Coehoorn")</f>
        <v>Trevor Coehoorn</v>
      </c>
      <c r="H1169" s="26" t="b">
        <v>0</v>
      </c>
    </row>
    <row r="1170">
      <c r="A1170" s="26" t="str">
        <f>VLOOKUP(B1170,'2020 SRED (JIRA) - Issues and l'!$B:$C,2,FALSE)</f>
        <v>insite-workflow-SRED</v>
      </c>
      <c r="B1170" s="27" t="str">
        <f>IFERROR(__xludf.DUMMYFUNCTION("""COMPUTED_VALUE"""),"APPS-71")</f>
        <v>APPS-71</v>
      </c>
      <c r="C1170" s="26" t="str">
        <f>IFERROR(__xludf.DUMMYFUNCTION("""COMPUTED_VALUE"""),"Student Training Tasks")</f>
        <v>Student Training Tasks</v>
      </c>
      <c r="D1170" s="28">
        <f>IFERROR(__xludf.DUMMYFUNCTION("""COMPUTED_VALUE"""),0.5)</f>
        <v>0.5</v>
      </c>
      <c r="E1170" s="29">
        <f>IFERROR(__xludf.DUMMYFUNCTION("""COMPUTED_VALUE"""),44126.0)</f>
        <v>44126</v>
      </c>
      <c r="F1170" s="26" t="str">
        <f>IFERROR(__xludf.DUMMYFUNCTION("""COMPUTED_VALUE"""),"557058:ed1ddc66-d84d-405c-a815-0fcc6147ba14")</f>
        <v>557058:ed1ddc66-d84d-405c-a815-0fcc6147ba14</v>
      </c>
      <c r="G1170" s="26" t="str">
        <f>IFERROR(__xludf.DUMMYFUNCTION("""COMPUTED_VALUE"""),"Mark Corrigan")</f>
        <v>Mark Corrigan</v>
      </c>
      <c r="H1170" s="26" t="b">
        <v>0</v>
      </c>
    </row>
    <row r="1171">
      <c r="A1171" s="26" t="str">
        <f>VLOOKUP(B1171,'2020 SRED (JIRA) - Issues and l'!$B:$C,2,FALSE)</f>
        <v>insite-workflow-SRED</v>
      </c>
      <c r="B1171" s="27" t="str">
        <f>IFERROR(__xludf.DUMMYFUNCTION("""COMPUTED_VALUE"""),"APPS-509")</f>
        <v>APPS-509</v>
      </c>
      <c r="C1171" s="26" t="str">
        <f>IFERROR(__xludf.DUMMYFUNCTION("""COMPUTED_VALUE"""),"App styling / UI")</f>
        <v>App styling / UI</v>
      </c>
      <c r="D1171" s="28">
        <f>IFERROR(__xludf.DUMMYFUNCTION("""COMPUTED_VALUE"""),0.5)</f>
        <v>0.5</v>
      </c>
      <c r="E1171" s="29">
        <f>IFERROR(__xludf.DUMMYFUNCTION("""COMPUTED_VALUE"""),44126.0)</f>
        <v>44126</v>
      </c>
      <c r="F1171" s="26" t="str">
        <f>IFERROR(__xludf.DUMMYFUNCTION("""COMPUTED_VALUE"""),"557058:ed1ddc66-d84d-405c-a815-0fcc6147ba14")</f>
        <v>557058:ed1ddc66-d84d-405c-a815-0fcc6147ba14</v>
      </c>
      <c r="G1171" s="26" t="str">
        <f>IFERROR(__xludf.DUMMYFUNCTION("""COMPUTED_VALUE"""),"Mark Corrigan")</f>
        <v>Mark Corrigan</v>
      </c>
      <c r="H1171" s="26" t="b">
        <v>0</v>
      </c>
    </row>
    <row r="1172">
      <c r="A1172" s="26" t="str">
        <f>VLOOKUP(B1172,'2020 SRED (JIRA) - Issues and l'!$B:$C,2,FALSE)</f>
        <v>insite-event-SRED</v>
      </c>
      <c r="B1172" s="27" t="str">
        <f>IFERROR(__xludf.DUMMYFUNCTION("""COMPUTED_VALUE"""),"ZAPI-82")</f>
        <v>ZAPI-82</v>
      </c>
      <c r="C1172" s="26" t="str">
        <f>IFERROR(__xludf.DUMMYFUNCTION("""COMPUTED_VALUE"""),"Stress test recording transfer (long meetings could get up to ~5 GB)")</f>
        <v>Stress test recording transfer (long meetings could get up to ~5 GB)</v>
      </c>
      <c r="D1172" s="28">
        <f>IFERROR(__xludf.DUMMYFUNCTION("""COMPUTED_VALUE"""),0.25)</f>
        <v>0.25</v>
      </c>
      <c r="E1172" s="29">
        <f>IFERROR(__xludf.DUMMYFUNCTION("""COMPUTED_VALUE"""),44126.0)</f>
        <v>44126</v>
      </c>
      <c r="F1172" s="26" t="str">
        <f>IFERROR(__xludf.DUMMYFUNCTION("""COMPUTED_VALUE"""),"557058:ed1ddc66-d84d-405c-a815-0fcc6147ba14")</f>
        <v>557058:ed1ddc66-d84d-405c-a815-0fcc6147ba14</v>
      </c>
      <c r="G1172" s="26" t="str">
        <f>IFERROR(__xludf.DUMMYFUNCTION("""COMPUTED_VALUE"""),"Mark Corrigan")</f>
        <v>Mark Corrigan</v>
      </c>
      <c r="H1172" s="26" t="b">
        <v>0</v>
      </c>
    </row>
    <row r="1173">
      <c r="A1173" s="26" t="str">
        <f>VLOOKUP(B1173,'2020 SRED (JIRA) - Issues and l'!$B:$C,2,FALSE)</f>
        <v>insite-event-SRED</v>
      </c>
      <c r="B1173" s="27" t="str">
        <f>IFERROR(__xludf.DUMMYFUNCTION("""COMPUTED_VALUE"""),"ZAPI-163")</f>
        <v>ZAPI-163</v>
      </c>
      <c r="C1173" s="26" t="str">
        <f>IFERROR(__xludf.DUMMYFUNCTION("""COMPUTED_VALUE"""),"Zoom API v2.1 (Hot Fixes) 🔥")</f>
        <v>Zoom API v2.1 (Hot Fixes) 🔥</v>
      </c>
      <c r="D1173" s="28">
        <f>IFERROR(__xludf.DUMMYFUNCTION("""COMPUTED_VALUE"""),0.5)</f>
        <v>0.5</v>
      </c>
      <c r="E1173" s="29">
        <f>IFERROR(__xludf.DUMMYFUNCTION("""COMPUTED_VALUE"""),44126.0)</f>
        <v>44126</v>
      </c>
      <c r="F1173" s="26" t="str">
        <f>IFERROR(__xludf.DUMMYFUNCTION("""COMPUTED_VALUE"""),"557058:ed1ddc66-d84d-405c-a815-0fcc6147ba14")</f>
        <v>557058:ed1ddc66-d84d-405c-a815-0fcc6147ba14</v>
      </c>
      <c r="G1173" s="26" t="str">
        <f>IFERROR(__xludf.DUMMYFUNCTION("""COMPUTED_VALUE"""),"Mark Corrigan")</f>
        <v>Mark Corrigan</v>
      </c>
      <c r="H1173" s="26" t="b">
        <v>0</v>
      </c>
    </row>
    <row r="1174">
      <c r="A1174" s="26" t="str">
        <f>VLOOKUP(B1174,'2020 SRED (JIRA) - Issues and l'!$B:$C,2,FALSE)</f>
        <v>insite-workflow-SRED</v>
      </c>
      <c r="B1174" s="27" t="str">
        <f>IFERROR(__xludf.DUMMYFUNCTION("""COMPUTED_VALUE"""),"APPS-63")</f>
        <v>APPS-63</v>
      </c>
      <c r="C1174" s="26" t="str">
        <f>IFERROR(__xludf.DUMMYFUNCTION("""COMPUTED_VALUE"""),"Impetus Gmail add-on")</f>
        <v>Impetus Gmail add-on</v>
      </c>
      <c r="D1174" s="28">
        <f>IFERROR(__xludf.DUMMYFUNCTION("""COMPUTED_VALUE"""),0.5)</f>
        <v>0.5</v>
      </c>
      <c r="E1174" s="29">
        <f>IFERROR(__xludf.DUMMYFUNCTION("""COMPUTED_VALUE"""),44126.0)</f>
        <v>44126</v>
      </c>
      <c r="F1174" s="26" t="str">
        <f>IFERROR(__xludf.DUMMYFUNCTION("""COMPUTED_VALUE"""),"557058:ed1ddc66-d84d-405c-a815-0fcc6147ba14")</f>
        <v>557058:ed1ddc66-d84d-405c-a815-0fcc6147ba14</v>
      </c>
      <c r="G1174" s="26" t="str">
        <f>IFERROR(__xludf.DUMMYFUNCTION("""COMPUTED_VALUE"""),"Mark Corrigan")</f>
        <v>Mark Corrigan</v>
      </c>
      <c r="H1174" s="26" t="b">
        <v>0</v>
      </c>
    </row>
    <row r="1175">
      <c r="A1175" s="26" t="str">
        <f>VLOOKUP(B1175,'2020 SRED (JIRA) - Issues and l'!$B:$C,2,FALSE)</f>
        <v>insite-workflow-SRED</v>
      </c>
      <c r="B1175" s="27" t="str">
        <f>IFERROR(__xludf.DUMMYFUNCTION("""COMPUTED_VALUE"""),"APPS-14")</f>
        <v>APPS-14</v>
      </c>
      <c r="C1175" s="26" t="str">
        <f>IFERROR(__xludf.DUMMYFUNCTION("""COMPUTED_VALUE"""),"Advisor Database app")</f>
        <v>Advisor Database app</v>
      </c>
      <c r="D1175" s="28">
        <f>IFERROR(__xludf.DUMMYFUNCTION("""COMPUTED_VALUE"""),0.5)</f>
        <v>0.5</v>
      </c>
      <c r="E1175" s="29">
        <f>IFERROR(__xludf.DUMMYFUNCTION("""COMPUTED_VALUE"""),44126.0)</f>
        <v>44126</v>
      </c>
      <c r="F1175" s="26" t="str">
        <f>IFERROR(__xludf.DUMMYFUNCTION("""COMPUTED_VALUE"""),"557058:ed1ddc66-d84d-405c-a815-0fcc6147ba14")</f>
        <v>557058:ed1ddc66-d84d-405c-a815-0fcc6147ba14</v>
      </c>
      <c r="G1175" s="26" t="str">
        <f>IFERROR(__xludf.DUMMYFUNCTION("""COMPUTED_VALUE"""),"Mark Corrigan")</f>
        <v>Mark Corrigan</v>
      </c>
      <c r="H1175" s="26" t="b">
        <v>0</v>
      </c>
    </row>
    <row r="1176" hidden="1">
      <c r="A1176" s="26" t="str">
        <f>VLOOKUP(B1176,'2020 SRED (JIRA) - Issues and l'!$B:$C,2,FALSE)</f>
        <v>insite-workflow-SRED</v>
      </c>
      <c r="B1176" s="27" t="str">
        <f>IFERROR(__xludf.DUMMYFUNCTION("""COMPUTED_VALUE"""),"APPS-507")</f>
        <v>APPS-507</v>
      </c>
      <c r="C1176" s="26" t="str">
        <f>IFERROR(__xludf.DUMMYFUNCTION("""COMPUTED_VALUE"""),"Get up to speed on Google Apps Script for maintenance of proposal builder")</f>
        <v>Get up to speed on Google Apps Script for maintenance of proposal builder</v>
      </c>
      <c r="D1176" s="28">
        <f>IFERROR(__xludf.DUMMYFUNCTION("""COMPUTED_VALUE"""),2.0)</f>
        <v>2</v>
      </c>
      <c r="E1176" s="29">
        <f>IFERROR(__xludf.DUMMYFUNCTION("""COMPUTED_VALUE"""),44126.0)</f>
        <v>44126</v>
      </c>
      <c r="F1176" s="26" t="str">
        <f>IFERROR(__xludf.DUMMYFUNCTION("""COMPUTED_VALUE"""),"5ee7b6ce868ce30ac49e2521")</f>
        <v>5ee7b6ce868ce30ac49e2521</v>
      </c>
      <c r="G1176" s="26" t="str">
        <f>IFERROR(__xludf.DUMMYFUNCTION("""COMPUTED_VALUE"""),"Bryan Le")</f>
        <v>Bryan Le</v>
      </c>
      <c r="H1176" s="26" t="b">
        <v>0</v>
      </c>
    </row>
    <row r="1177" hidden="1">
      <c r="A1177" s="26" t="str">
        <f>VLOOKUP(B1177,'2020 SRED (JIRA) - Issues and l'!$B:$C,2,FALSE)</f>
        <v>insite-workflow-SRED</v>
      </c>
      <c r="B1177" s="27" t="str">
        <f>IFERROR(__xludf.DUMMYFUNCTION("""COMPUTED_VALUE"""),"APPS-505")</f>
        <v>APPS-505</v>
      </c>
      <c r="C1177" s="26" t="str">
        <f>IFERROR(__xludf.DUMMYFUNCTION("""COMPUTED_VALUE"""),"As a salesperson, I can specify portal hosting duration for each proposal")</f>
        <v>As a salesperson, I can specify portal hosting duration for each proposal</v>
      </c>
      <c r="D1177" s="28">
        <f>IFERROR(__xludf.DUMMYFUNCTION("""COMPUTED_VALUE"""),7.0)</f>
        <v>7</v>
      </c>
      <c r="E1177" s="29">
        <f>IFERROR(__xludf.DUMMYFUNCTION("""COMPUTED_VALUE"""),44126.0)</f>
        <v>44126</v>
      </c>
      <c r="F1177" s="26" t="str">
        <f>IFERROR(__xludf.DUMMYFUNCTION("""COMPUTED_VALUE"""),"5ee7b6cf02b4400ac4b65399")</f>
        <v>5ee7b6cf02b4400ac4b65399</v>
      </c>
      <c r="G1177" s="26" t="str">
        <f>IFERROR(__xludf.DUMMYFUNCTION("""COMPUTED_VALUE"""),"Jessica Obando")</f>
        <v>Jessica Obando</v>
      </c>
      <c r="H1177" s="26" t="b">
        <v>0</v>
      </c>
    </row>
    <row r="1178" hidden="1">
      <c r="A1178" s="26" t="str">
        <f>VLOOKUP(B1178,'2020 SRED (JIRA) - Issues and l'!$B:$C,2,FALSE)</f>
        <v>insite-event-SRED</v>
      </c>
      <c r="B1178" s="27" t="str">
        <f>IFERROR(__xludf.DUMMYFUNCTION("""COMPUTED_VALUE"""),"ZAPI-143")</f>
        <v>ZAPI-143</v>
      </c>
      <c r="C1178" s="26" t="str">
        <f>IFERROR(__xludf.DUMMYFUNCTION("""COMPUTED_VALUE"""),"When the meeting is launched from the portal, host name is not replaced")</f>
        <v>When the meeting is launched from the portal, host name is not replaced</v>
      </c>
      <c r="D1178" s="28">
        <f>IFERROR(__xludf.DUMMYFUNCTION("""COMPUTED_VALUE"""),0.166666666666666)</f>
        <v>0.1666666667</v>
      </c>
      <c r="E1178" s="29">
        <f>IFERROR(__xludf.DUMMYFUNCTION("""COMPUTED_VALUE"""),44126.42013888889)</f>
        <v>44126.42014</v>
      </c>
      <c r="F1178" s="26" t="str">
        <f>IFERROR(__xludf.DUMMYFUNCTION("""COMPUTED_VALUE"""),"5ec3f07a5269230c34d51fd3")</f>
        <v>5ec3f07a5269230c34d51fd3</v>
      </c>
      <c r="G1178" s="26" t="str">
        <f>IFERROR(__xludf.DUMMYFUNCTION("""COMPUTED_VALUE"""),"Nikita Kuzmin")</f>
        <v>Nikita Kuzmin</v>
      </c>
      <c r="H1178" s="26" t="b">
        <v>0</v>
      </c>
    </row>
    <row r="1179">
      <c r="A1179" s="26" t="str">
        <f>VLOOKUP(B1179,'2020 SRED (JIRA) - Issues and l'!$B:$C,2,FALSE)</f>
        <v>insite-workflow-SRED</v>
      </c>
      <c r="B1179" s="27" t="str">
        <f>IFERROR(__xludf.DUMMYFUNCTION("""COMPUTED_VALUE"""),"APPS-10")</f>
        <v>APPS-10</v>
      </c>
      <c r="C1179" s="26" t="str">
        <f>IFERROR(__xludf.DUMMYFUNCTION("""COMPUTED_VALUE"""),"Sales Pipeline app (v1)")</f>
        <v>Sales Pipeline app (v1)</v>
      </c>
      <c r="D1179" s="28">
        <f>IFERROR(__xludf.DUMMYFUNCTION("""COMPUTED_VALUE"""),5.0)</f>
        <v>5</v>
      </c>
      <c r="E1179" s="29">
        <f>IFERROR(__xludf.DUMMYFUNCTION("""COMPUTED_VALUE"""),44127.0)</f>
        <v>44127</v>
      </c>
      <c r="F1179" s="26" t="str">
        <f>IFERROR(__xludf.DUMMYFUNCTION("""COMPUTED_VALUE"""),"557058:ed1ddc66-d84d-405c-a815-0fcc6147ba14")</f>
        <v>557058:ed1ddc66-d84d-405c-a815-0fcc6147ba14</v>
      </c>
      <c r="G1179" s="26" t="str">
        <f>IFERROR(__xludf.DUMMYFUNCTION("""COMPUTED_VALUE"""),"Mark Corrigan")</f>
        <v>Mark Corrigan</v>
      </c>
      <c r="H1179" s="26" t="b">
        <v>0</v>
      </c>
    </row>
    <row r="1180" hidden="1">
      <c r="A1180" s="26" t="str">
        <f>VLOOKUP(B1180,'2020 SRED (JIRA) - Issues and l'!$B:$C,2,FALSE)</f>
        <v>insite-workflow-SRED</v>
      </c>
      <c r="B1180" s="27" t="str">
        <f>IFERROR(__xludf.DUMMYFUNCTION("""COMPUTED_VALUE"""),"APPS-507")</f>
        <v>APPS-507</v>
      </c>
      <c r="C1180" s="26" t="str">
        <f>IFERROR(__xludf.DUMMYFUNCTION("""COMPUTED_VALUE"""),"Get up to speed on Google Apps Script for maintenance of proposal builder")</f>
        <v>Get up to speed on Google Apps Script for maintenance of proposal builder</v>
      </c>
      <c r="D1180" s="28">
        <f>IFERROR(__xludf.DUMMYFUNCTION("""COMPUTED_VALUE"""),7.0)</f>
        <v>7</v>
      </c>
      <c r="E1180" s="29">
        <f>IFERROR(__xludf.DUMMYFUNCTION("""COMPUTED_VALUE"""),44127.0)</f>
        <v>44127</v>
      </c>
      <c r="F1180" s="26" t="str">
        <f>IFERROR(__xludf.DUMMYFUNCTION("""COMPUTED_VALUE"""),"5ee7b6ce868ce30ac49e2521")</f>
        <v>5ee7b6ce868ce30ac49e2521</v>
      </c>
      <c r="G1180" s="26" t="str">
        <f>IFERROR(__xludf.DUMMYFUNCTION("""COMPUTED_VALUE"""),"Bryan Le")</f>
        <v>Bryan Le</v>
      </c>
      <c r="H1180" s="26" t="b">
        <v>0</v>
      </c>
    </row>
    <row r="1181" hidden="1">
      <c r="A1181" s="26" t="str">
        <f>VLOOKUP(B1181,'2020 SRED (JIRA) - Issues and l'!$B:$C,2,FALSE)</f>
        <v>insite-workflow-SRED</v>
      </c>
      <c r="B1181" s="27" t="str">
        <f>IFERROR(__xludf.DUMMYFUNCTION("""COMPUTED_VALUE"""),"APPS-451")</f>
        <v>APPS-451</v>
      </c>
      <c r="C1181" s="26" t="str">
        <f>IFERROR(__xludf.DUMMYFUNCTION("""COMPUTED_VALUE"""),"Add touchpoint timeline graphic to top of proposal template")</f>
        <v>Add touchpoint timeline graphic to top of proposal template</v>
      </c>
      <c r="D1181" s="28">
        <f>IFERROR(__xludf.DUMMYFUNCTION("""COMPUTED_VALUE"""),7.0)</f>
        <v>7</v>
      </c>
      <c r="E1181" s="29">
        <f>IFERROR(__xludf.DUMMYFUNCTION("""COMPUTED_VALUE"""),44127.0)</f>
        <v>44127</v>
      </c>
      <c r="F1181" s="26" t="str">
        <f>IFERROR(__xludf.DUMMYFUNCTION("""COMPUTED_VALUE"""),"5ee7b6cf02b4400ac4b65399")</f>
        <v>5ee7b6cf02b4400ac4b65399</v>
      </c>
      <c r="G1181" s="26" t="str">
        <f>IFERROR(__xludf.DUMMYFUNCTION("""COMPUTED_VALUE"""),"Jessica Obando")</f>
        <v>Jessica Obando</v>
      </c>
      <c r="H1181" s="26" t="b">
        <v>0</v>
      </c>
    </row>
    <row r="1182">
      <c r="A1182" s="26" t="str">
        <f>VLOOKUP(B1182,'2020 SRED (JIRA) - Issues and l'!$B:$C,2,FALSE)</f>
        <v>insite-event-SRED</v>
      </c>
      <c r="B1182" s="27" t="str">
        <f>IFERROR(__xludf.DUMMYFUNCTION("""COMPUTED_VALUE"""),"ZAPI-6")</f>
        <v>ZAPI-6</v>
      </c>
      <c r="C1182" s="26" t="str">
        <f>IFERROR(__xludf.DUMMYFUNCTION("""COMPUTED_VALUE"""),"Zoom API v2 (Registration Flow and Reporting)")</f>
        <v>Zoom API v2 (Registration Flow and Reporting)</v>
      </c>
      <c r="D1182" s="28">
        <f>IFERROR(__xludf.DUMMYFUNCTION("""COMPUTED_VALUE"""),0.25)</f>
        <v>0.25</v>
      </c>
      <c r="E1182" s="29">
        <f>IFERROR(__xludf.DUMMYFUNCTION("""COMPUTED_VALUE"""),44130.0)</f>
        <v>44130</v>
      </c>
      <c r="F1182" s="26" t="str">
        <f>IFERROR(__xludf.DUMMYFUNCTION("""COMPUTED_VALUE"""),"557058:ed1ddc66-d84d-405c-a815-0fcc6147ba14")</f>
        <v>557058:ed1ddc66-d84d-405c-a815-0fcc6147ba14</v>
      </c>
      <c r="G1182" s="26" t="str">
        <f>IFERROR(__xludf.DUMMYFUNCTION("""COMPUTED_VALUE"""),"Mark Corrigan")</f>
        <v>Mark Corrigan</v>
      </c>
      <c r="H1182" s="26" t="b">
        <v>0</v>
      </c>
    </row>
    <row r="1183">
      <c r="A1183" s="26" t="str">
        <f>VLOOKUP(B1183,'2020 SRED (JIRA) - Issues and l'!$B:$C,2,FALSE)</f>
        <v>insite-workflow-SRED</v>
      </c>
      <c r="B1183" s="27" t="str">
        <f>IFERROR(__xludf.DUMMYFUNCTION("""COMPUTED_VALUE"""),"APPS-10")</f>
        <v>APPS-10</v>
      </c>
      <c r="C1183" s="26" t="str">
        <f>IFERROR(__xludf.DUMMYFUNCTION("""COMPUTED_VALUE"""),"Sales Pipeline app (v1)")</f>
        <v>Sales Pipeline app (v1)</v>
      </c>
      <c r="D1183" s="28">
        <f>IFERROR(__xludf.DUMMYFUNCTION("""COMPUTED_VALUE"""),2.0)</f>
        <v>2</v>
      </c>
      <c r="E1183" s="29">
        <f>IFERROR(__xludf.DUMMYFUNCTION("""COMPUTED_VALUE"""),44130.0)</f>
        <v>44130</v>
      </c>
      <c r="F1183" s="26" t="str">
        <f>IFERROR(__xludf.DUMMYFUNCTION("""COMPUTED_VALUE"""),"557058:ed1ddc66-d84d-405c-a815-0fcc6147ba14")</f>
        <v>557058:ed1ddc66-d84d-405c-a815-0fcc6147ba14</v>
      </c>
      <c r="G1183" s="26" t="str">
        <f>IFERROR(__xludf.DUMMYFUNCTION("""COMPUTED_VALUE"""),"Mark Corrigan")</f>
        <v>Mark Corrigan</v>
      </c>
      <c r="H1183" s="26" t="b">
        <v>0</v>
      </c>
    </row>
    <row r="1184">
      <c r="A1184" s="26" t="str">
        <f>VLOOKUP(B1184,'2020 SRED (JIRA) - Issues and l'!$B:$C,2,FALSE)</f>
        <v>insite-workflow-SRED</v>
      </c>
      <c r="B1184" s="27" t="str">
        <f>IFERROR(__xludf.DUMMYFUNCTION("""COMPUTED_VALUE"""),"APPS-511")</f>
        <v>APPS-511</v>
      </c>
      <c r="C1184" s="26" t="str">
        <f>IFERROR(__xludf.DUMMYFUNCTION("""COMPUTED_VALUE"""),"Sales Pipeline v1 demo, product data entry, feedback collection from SAMS/ADs")</f>
        <v>Sales Pipeline v1 demo, product data entry, feedback collection from SAMS/ADs</v>
      </c>
      <c r="D1184" s="28">
        <f>IFERROR(__xludf.DUMMYFUNCTION("""COMPUTED_VALUE"""),0.5)</f>
        <v>0.5</v>
      </c>
      <c r="E1184" s="29">
        <f>IFERROR(__xludf.DUMMYFUNCTION("""COMPUTED_VALUE"""),44130.0)</f>
        <v>44130</v>
      </c>
      <c r="F1184" s="26" t="str">
        <f>IFERROR(__xludf.DUMMYFUNCTION("""COMPUTED_VALUE"""),"557058:ed1ddc66-d84d-405c-a815-0fcc6147ba14")</f>
        <v>557058:ed1ddc66-d84d-405c-a815-0fcc6147ba14</v>
      </c>
      <c r="G1184" s="26" t="str">
        <f>IFERROR(__xludf.DUMMYFUNCTION("""COMPUTED_VALUE"""),"Mark Corrigan")</f>
        <v>Mark Corrigan</v>
      </c>
      <c r="H1184" s="26" t="b">
        <v>0</v>
      </c>
    </row>
    <row r="1185">
      <c r="A1185" s="26" t="str">
        <f>VLOOKUP(B1185,'2020 SRED (JIRA) - Issues and l'!$B:$C,2,FALSE)</f>
        <v>insite-workflow-SRED</v>
      </c>
      <c r="B1185" s="27" t="str">
        <f>IFERROR(__xludf.DUMMYFUNCTION("""COMPUTED_VALUE"""),"APPS-14")</f>
        <v>APPS-14</v>
      </c>
      <c r="C1185" s="26" t="str">
        <f>IFERROR(__xludf.DUMMYFUNCTION("""COMPUTED_VALUE"""),"Advisor Database app")</f>
        <v>Advisor Database app</v>
      </c>
      <c r="D1185" s="28">
        <f>IFERROR(__xludf.DUMMYFUNCTION("""COMPUTED_VALUE"""),0.75)</f>
        <v>0.75</v>
      </c>
      <c r="E1185" s="29">
        <f>IFERROR(__xludf.DUMMYFUNCTION("""COMPUTED_VALUE"""),44130.0)</f>
        <v>44130</v>
      </c>
      <c r="F1185" s="26" t="str">
        <f>IFERROR(__xludf.DUMMYFUNCTION("""COMPUTED_VALUE"""),"557058:ed1ddc66-d84d-405c-a815-0fcc6147ba14")</f>
        <v>557058:ed1ddc66-d84d-405c-a815-0fcc6147ba14</v>
      </c>
      <c r="G1185" s="26" t="str">
        <f>IFERROR(__xludf.DUMMYFUNCTION("""COMPUTED_VALUE"""),"Mark Corrigan")</f>
        <v>Mark Corrigan</v>
      </c>
      <c r="H1185" s="26" t="b">
        <v>0</v>
      </c>
    </row>
    <row r="1186">
      <c r="A1186" s="26" t="str">
        <f>VLOOKUP(B1186,'2020 SRED (JIRA) - Issues and l'!$B:$C,2,FALSE)</f>
        <v>insite-workflow-SRED</v>
      </c>
      <c r="B1186" s="27" t="str">
        <f>IFERROR(__xludf.DUMMYFUNCTION("""COMPUTED_VALUE"""),"APPS-10")</f>
        <v>APPS-10</v>
      </c>
      <c r="C1186" s="26" t="str">
        <f>IFERROR(__xludf.DUMMYFUNCTION("""COMPUTED_VALUE"""),"Sales Pipeline app (v1)")</f>
        <v>Sales Pipeline app (v1)</v>
      </c>
      <c r="D1186" s="28">
        <f>IFERROR(__xludf.DUMMYFUNCTION("""COMPUTED_VALUE"""),3.0)</f>
        <v>3</v>
      </c>
      <c r="E1186" s="29">
        <f>IFERROR(__xludf.DUMMYFUNCTION("""COMPUTED_VALUE"""),44130.0)</f>
        <v>44130</v>
      </c>
      <c r="F1186" s="26" t="str">
        <f>IFERROR(__xludf.DUMMYFUNCTION("""COMPUTED_VALUE"""),"557058:ed1ddc66-d84d-405c-a815-0fcc6147ba14")</f>
        <v>557058:ed1ddc66-d84d-405c-a815-0fcc6147ba14</v>
      </c>
      <c r="G1186" s="26" t="str">
        <f>IFERROR(__xludf.DUMMYFUNCTION("""COMPUTED_VALUE"""),"Mark Corrigan")</f>
        <v>Mark Corrigan</v>
      </c>
      <c r="H1186" s="26" t="b">
        <v>0</v>
      </c>
    </row>
    <row r="1187" hidden="1">
      <c r="A1187" s="26" t="str">
        <f>VLOOKUP(B1187,'2020 SRED (JIRA) - Issues and l'!$B:$C,2,FALSE)</f>
        <v>insite-workflow-SRED</v>
      </c>
      <c r="B1187" s="27" t="str">
        <f>IFERROR(__xludf.DUMMYFUNCTION("""COMPUTED_VALUE"""),"APPS-507")</f>
        <v>APPS-507</v>
      </c>
      <c r="C1187" s="26" t="str">
        <f>IFERROR(__xludf.DUMMYFUNCTION("""COMPUTED_VALUE"""),"Get up to speed on Google Apps Script for maintenance of proposal builder")</f>
        <v>Get up to speed on Google Apps Script for maintenance of proposal builder</v>
      </c>
      <c r="D1187" s="28">
        <f>IFERROR(__xludf.DUMMYFUNCTION("""COMPUTED_VALUE"""),3.0)</f>
        <v>3</v>
      </c>
      <c r="E1187" s="29">
        <f>IFERROR(__xludf.DUMMYFUNCTION("""COMPUTED_VALUE"""),44130.0)</f>
        <v>44130</v>
      </c>
      <c r="F1187" s="26" t="str">
        <f>IFERROR(__xludf.DUMMYFUNCTION("""COMPUTED_VALUE"""),"5ee7b6ce868ce30ac49e2521")</f>
        <v>5ee7b6ce868ce30ac49e2521</v>
      </c>
      <c r="G1187" s="26" t="str">
        <f>IFERROR(__xludf.DUMMYFUNCTION("""COMPUTED_VALUE"""),"Bryan Le")</f>
        <v>Bryan Le</v>
      </c>
      <c r="H1187" s="26" t="b">
        <v>0</v>
      </c>
    </row>
    <row r="1188" hidden="1">
      <c r="A1188" s="26" t="str">
        <f>VLOOKUP(B1188,'2020 SRED (JIRA) - Issues and l'!$B:$C,2,FALSE)</f>
        <v>insite-workflow-SRED</v>
      </c>
      <c r="B1188" s="27" t="str">
        <f>IFERROR(__xludf.DUMMYFUNCTION("""COMPUTED_VALUE"""),"APPS-507")</f>
        <v>APPS-507</v>
      </c>
      <c r="C1188" s="26" t="str">
        <f>IFERROR(__xludf.DUMMYFUNCTION("""COMPUTED_VALUE"""),"Get up to speed on Google Apps Script for maintenance of proposal builder")</f>
        <v>Get up to speed on Google Apps Script for maintenance of proposal builder</v>
      </c>
      <c r="D1188" s="28">
        <f>IFERROR(__xludf.DUMMYFUNCTION("""COMPUTED_VALUE"""),4.0)</f>
        <v>4</v>
      </c>
      <c r="E1188" s="29">
        <f>IFERROR(__xludf.DUMMYFUNCTION("""COMPUTED_VALUE"""),44130.0)</f>
        <v>44130</v>
      </c>
      <c r="F1188" s="26" t="str">
        <f>IFERROR(__xludf.DUMMYFUNCTION("""COMPUTED_VALUE"""),"5ee7b6ce868ce30ac49e2521")</f>
        <v>5ee7b6ce868ce30ac49e2521</v>
      </c>
      <c r="G1188" s="26" t="str">
        <f>IFERROR(__xludf.DUMMYFUNCTION("""COMPUTED_VALUE"""),"Bryan Le")</f>
        <v>Bryan Le</v>
      </c>
      <c r="H1188" s="26" t="b">
        <v>0</v>
      </c>
    </row>
    <row r="1189" hidden="1">
      <c r="A1189" s="26" t="str">
        <f>VLOOKUP(B1189,'2020 SRED (JIRA) - Issues and l'!$B:$C,2,FALSE)</f>
        <v>insite-workflow-SRED</v>
      </c>
      <c r="B1189" s="27" t="str">
        <f>IFERROR(__xludf.DUMMYFUNCTION("""COMPUTED_VALUE"""),"APPS-375")</f>
        <v>APPS-375</v>
      </c>
      <c r="C1189" s="26" t="str">
        <f>IFERROR(__xludf.DUMMYFUNCTION("""COMPUTED_VALUE"""),"As a salesperson, I can associate add-ons and reductions with products")</f>
        <v>As a salesperson, I can associate add-ons and reductions with products</v>
      </c>
      <c r="D1189" s="28">
        <f>IFERROR(__xludf.DUMMYFUNCTION("""COMPUTED_VALUE"""),7.0)</f>
        <v>7</v>
      </c>
      <c r="E1189" s="29">
        <f>IFERROR(__xludf.DUMMYFUNCTION("""COMPUTED_VALUE"""),44130.0)</f>
        <v>44130</v>
      </c>
      <c r="F1189" s="26" t="str">
        <f>IFERROR(__xludf.DUMMYFUNCTION("""COMPUTED_VALUE"""),"5ee7b6cf02b4400ac4b65399")</f>
        <v>5ee7b6cf02b4400ac4b65399</v>
      </c>
      <c r="G1189" s="26" t="str">
        <f>IFERROR(__xludf.DUMMYFUNCTION("""COMPUTED_VALUE"""),"Jessica Obando")</f>
        <v>Jessica Obando</v>
      </c>
      <c r="H1189" s="26" t="b">
        <v>0</v>
      </c>
    </row>
    <row r="1190" hidden="1">
      <c r="A1190" s="26" t="str">
        <f>VLOOKUP(B1190,'2020 SRED (JIRA) - Issues and l'!$B:$C,2,FALSE)</f>
        <v>insite-event-SRED</v>
      </c>
      <c r="B1190" s="27" t="str">
        <f>IFERROR(__xludf.DUMMYFUNCTION("""COMPUTED_VALUE"""),"ZAPI-74")</f>
        <v>ZAPI-74</v>
      </c>
      <c r="C1190" s="26" t="str">
        <f>IFERROR(__xludf.DUMMYFUNCTION("""COMPUTED_VALUE"""),"Allow users to register for web meetings on anonymous pages")</f>
        <v>Allow users to register for web meetings on anonymous pages</v>
      </c>
      <c r="D1190" s="28">
        <f>IFERROR(__xludf.DUMMYFUNCTION("""COMPUTED_VALUE"""),2.25)</f>
        <v>2.25</v>
      </c>
      <c r="E1190" s="29">
        <f>IFERROR(__xludf.DUMMYFUNCTION("""COMPUTED_VALUE"""),44130.64583333333)</f>
        <v>44130.64583</v>
      </c>
      <c r="F1190" s="26" t="str">
        <f>IFERROR(__xludf.DUMMYFUNCTION("""COMPUTED_VALUE"""),"5ec3f07a5269230c34d51fd3")</f>
        <v>5ec3f07a5269230c34d51fd3</v>
      </c>
      <c r="G1190" s="26" t="str">
        <f>IFERROR(__xludf.DUMMYFUNCTION("""COMPUTED_VALUE"""),"Nikita Kuzmin")</f>
        <v>Nikita Kuzmin</v>
      </c>
      <c r="H1190" s="26" t="b">
        <v>0</v>
      </c>
    </row>
    <row r="1191">
      <c r="A1191" s="26" t="str">
        <f>VLOOKUP(B1191,'2020 SRED (JIRA) - Issues and l'!$B:$C,2,FALSE)</f>
        <v>insite-workflow-SRED</v>
      </c>
      <c r="B1191" s="27" t="str">
        <f>IFERROR(__xludf.DUMMYFUNCTION("""COMPUTED_VALUE"""),"APPS-10")</f>
        <v>APPS-10</v>
      </c>
      <c r="C1191" s="26" t="str">
        <f>IFERROR(__xludf.DUMMYFUNCTION("""COMPUTED_VALUE"""),"Sales Pipeline app (v1)")</f>
        <v>Sales Pipeline app (v1)</v>
      </c>
      <c r="D1191" s="28">
        <f>IFERROR(__xludf.DUMMYFUNCTION("""COMPUTED_VALUE"""),6.5)</f>
        <v>6.5</v>
      </c>
      <c r="E1191" s="29">
        <f>IFERROR(__xludf.DUMMYFUNCTION("""COMPUTED_VALUE"""),44131.0)</f>
        <v>44131</v>
      </c>
      <c r="F1191" s="26" t="str">
        <f>IFERROR(__xludf.DUMMYFUNCTION("""COMPUTED_VALUE"""),"557058:ed1ddc66-d84d-405c-a815-0fcc6147ba14")</f>
        <v>557058:ed1ddc66-d84d-405c-a815-0fcc6147ba14</v>
      </c>
      <c r="G1191" s="26" t="str">
        <f>IFERROR(__xludf.DUMMYFUNCTION("""COMPUTED_VALUE"""),"Mark Corrigan")</f>
        <v>Mark Corrigan</v>
      </c>
      <c r="H1191" s="26" t="b">
        <v>0</v>
      </c>
    </row>
    <row r="1192">
      <c r="A1192" s="26" t="str">
        <f>VLOOKUP(B1192,'2020 SRED (JIRA) - Issues and l'!$B:$C,2,FALSE)</f>
        <v>insite-workflow-SRED</v>
      </c>
      <c r="B1192" s="27" t="str">
        <f>IFERROR(__xludf.DUMMYFUNCTION("""COMPUTED_VALUE"""),"APPS-14")</f>
        <v>APPS-14</v>
      </c>
      <c r="C1192" s="26" t="str">
        <f>IFERROR(__xludf.DUMMYFUNCTION("""COMPUTED_VALUE"""),"Advisor Database app")</f>
        <v>Advisor Database app</v>
      </c>
      <c r="D1192" s="28">
        <f>IFERROR(__xludf.DUMMYFUNCTION("""COMPUTED_VALUE"""),1.5)</f>
        <v>1.5</v>
      </c>
      <c r="E1192" s="29">
        <f>IFERROR(__xludf.DUMMYFUNCTION("""COMPUTED_VALUE"""),44131.0)</f>
        <v>44131</v>
      </c>
      <c r="F1192" s="26" t="str">
        <f>IFERROR(__xludf.DUMMYFUNCTION("""COMPUTED_VALUE"""),"557058:ed1ddc66-d84d-405c-a815-0fcc6147ba14")</f>
        <v>557058:ed1ddc66-d84d-405c-a815-0fcc6147ba14</v>
      </c>
      <c r="G1192" s="26" t="str">
        <f>IFERROR(__xludf.DUMMYFUNCTION("""COMPUTED_VALUE"""),"Mark Corrigan")</f>
        <v>Mark Corrigan</v>
      </c>
      <c r="H1192" s="26" t="b">
        <v>0</v>
      </c>
    </row>
    <row r="1193" hidden="1">
      <c r="A1193" s="26" t="str">
        <f>VLOOKUP(B1193,'2020 SRED (JIRA) - Issues and l'!$B:$C,2,FALSE)</f>
        <v>insite-workflow-SRED</v>
      </c>
      <c r="B1193" s="27" t="str">
        <f>IFERROR(__xludf.DUMMYFUNCTION("""COMPUTED_VALUE"""),"APPS-463")</f>
        <v>APPS-463</v>
      </c>
      <c r="C1193" s="26" t="str">
        <f>IFERROR(__xludf.DUMMYFUNCTION("""COMPUTED_VALUE"""),"Data modelling and project planning for Impetus IT/HR app")</f>
        <v>Data modelling and project planning for Impetus IT/HR app</v>
      </c>
      <c r="D1193" s="28">
        <f>IFERROR(__xludf.DUMMYFUNCTION("""COMPUTED_VALUE"""),3.0)</f>
        <v>3</v>
      </c>
      <c r="E1193" s="29">
        <f>IFERROR(__xludf.DUMMYFUNCTION("""COMPUTED_VALUE"""),44131.0)</f>
        <v>44131</v>
      </c>
      <c r="F1193" s="26" t="str">
        <f>IFERROR(__xludf.DUMMYFUNCTION("""COMPUTED_VALUE"""),"5ee7b6ce868ce30ac49e2521")</f>
        <v>5ee7b6ce868ce30ac49e2521</v>
      </c>
      <c r="G1193" s="26" t="str">
        <f>IFERROR(__xludf.DUMMYFUNCTION("""COMPUTED_VALUE"""),"Bryan Le")</f>
        <v>Bryan Le</v>
      </c>
      <c r="H1193" s="26" t="b">
        <v>0</v>
      </c>
    </row>
    <row r="1194" hidden="1">
      <c r="A1194" s="26" t="str">
        <f>VLOOKUP(B1194,'2020 SRED (JIRA) - Issues and l'!$B:$C,2,FALSE)</f>
        <v>insite-workflow-SRED</v>
      </c>
      <c r="B1194" s="27" t="str">
        <f>IFERROR(__xludf.DUMMYFUNCTION("""COMPUTED_VALUE"""),"APPS-522")</f>
        <v>APPS-522</v>
      </c>
      <c r="C1194" s="26" t="str">
        <f>IFERROR(__xludf.DUMMYFUNCTION("""COMPUTED_VALUE"""),"Go through process of importing new advisors pre-touchpoint and updating word counts post-touchpoint")</f>
        <v>Go through process of importing new advisors pre-touchpoint and updating word counts post-touchpoint</v>
      </c>
      <c r="D1194" s="28">
        <f>IFERROR(__xludf.DUMMYFUNCTION("""COMPUTED_VALUE"""),4.0)</f>
        <v>4</v>
      </c>
      <c r="E1194" s="29">
        <f>IFERROR(__xludf.DUMMYFUNCTION("""COMPUTED_VALUE"""),44131.0)</f>
        <v>44131</v>
      </c>
      <c r="F1194" s="26" t="str">
        <f>IFERROR(__xludf.DUMMYFUNCTION("""COMPUTED_VALUE"""),"5ee7b6ce868ce30ac49e2521")</f>
        <v>5ee7b6ce868ce30ac49e2521</v>
      </c>
      <c r="G1194" s="26" t="str">
        <f>IFERROR(__xludf.DUMMYFUNCTION("""COMPUTED_VALUE"""),"Bryan Le")</f>
        <v>Bryan Le</v>
      </c>
      <c r="H1194" s="26" t="b">
        <v>0</v>
      </c>
    </row>
    <row r="1195" hidden="1">
      <c r="A1195" s="26" t="str">
        <f>VLOOKUP(B1195,'2020 SRED (JIRA) - Issues and l'!$B:$C,2,FALSE)</f>
        <v>insite-workflow-SRED</v>
      </c>
      <c r="B1195" s="27" t="str">
        <f>IFERROR(__xludf.DUMMYFUNCTION("""COMPUTED_VALUE"""),"APPS-138")</f>
        <v>APPS-138</v>
      </c>
      <c r="C1195" s="26" t="str">
        <f>IFERROR(__xludf.DUMMYFUNCTION("""COMPUTED_VALUE"""),"As a salesperson, I can add an overall discount % to a proposal")</f>
        <v>As a salesperson, I can add an overall discount % to a proposal</v>
      </c>
      <c r="D1195" s="28">
        <f>IFERROR(__xludf.DUMMYFUNCTION("""COMPUTED_VALUE"""),7.0)</f>
        <v>7</v>
      </c>
      <c r="E1195" s="29">
        <f>IFERROR(__xludf.DUMMYFUNCTION("""COMPUTED_VALUE"""),44131.0)</f>
        <v>44131</v>
      </c>
      <c r="F1195" s="26" t="str">
        <f>IFERROR(__xludf.DUMMYFUNCTION("""COMPUTED_VALUE"""),"5ee7b6cf02b4400ac4b65399")</f>
        <v>5ee7b6cf02b4400ac4b65399</v>
      </c>
      <c r="G1195" s="26" t="str">
        <f>IFERROR(__xludf.DUMMYFUNCTION("""COMPUTED_VALUE"""),"Jessica Obando")</f>
        <v>Jessica Obando</v>
      </c>
      <c r="H1195" s="26" t="b">
        <v>0</v>
      </c>
    </row>
    <row r="1196" hidden="1">
      <c r="A1196" s="26" t="str">
        <f>VLOOKUP(B1196,'2020 SRED (JIRA) - Issues and l'!$B:$C,2,FALSE)</f>
        <v>insite-event-SRED</v>
      </c>
      <c r="B1196" s="27" t="str">
        <f>IFERROR(__xludf.DUMMYFUNCTION("""COMPUTED_VALUE"""),"ZAPI-74")</f>
        <v>ZAPI-74</v>
      </c>
      <c r="C1196" s="26" t="str">
        <f>IFERROR(__xludf.DUMMYFUNCTION("""COMPUTED_VALUE"""),"Allow users to register for web meetings on anonymous pages")</f>
        <v>Allow users to register for web meetings on anonymous pages</v>
      </c>
      <c r="D1196" s="28">
        <f>IFERROR(__xludf.DUMMYFUNCTION("""COMPUTED_VALUE"""),0.25)</f>
        <v>0.25</v>
      </c>
      <c r="E1196" s="29">
        <f>IFERROR(__xludf.DUMMYFUNCTION("""COMPUTED_VALUE"""),44131.375)</f>
        <v>44131.375</v>
      </c>
      <c r="F1196" s="26" t="str">
        <f>IFERROR(__xludf.DUMMYFUNCTION("""COMPUTED_VALUE"""),"557058:3124a1f0-e92a-405c-93f2-c1d4e621bc77")</f>
        <v>557058:3124a1f0-e92a-405c-93f2-c1d4e621bc77</v>
      </c>
      <c r="G1196" s="26" t="str">
        <f>IFERROR(__xludf.DUMMYFUNCTION("""COMPUTED_VALUE"""),"Trevor Coehoorn")</f>
        <v>Trevor Coehoorn</v>
      </c>
      <c r="H1196" s="26" t="b">
        <v>0</v>
      </c>
    </row>
    <row r="1197" hidden="1">
      <c r="A1197" s="26" t="str">
        <f>VLOOKUP(B1197,'2020 SRED (JIRA) - Issues and l'!$B:$C,2,FALSE)</f>
        <v>insite-event-SRED</v>
      </c>
      <c r="B1197" s="27" t="str">
        <f>IFERROR(__xludf.DUMMYFUNCTION("""COMPUTED_VALUE"""),"ZAPI-169")</f>
        <v>ZAPI-169</v>
      </c>
      <c r="C1197" s="26" t="str">
        <f>IFERROR(__xludf.DUMMYFUNCTION("""COMPUTED_VALUE"""),"Prevent users from downloading unauthorized recording files")</f>
        <v>Prevent users from downloading unauthorized recording files</v>
      </c>
      <c r="D1197" s="28">
        <f>IFERROR(__xludf.DUMMYFUNCTION("""COMPUTED_VALUE"""),1.0)</f>
        <v>1</v>
      </c>
      <c r="E1197" s="29">
        <f>IFERROR(__xludf.DUMMYFUNCTION("""COMPUTED_VALUE"""),44131.4375)</f>
        <v>44131.4375</v>
      </c>
      <c r="F1197" s="26" t="str">
        <f>IFERROR(__xludf.DUMMYFUNCTION("""COMPUTED_VALUE"""),"557058:3124a1f0-e92a-405c-93f2-c1d4e621bc77")</f>
        <v>557058:3124a1f0-e92a-405c-93f2-c1d4e621bc77</v>
      </c>
      <c r="G1197" s="26" t="str">
        <f>IFERROR(__xludf.DUMMYFUNCTION("""COMPUTED_VALUE"""),"Trevor Coehoorn")</f>
        <v>Trevor Coehoorn</v>
      </c>
      <c r="H1197" s="26" t="b">
        <v>0</v>
      </c>
    </row>
    <row r="1198" hidden="1">
      <c r="A1198" s="26" t="str">
        <f>VLOOKUP(B1198,'2020 SRED (JIRA) - Issues and l'!$B:$C,2,FALSE)</f>
        <v>insite-event-SRED</v>
      </c>
      <c r="B1198" s="27" t="str">
        <f>IFERROR(__xludf.DUMMYFUNCTION("""COMPUTED_VALUE"""),"ZAPI-169")</f>
        <v>ZAPI-169</v>
      </c>
      <c r="C1198" s="26" t="str">
        <f>IFERROR(__xludf.DUMMYFUNCTION("""COMPUTED_VALUE"""),"Prevent users from downloading unauthorized recording files")</f>
        <v>Prevent users from downloading unauthorized recording files</v>
      </c>
      <c r="D1198" s="28">
        <f>IFERROR(__xludf.DUMMYFUNCTION("""COMPUTED_VALUE"""),0.25)</f>
        <v>0.25</v>
      </c>
      <c r="E1198" s="29">
        <f>IFERROR(__xludf.DUMMYFUNCTION("""COMPUTED_VALUE"""),44131.69791666667)</f>
        <v>44131.69792</v>
      </c>
      <c r="F1198" s="26" t="str">
        <f>IFERROR(__xludf.DUMMYFUNCTION("""COMPUTED_VALUE"""),"557058:3124a1f0-e92a-405c-93f2-c1d4e621bc77")</f>
        <v>557058:3124a1f0-e92a-405c-93f2-c1d4e621bc77</v>
      </c>
      <c r="G1198" s="26" t="str">
        <f>IFERROR(__xludf.DUMMYFUNCTION("""COMPUTED_VALUE"""),"Trevor Coehoorn")</f>
        <v>Trevor Coehoorn</v>
      </c>
      <c r="H1198" s="26" t="b">
        <v>0</v>
      </c>
    </row>
    <row r="1199">
      <c r="A1199" s="26" t="str">
        <f>VLOOKUP(B1199,'2020 SRED (JIRA) - Issues and l'!$B:$C,2,FALSE)</f>
        <v>insite-workflow-SRED</v>
      </c>
      <c r="B1199" s="27" t="str">
        <f>IFERROR(__xludf.DUMMYFUNCTION("""COMPUTED_VALUE"""),"APPS-507")</f>
        <v>APPS-507</v>
      </c>
      <c r="C1199" s="26" t="str">
        <f>IFERROR(__xludf.DUMMYFUNCTION("""COMPUTED_VALUE"""),"Get up to speed on Google Apps Script for maintenance of proposal builder")</f>
        <v>Get up to speed on Google Apps Script for maintenance of proposal builder</v>
      </c>
      <c r="D1199" s="28">
        <f>IFERROR(__xludf.DUMMYFUNCTION("""COMPUTED_VALUE"""),0.25)</f>
        <v>0.25</v>
      </c>
      <c r="E1199" s="29">
        <f>IFERROR(__xludf.DUMMYFUNCTION("""COMPUTED_VALUE"""),44132.0)</f>
        <v>44132</v>
      </c>
      <c r="F1199" s="26" t="str">
        <f>IFERROR(__xludf.DUMMYFUNCTION("""COMPUTED_VALUE"""),"557058:ed1ddc66-d84d-405c-a815-0fcc6147ba14")</f>
        <v>557058:ed1ddc66-d84d-405c-a815-0fcc6147ba14</v>
      </c>
      <c r="G1199" s="26" t="str">
        <f>IFERROR(__xludf.DUMMYFUNCTION("""COMPUTED_VALUE"""),"Mark Corrigan")</f>
        <v>Mark Corrigan</v>
      </c>
      <c r="H1199" s="26" t="b">
        <v>0</v>
      </c>
    </row>
    <row r="1200">
      <c r="A1200" s="26" t="str">
        <f>VLOOKUP(B1200,'2020 SRED (JIRA) - Issues and l'!$B:$C,2,FALSE)</f>
        <v>insite-workflow-SRED</v>
      </c>
      <c r="B1200" s="27" t="str">
        <f>IFERROR(__xludf.DUMMYFUNCTION("""COMPUTED_VALUE"""),"APPS-388")</f>
        <v>APPS-388</v>
      </c>
      <c r="C1200" s="26" t="str">
        <f>IFERROR(__xludf.DUMMYFUNCTION("""COMPUTED_VALUE"""),"Cleanup tasks")</f>
        <v>Cleanup tasks</v>
      </c>
      <c r="D1200" s="28">
        <f>IFERROR(__xludf.DUMMYFUNCTION("""COMPUTED_VALUE"""),0.5)</f>
        <v>0.5</v>
      </c>
      <c r="E1200" s="29">
        <f>IFERROR(__xludf.DUMMYFUNCTION("""COMPUTED_VALUE"""),44132.0)</f>
        <v>44132</v>
      </c>
      <c r="F1200" s="26" t="str">
        <f>IFERROR(__xludf.DUMMYFUNCTION("""COMPUTED_VALUE"""),"557058:ed1ddc66-d84d-405c-a815-0fcc6147ba14")</f>
        <v>557058:ed1ddc66-d84d-405c-a815-0fcc6147ba14</v>
      </c>
      <c r="G1200" s="26" t="str">
        <f>IFERROR(__xludf.DUMMYFUNCTION("""COMPUTED_VALUE"""),"Mark Corrigan")</f>
        <v>Mark Corrigan</v>
      </c>
      <c r="H1200" s="26" t="b">
        <v>0</v>
      </c>
    </row>
    <row r="1201">
      <c r="A1201" s="26" t="str">
        <f>VLOOKUP(B1201,'2020 SRED (JIRA) - Issues and l'!$B:$C,2,FALSE)</f>
        <v>insite-workflow-SRED</v>
      </c>
      <c r="B1201" s="27" t="str">
        <f>IFERROR(__xludf.DUMMYFUNCTION("""COMPUTED_VALUE"""),"APPS-520")</f>
        <v>APPS-520</v>
      </c>
      <c r="C1201" s="26" t="str">
        <f>IFERROR(__xludf.DUMMYFUNCTION("""COMPUTED_VALUE"""),"Org currency not editable and doesn't update")</f>
        <v>Org currency not editable and doesn't update</v>
      </c>
      <c r="D1201" s="28">
        <f>IFERROR(__xludf.DUMMYFUNCTION("""COMPUTED_VALUE"""),0.25)</f>
        <v>0.25</v>
      </c>
      <c r="E1201" s="29">
        <f>IFERROR(__xludf.DUMMYFUNCTION("""COMPUTED_VALUE"""),44132.0)</f>
        <v>44132</v>
      </c>
      <c r="F1201" s="26" t="str">
        <f>IFERROR(__xludf.DUMMYFUNCTION("""COMPUTED_VALUE"""),"557058:ed1ddc66-d84d-405c-a815-0fcc6147ba14")</f>
        <v>557058:ed1ddc66-d84d-405c-a815-0fcc6147ba14</v>
      </c>
      <c r="G1201" s="26" t="str">
        <f>IFERROR(__xludf.DUMMYFUNCTION("""COMPUTED_VALUE"""),"Mark Corrigan")</f>
        <v>Mark Corrigan</v>
      </c>
      <c r="H1201" s="26" t="b">
        <v>0</v>
      </c>
    </row>
    <row r="1202">
      <c r="A1202" s="26" t="str">
        <f>VLOOKUP(B1202,'2020 SRED (JIRA) - Issues and l'!$B:$C,2,FALSE)</f>
        <v>insite-workflow-SRED</v>
      </c>
      <c r="B1202" s="27" t="str">
        <f>IFERROR(__xludf.DUMMYFUNCTION("""COMPUTED_VALUE"""),"APPS-522")</f>
        <v>APPS-522</v>
      </c>
      <c r="C1202" s="26" t="str">
        <f>IFERROR(__xludf.DUMMYFUNCTION("""COMPUTED_VALUE"""),"Go through process of importing new advisors pre-touchpoint and updating word counts post-touchpoint")</f>
        <v>Go through process of importing new advisors pre-touchpoint and updating word counts post-touchpoint</v>
      </c>
      <c r="D1202" s="28">
        <f>IFERROR(__xludf.DUMMYFUNCTION("""COMPUTED_VALUE"""),0.5)</f>
        <v>0.5</v>
      </c>
      <c r="E1202" s="29">
        <f>IFERROR(__xludf.DUMMYFUNCTION("""COMPUTED_VALUE"""),44132.0)</f>
        <v>44132</v>
      </c>
      <c r="F1202" s="26" t="str">
        <f>IFERROR(__xludf.DUMMYFUNCTION("""COMPUTED_VALUE"""),"557058:ed1ddc66-d84d-405c-a815-0fcc6147ba14")</f>
        <v>557058:ed1ddc66-d84d-405c-a815-0fcc6147ba14</v>
      </c>
      <c r="G1202" s="26" t="str">
        <f>IFERROR(__xludf.DUMMYFUNCTION("""COMPUTED_VALUE"""),"Mark Corrigan")</f>
        <v>Mark Corrigan</v>
      </c>
      <c r="H1202" s="26" t="b">
        <v>0</v>
      </c>
    </row>
    <row r="1203">
      <c r="A1203" s="26" t="str">
        <f>VLOOKUP(B1203,'2020 SRED (JIRA) - Issues and l'!$B:$C,2,FALSE)</f>
        <v>insite-workflow-SRED</v>
      </c>
      <c r="B1203" s="27" t="str">
        <f>IFERROR(__xludf.DUMMYFUNCTION("""COMPUTED_VALUE"""),"APPS-511")</f>
        <v>APPS-511</v>
      </c>
      <c r="C1203" s="26" t="str">
        <f>IFERROR(__xludf.DUMMYFUNCTION("""COMPUTED_VALUE"""),"Sales Pipeline v1 demo, product data entry, feedback collection from SAMS/ADs")</f>
        <v>Sales Pipeline v1 demo, product data entry, feedback collection from SAMS/ADs</v>
      </c>
      <c r="D1203" s="28">
        <f>IFERROR(__xludf.DUMMYFUNCTION("""COMPUTED_VALUE"""),2.0)</f>
        <v>2</v>
      </c>
      <c r="E1203" s="29">
        <f>IFERROR(__xludf.DUMMYFUNCTION("""COMPUTED_VALUE"""),44132.0)</f>
        <v>44132</v>
      </c>
      <c r="F1203" s="26" t="str">
        <f>IFERROR(__xludf.DUMMYFUNCTION("""COMPUTED_VALUE"""),"557058:ed1ddc66-d84d-405c-a815-0fcc6147ba14")</f>
        <v>557058:ed1ddc66-d84d-405c-a815-0fcc6147ba14</v>
      </c>
      <c r="G1203" s="26" t="str">
        <f>IFERROR(__xludf.DUMMYFUNCTION("""COMPUTED_VALUE"""),"Mark Corrigan")</f>
        <v>Mark Corrigan</v>
      </c>
      <c r="H1203" s="26" t="b">
        <v>0</v>
      </c>
    </row>
    <row r="1204">
      <c r="A1204" s="26" t="str">
        <f>VLOOKUP(B1204,'2020 SRED (JIRA) - Issues and l'!$B:$C,2,FALSE)</f>
        <v>insite-workflow-SRED</v>
      </c>
      <c r="B1204" s="27" t="str">
        <f>IFERROR(__xludf.DUMMYFUNCTION("""COMPUTED_VALUE"""),"APPS-523")</f>
        <v>APPS-523</v>
      </c>
      <c r="C1204" s="26" t="str">
        <f>IFERROR(__xludf.DUMMYFUNCTION("""COMPUTED_VALUE"""),"Make ""therapeutic area"" to be an enum list in the contacts and proposal record ")</f>
        <v>Make "therapeutic area" to be an enum list in the contacts and proposal record </v>
      </c>
      <c r="D1204" s="28">
        <f>IFERROR(__xludf.DUMMYFUNCTION("""COMPUTED_VALUE"""),0.5)</f>
        <v>0.5</v>
      </c>
      <c r="E1204" s="29">
        <f>IFERROR(__xludf.DUMMYFUNCTION("""COMPUTED_VALUE"""),44132.0)</f>
        <v>44132</v>
      </c>
      <c r="F1204" s="26" t="str">
        <f>IFERROR(__xludf.DUMMYFUNCTION("""COMPUTED_VALUE"""),"557058:ed1ddc66-d84d-405c-a815-0fcc6147ba14")</f>
        <v>557058:ed1ddc66-d84d-405c-a815-0fcc6147ba14</v>
      </c>
      <c r="G1204" s="26" t="str">
        <f>IFERROR(__xludf.DUMMYFUNCTION("""COMPUTED_VALUE"""),"Mark Corrigan")</f>
        <v>Mark Corrigan</v>
      </c>
      <c r="H1204" s="26" t="b">
        <v>0</v>
      </c>
    </row>
    <row r="1205">
      <c r="A1205" s="26" t="str">
        <f>VLOOKUP(B1205,'2020 SRED (JIRA) - Issues and l'!$B:$C,2,FALSE)</f>
        <v>insite-event-SRED</v>
      </c>
      <c r="B1205" s="27" t="str">
        <f>IFERROR(__xludf.DUMMYFUNCTION("""COMPUTED_VALUE"""),"EB9-2")</f>
        <v>EB9-2</v>
      </c>
      <c r="C1205" s="26" t="str">
        <f>IFERROR(__xludf.DUMMYFUNCTION("""COMPUTED_VALUE"""),"Drupal 9 Migration Planning")</f>
        <v>Drupal 9 Migration Planning</v>
      </c>
      <c r="D1205" s="28">
        <f>IFERROR(__xludf.DUMMYFUNCTION("""COMPUTED_VALUE"""),0.5)</f>
        <v>0.5</v>
      </c>
      <c r="E1205" s="29">
        <f>IFERROR(__xludf.DUMMYFUNCTION("""COMPUTED_VALUE"""),44132.0)</f>
        <v>44132</v>
      </c>
      <c r="F1205" s="26" t="str">
        <f>IFERROR(__xludf.DUMMYFUNCTION("""COMPUTED_VALUE"""),"557058:ed1ddc66-d84d-405c-a815-0fcc6147ba14")</f>
        <v>557058:ed1ddc66-d84d-405c-a815-0fcc6147ba14</v>
      </c>
      <c r="G1205" s="26" t="str">
        <f>IFERROR(__xludf.DUMMYFUNCTION("""COMPUTED_VALUE"""),"Mark Corrigan")</f>
        <v>Mark Corrigan</v>
      </c>
      <c r="H1205" s="26" t="b">
        <v>0</v>
      </c>
    </row>
    <row r="1206">
      <c r="A1206" s="26" t="str">
        <f>VLOOKUP(B1206,'2020 SRED (JIRA) - Issues and l'!$B:$C,2,FALSE)</f>
        <v>insite-workflow-SRED</v>
      </c>
      <c r="B1206" s="27" t="str">
        <f>IFERROR(__xludf.DUMMYFUNCTION("""COMPUTED_VALUE"""),"APPS-511")</f>
        <v>APPS-511</v>
      </c>
      <c r="C1206" s="26" t="str">
        <f>IFERROR(__xludf.DUMMYFUNCTION("""COMPUTED_VALUE"""),"Sales Pipeline v1 demo, product data entry, feedback collection from SAMS/ADs")</f>
        <v>Sales Pipeline v1 demo, product data entry, feedback collection from SAMS/ADs</v>
      </c>
      <c r="D1206" s="28">
        <f>IFERROR(__xludf.DUMMYFUNCTION("""COMPUTED_VALUE"""),0.5)</f>
        <v>0.5</v>
      </c>
      <c r="E1206" s="29">
        <f>IFERROR(__xludf.DUMMYFUNCTION("""COMPUTED_VALUE"""),44132.0)</f>
        <v>44132</v>
      </c>
      <c r="F1206" s="26" t="str">
        <f>IFERROR(__xludf.DUMMYFUNCTION("""COMPUTED_VALUE"""),"557058:ed1ddc66-d84d-405c-a815-0fcc6147ba14")</f>
        <v>557058:ed1ddc66-d84d-405c-a815-0fcc6147ba14</v>
      </c>
      <c r="G1206" s="26" t="str">
        <f>IFERROR(__xludf.DUMMYFUNCTION("""COMPUTED_VALUE"""),"Mark Corrigan")</f>
        <v>Mark Corrigan</v>
      </c>
      <c r="H1206" s="26" t="b">
        <v>0</v>
      </c>
    </row>
    <row r="1207">
      <c r="A1207" s="26" t="str">
        <f>VLOOKUP(B1207,'2020 SRED (JIRA) - Issues and l'!$B:$C,2,FALSE)</f>
        <v>insite-workflow-SRED</v>
      </c>
      <c r="B1207" s="27" t="str">
        <f>IFERROR(__xludf.DUMMYFUNCTION("""COMPUTED_VALUE"""),"APPS-138")</f>
        <v>APPS-138</v>
      </c>
      <c r="C1207" s="26" t="str">
        <f>IFERROR(__xludf.DUMMYFUNCTION("""COMPUTED_VALUE"""),"As a salesperson, I can add an overall discount % to a proposal")</f>
        <v>As a salesperson, I can add an overall discount % to a proposal</v>
      </c>
      <c r="D1207" s="28">
        <f>IFERROR(__xludf.DUMMYFUNCTION("""COMPUTED_VALUE"""),0.5)</f>
        <v>0.5</v>
      </c>
      <c r="E1207" s="29">
        <f>IFERROR(__xludf.DUMMYFUNCTION("""COMPUTED_VALUE"""),44132.0)</f>
        <v>44132</v>
      </c>
      <c r="F1207" s="26" t="str">
        <f>IFERROR(__xludf.DUMMYFUNCTION("""COMPUTED_VALUE"""),"557058:ed1ddc66-d84d-405c-a815-0fcc6147ba14")</f>
        <v>557058:ed1ddc66-d84d-405c-a815-0fcc6147ba14</v>
      </c>
      <c r="G1207" s="26" t="str">
        <f>IFERROR(__xludf.DUMMYFUNCTION("""COMPUTED_VALUE"""),"Mark Corrigan")</f>
        <v>Mark Corrigan</v>
      </c>
      <c r="H1207" s="26" t="b">
        <v>0</v>
      </c>
    </row>
    <row r="1208" hidden="1">
      <c r="A1208" s="26" t="str">
        <f>VLOOKUP(B1208,'2020 SRED (JIRA) - Issues and l'!$B:$C,2,FALSE)</f>
        <v>insite-workflow-SRED</v>
      </c>
      <c r="B1208" s="27" t="str">
        <f>IFERROR(__xludf.DUMMYFUNCTION("""COMPUTED_VALUE"""),"APPS-507")</f>
        <v>APPS-507</v>
      </c>
      <c r="C1208" s="26" t="str">
        <f>IFERROR(__xludf.DUMMYFUNCTION("""COMPUTED_VALUE"""),"Get up to speed on Google Apps Script for maintenance of proposal builder")</f>
        <v>Get up to speed on Google Apps Script for maintenance of proposal builder</v>
      </c>
      <c r="D1208" s="28">
        <f>IFERROR(__xludf.DUMMYFUNCTION("""COMPUTED_VALUE"""),2.0)</f>
        <v>2</v>
      </c>
      <c r="E1208" s="29">
        <f>IFERROR(__xludf.DUMMYFUNCTION("""COMPUTED_VALUE"""),44132.0)</f>
        <v>44132</v>
      </c>
      <c r="F1208" s="26" t="str">
        <f>IFERROR(__xludf.DUMMYFUNCTION("""COMPUTED_VALUE"""),"5ee7b6ce868ce30ac49e2521")</f>
        <v>5ee7b6ce868ce30ac49e2521</v>
      </c>
      <c r="G1208" s="26" t="str">
        <f>IFERROR(__xludf.DUMMYFUNCTION("""COMPUTED_VALUE"""),"Bryan Le")</f>
        <v>Bryan Le</v>
      </c>
      <c r="H1208" s="26" t="b">
        <v>0</v>
      </c>
    </row>
    <row r="1209" hidden="1">
      <c r="A1209" s="26" t="str">
        <f>VLOOKUP(B1209,'2020 SRED (JIRA) - Issues and l'!$B:$C,2,FALSE)</f>
        <v>insite-workflow-SRED</v>
      </c>
      <c r="B1209" s="27" t="str">
        <f>IFERROR(__xludf.DUMMYFUNCTION("""COMPUTED_VALUE"""),"APPS-522")</f>
        <v>APPS-522</v>
      </c>
      <c r="C1209" s="26" t="str">
        <f>IFERROR(__xludf.DUMMYFUNCTION("""COMPUTED_VALUE"""),"Go through process of importing new advisors pre-touchpoint and updating word counts post-touchpoint")</f>
        <v>Go through process of importing new advisors pre-touchpoint and updating word counts post-touchpoint</v>
      </c>
      <c r="D1209" s="28">
        <f>IFERROR(__xludf.DUMMYFUNCTION("""COMPUTED_VALUE"""),5.0)</f>
        <v>5</v>
      </c>
      <c r="E1209" s="29">
        <f>IFERROR(__xludf.DUMMYFUNCTION("""COMPUTED_VALUE"""),44132.0)</f>
        <v>44132</v>
      </c>
      <c r="F1209" s="26" t="str">
        <f>IFERROR(__xludf.DUMMYFUNCTION("""COMPUTED_VALUE"""),"5ee7b6ce868ce30ac49e2521")</f>
        <v>5ee7b6ce868ce30ac49e2521</v>
      </c>
      <c r="G1209" s="26" t="str">
        <f>IFERROR(__xludf.DUMMYFUNCTION("""COMPUTED_VALUE"""),"Bryan Le")</f>
        <v>Bryan Le</v>
      </c>
      <c r="H1209" s="26" t="b">
        <v>0</v>
      </c>
    </row>
    <row r="1210" hidden="1">
      <c r="A1210" s="26" t="str">
        <f>VLOOKUP(B1210,'2020 SRED (JIRA) - Issues and l'!$B:$C,2,FALSE)</f>
        <v>insite-workflow-SRED</v>
      </c>
      <c r="B1210" s="27" t="str">
        <f>IFERROR(__xludf.DUMMYFUNCTION("""COMPUTED_VALUE"""),"APPS-523")</f>
        <v>APPS-523</v>
      </c>
      <c r="C1210" s="26" t="str">
        <f>IFERROR(__xludf.DUMMYFUNCTION("""COMPUTED_VALUE"""),"Make ""therapeutic area"" to be an enum list in the contacts and proposal record ")</f>
        <v>Make "therapeutic area" to be an enum list in the contacts and proposal record </v>
      </c>
      <c r="D1210" s="28">
        <f>IFERROR(__xludf.DUMMYFUNCTION("""COMPUTED_VALUE"""),7.0)</f>
        <v>7</v>
      </c>
      <c r="E1210" s="29">
        <f>IFERROR(__xludf.DUMMYFUNCTION("""COMPUTED_VALUE"""),44132.0)</f>
        <v>44132</v>
      </c>
      <c r="F1210" s="26" t="str">
        <f>IFERROR(__xludf.DUMMYFUNCTION("""COMPUTED_VALUE"""),"5ee7b6cf02b4400ac4b65399")</f>
        <v>5ee7b6cf02b4400ac4b65399</v>
      </c>
      <c r="G1210" s="26" t="str">
        <f>IFERROR(__xludf.DUMMYFUNCTION("""COMPUTED_VALUE"""),"Jessica Obando")</f>
        <v>Jessica Obando</v>
      </c>
      <c r="H1210" s="26" t="b">
        <v>0</v>
      </c>
    </row>
    <row r="1211" hidden="1">
      <c r="A1211" s="26" t="str">
        <f>VLOOKUP(B1211,'2020 SRED (JIRA) - Issues and l'!$B:$C,2,FALSE)</f>
        <v>portal-builder-SRED</v>
      </c>
      <c r="B1211" s="27" t="str">
        <f>IFERROR(__xludf.DUMMYFUNCTION("""COMPUTED_VALUE"""),"ITP-1874")</f>
        <v>ITP-1874</v>
      </c>
      <c r="C1211" s="26" t="str">
        <f>IFERROR(__xludf.DUMMYFUNCTION("""COMPUTED_VALUE"""),"Multiple webform submission group conditions")</f>
        <v>Multiple webform submission group conditions</v>
      </c>
      <c r="D1211" s="28">
        <f>IFERROR(__xludf.DUMMYFUNCTION("""COMPUTED_VALUE"""),0.25)</f>
        <v>0.25</v>
      </c>
      <c r="E1211" s="29">
        <f>IFERROR(__xludf.DUMMYFUNCTION("""COMPUTED_VALUE"""),44132.42708333333)</f>
        <v>44132.42708</v>
      </c>
      <c r="F1211" s="26" t="str">
        <f>IFERROR(__xludf.DUMMYFUNCTION("""COMPUTED_VALUE"""),"557058:3124a1f0-e92a-405c-93f2-c1d4e621bc77")</f>
        <v>557058:3124a1f0-e92a-405c-93f2-c1d4e621bc77</v>
      </c>
      <c r="G1211" s="26" t="str">
        <f>IFERROR(__xludf.DUMMYFUNCTION("""COMPUTED_VALUE"""),"Trevor Coehoorn")</f>
        <v>Trevor Coehoorn</v>
      </c>
      <c r="H1211" s="26" t="b">
        <v>0</v>
      </c>
    </row>
    <row r="1212" hidden="1">
      <c r="A1212" s="26" t="str">
        <f>VLOOKUP(B1212,'2020 SRED (JIRA) - Issues and l'!$B:$C,2,FALSE)</f>
        <v>insite-event-SRED</v>
      </c>
      <c r="B1212" s="27" t="str">
        <f>IFERROR(__xludf.DUMMYFUNCTION("""COMPUTED_VALUE"""),"ZAPI-169")</f>
        <v>ZAPI-169</v>
      </c>
      <c r="C1212" s="26" t="str">
        <f>IFERROR(__xludf.DUMMYFUNCTION("""COMPUTED_VALUE"""),"Prevent users from downloading unauthorized recording files")</f>
        <v>Prevent users from downloading unauthorized recording files</v>
      </c>
      <c r="D1212" s="28">
        <f>IFERROR(__xludf.DUMMYFUNCTION("""COMPUTED_VALUE"""),1.75)</f>
        <v>1.75</v>
      </c>
      <c r="E1212" s="29">
        <f>IFERROR(__xludf.DUMMYFUNCTION("""COMPUTED_VALUE"""),44132.4375)</f>
        <v>44132.4375</v>
      </c>
      <c r="F1212" s="26" t="str">
        <f>IFERROR(__xludf.DUMMYFUNCTION("""COMPUTED_VALUE"""),"557058:3124a1f0-e92a-405c-93f2-c1d4e621bc77")</f>
        <v>557058:3124a1f0-e92a-405c-93f2-c1d4e621bc77</v>
      </c>
      <c r="G1212" s="26" t="str">
        <f>IFERROR(__xludf.DUMMYFUNCTION("""COMPUTED_VALUE"""),"Trevor Coehoorn")</f>
        <v>Trevor Coehoorn</v>
      </c>
      <c r="H1212" s="26" t="b">
        <v>0</v>
      </c>
    </row>
    <row r="1213">
      <c r="A1213" s="26" t="str">
        <f>VLOOKUP(B1213,'2020 SRED (JIRA) - Issues and l'!$B:$C,2,FALSE)</f>
        <v>insite-workflow-SRED</v>
      </c>
      <c r="B1213" s="27" t="str">
        <f>IFERROR(__xludf.DUMMYFUNCTION("""COMPUTED_VALUE"""),"APPS-10")</f>
        <v>APPS-10</v>
      </c>
      <c r="C1213" s="26" t="str">
        <f>IFERROR(__xludf.DUMMYFUNCTION("""COMPUTED_VALUE"""),"Sales Pipeline app (v1)")</f>
        <v>Sales Pipeline app (v1)</v>
      </c>
      <c r="D1213" s="28">
        <f>IFERROR(__xludf.DUMMYFUNCTION("""COMPUTED_VALUE"""),2.0)</f>
        <v>2</v>
      </c>
      <c r="E1213" s="29">
        <f>IFERROR(__xludf.DUMMYFUNCTION("""COMPUTED_VALUE"""),44133.0)</f>
        <v>44133</v>
      </c>
      <c r="F1213" s="26" t="str">
        <f>IFERROR(__xludf.DUMMYFUNCTION("""COMPUTED_VALUE"""),"557058:ed1ddc66-d84d-405c-a815-0fcc6147ba14")</f>
        <v>557058:ed1ddc66-d84d-405c-a815-0fcc6147ba14</v>
      </c>
      <c r="G1213" s="26" t="str">
        <f>IFERROR(__xludf.DUMMYFUNCTION("""COMPUTED_VALUE"""),"Mark Corrigan")</f>
        <v>Mark Corrigan</v>
      </c>
      <c r="H1213" s="26" t="b">
        <v>0</v>
      </c>
    </row>
    <row r="1214">
      <c r="A1214" s="26" t="str">
        <f>VLOOKUP(B1214,'2020 SRED (JIRA) - Issues and l'!$B:$C,2,FALSE)</f>
        <v>insite-workflow-SRED</v>
      </c>
      <c r="B1214" s="27" t="str">
        <f>IFERROR(__xludf.DUMMYFUNCTION("""COMPUTED_VALUE"""),"APPS-14")</f>
        <v>APPS-14</v>
      </c>
      <c r="C1214" s="26" t="str">
        <f>IFERROR(__xludf.DUMMYFUNCTION("""COMPUTED_VALUE"""),"Advisor Database app")</f>
        <v>Advisor Database app</v>
      </c>
      <c r="D1214" s="28">
        <f>IFERROR(__xludf.DUMMYFUNCTION("""COMPUTED_VALUE"""),0.5)</f>
        <v>0.5</v>
      </c>
      <c r="E1214" s="29">
        <f>IFERROR(__xludf.DUMMYFUNCTION("""COMPUTED_VALUE"""),44133.0)</f>
        <v>44133</v>
      </c>
      <c r="F1214" s="26" t="str">
        <f>IFERROR(__xludf.DUMMYFUNCTION("""COMPUTED_VALUE"""),"557058:ed1ddc66-d84d-405c-a815-0fcc6147ba14")</f>
        <v>557058:ed1ddc66-d84d-405c-a815-0fcc6147ba14</v>
      </c>
      <c r="G1214" s="26" t="str">
        <f>IFERROR(__xludf.DUMMYFUNCTION("""COMPUTED_VALUE"""),"Mark Corrigan")</f>
        <v>Mark Corrigan</v>
      </c>
      <c r="H1214" s="26" t="b">
        <v>0</v>
      </c>
    </row>
    <row r="1215">
      <c r="A1215" s="26" t="str">
        <f>VLOOKUP(B1215,'2020 SRED (JIRA) - Issues and l'!$B:$C,2,FALSE)</f>
        <v>insite-workflow-SRED</v>
      </c>
      <c r="B1215" s="27" t="str">
        <f>IFERROR(__xludf.DUMMYFUNCTION("""COMPUTED_VALUE"""),"APPS-522")</f>
        <v>APPS-522</v>
      </c>
      <c r="C1215" s="26" t="str">
        <f>IFERROR(__xludf.DUMMYFUNCTION("""COMPUTED_VALUE"""),"Go through process of importing new advisors pre-touchpoint and updating word counts post-touchpoint")</f>
        <v>Go through process of importing new advisors pre-touchpoint and updating word counts post-touchpoint</v>
      </c>
      <c r="D1215" s="28">
        <f>IFERROR(__xludf.DUMMYFUNCTION("""COMPUTED_VALUE"""),0.5)</f>
        <v>0.5</v>
      </c>
      <c r="E1215" s="29">
        <f>IFERROR(__xludf.DUMMYFUNCTION("""COMPUTED_VALUE"""),44133.0)</f>
        <v>44133</v>
      </c>
      <c r="F1215" s="26" t="str">
        <f>IFERROR(__xludf.DUMMYFUNCTION("""COMPUTED_VALUE"""),"557058:ed1ddc66-d84d-405c-a815-0fcc6147ba14")</f>
        <v>557058:ed1ddc66-d84d-405c-a815-0fcc6147ba14</v>
      </c>
      <c r="G1215" s="26" t="str">
        <f>IFERROR(__xludf.DUMMYFUNCTION("""COMPUTED_VALUE"""),"Mark Corrigan")</f>
        <v>Mark Corrigan</v>
      </c>
      <c r="H1215" s="26" t="b">
        <v>0</v>
      </c>
    </row>
    <row r="1216" hidden="1">
      <c r="A1216" s="26" t="str">
        <f>VLOOKUP(B1216,'2020 SRED (JIRA) - Issues and l'!$B:$C,2,FALSE)</f>
        <v>insite-workflow-SRED</v>
      </c>
      <c r="B1216" s="27" t="str">
        <f>IFERROR(__xludf.DUMMYFUNCTION("""COMPUTED_VALUE"""),"APPS-522")</f>
        <v>APPS-522</v>
      </c>
      <c r="C1216" s="26" t="str">
        <f>IFERROR(__xludf.DUMMYFUNCTION("""COMPUTED_VALUE"""),"Go through process of importing new advisors pre-touchpoint and updating word counts post-touchpoint")</f>
        <v>Go through process of importing new advisors pre-touchpoint and updating word counts post-touchpoint</v>
      </c>
      <c r="D1216" s="28">
        <f>IFERROR(__xludf.DUMMYFUNCTION("""COMPUTED_VALUE"""),7.0)</f>
        <v>7</v>
      </c>
      <c r="E1216" s="29">
        <f>IFERROR(__xludf.DUMMYFUNCTION("""COMPUTED_VALUE"""),44133.0)</f>
        <v>44133</v>
      </c>
      <c r="F1216" s="26" t="str">
        <f>IFERROR(__xludf.DUMMYFUNCTION("""COMPUTED_VALUE"""),"5ee7b6ce868ce30ac49e2521")</f>
        <v>5ee7b6ce868ce30ac49e2521</v>
      </c>
      <c r="G1216" s="26" t="str">
        <f>IFERROR(__xludf.DUMMYFUNCTION("""COMPUTED_VALUE"""),"Bryan Le")</f>
        <v>Bryan Le</v>
      </c>
      <c r="H1216" s="26" t="b">
        <v>0</v>
      </c>
    </row>
    <row r="1217" hidden="1">
      <c r="A1217" s="26" t="str">
        <f>VLOOKUP(B1217,'2020 SRED (JIRA) - Issues and l'!$B:$C,2,FALSE)</f>
        <v>insite-workflow-SRED</v>
      </c>
      <c r="B1217" s="27" t="str">
        <f>IFERROR(__xludf.DUMMYFUNCTION("""COMPUTED_VALUE"""),"APPS-138")</f>
        <v>APPS-138</v>
      </c>
      <c r="C1217" s="26" t="str">
        <f>IFERROR(__xludf.DUMMYFUNCTION("""COMPUTED_VALUE"""),"As a salesperson, I can add an overall discount % to a proposal")</f>
        <v>As a salesperson, I can add an overall discount % to a proposal</v>
      </c>
      <c r="D1217" s="28">
        <f>IFERROR(__xludf.DUMMYFUNCTION("""COMPUTED_VALUE"""),7.0)</f>
        <v>7</v>
      </c>
      <c r="E1217" s="29">
        <f>IFERROR(__xludf.DUMMYFUNCTION("""COMPUTED_VALUE"""),44133.0)</f>
        <v>44133</v>
      </c>
      <c r="F1217" s="26" t="str">
        <f>IFERROR(__xludf.DUMMYFUNCTION("""COMPUTED_VALUE"""),"5ee7b6cf02b4400ac4b65399")</f>
        <v>5ee7b6cf02b4400ac4b65399</v>
      </c>
      <c r="G1217" s="26" t="str">
        <f>IFERROR(__xludf.DUMMYFUNCTION("""COMPUTED_VALUE"""),"Jessica Obando")</f>
        <v>Jessica Obando</v>
      </c>
      <c r="H1217" s="26" t="b">
        <v>0</v>
      </c>
    </row>
    <row r="1218" hidden="1">
      <c r="A1218" s="26" t="str">
        <f>VLOOKUP(B1218,'2020 SRED (JIRA) - Issues and l'!$B:$C,2,FALSE)</f>
        <v>portal-builder-SRED</v>
      </c>
      <c r="B1218" s="27" t="str">
        <f>IFERROR(__xludf.DUMMYFUNCTION("""COMPUTED_VALUE"""),"ITP-1874")</f>
        <v>ITP-1874</v>
      </c>
      <c r="C1218" s="26" t="str">
        <f>IFERROR(__xludf.DUMMYFUNCTION("""COMPUTED_VALUE"""),"Multiple webform submission group conditions")</f>
        <v>Multiple webform submission group conditions</v>
      </c>
      <c r="D1218" s="28">
        <f>IFERROR(__xludf.DUMMYFUNCTION("""COMPUTED_VALUE"""),1.0)</f>
        <v>1</v>
      </c>
      <c r="E1218" s="29">
        <f>IFERROR(__xludf.DUMMYFUNCTION("""COMPUTED_VALUE"""),44133.375)</f>
        <v>44133.375</v>
      </c>
      <c r="F1218" s="26" t="str">
        <f>IFERROR(__xludf.DUMMYFUNCTION("""COMPUTED_VALUE"""),"557058:73c9cac1-5a92-492c-86e8-838810ee0dde")</f>
        <v>557058:73c9cac1-5a92-492c-86e8-838810ee0dde</v>
      </c>
      <c r="G1218" s="26" t="str">
        <f>IFERROR(__xludf.DUMMYFUNCTION("""COMPUTED_VALUE"""),"Dan Wells")</f>
        <v>Dan Wells</v>
      </c>
      <c r="H1218" s="26" t="b">
        <v>0</v>
      </c>
    </row>
    <row r="1219" hidden="1">
      <c r="A1219" s="26" t="str">
        <f>VLOOKUP(B1219,'2020 SRED (JIRA) - Issues and l'!$B:$C,2,FALSE)</f>
        <v>portal-builder-SRED</v>
      </c>
      <c r="B1219" s="27" t="str">
        <f>IFERROR(__xludf.DUMMYFUNCTION("""COMPUTED_VALUE"""),"ITP-1877")</f>
        <v>ITP-1877</v>
      </c>
      <c r="C1219" s="26" t="str">
        <f>IFERROR(__xludf.DUMMYFUNCTION("""COMPUTED_VALUE"""),"TP builder makes pages with section titles longer than allowed character limit ")</f>
        <v>TP builder makes pages with section titles longer than allowed character limit </v>
      </c>
      <c r="D1219" s="28">
        <f>IFERROR(__xludf.DUMMYFUNCTION("""COMPUTED_VALUE"""),2.0)</f>
        <v>2</v>
      </c>
      <c r="E1219" s="29">
        <f>IFERROR(__xludf.DUMMYFUNCTION("""COMPUTED_VALUE"""),44133.44791666667)</f>
        <v>44133.44792</v>
      </c>
      <c r="F1219" s="26" t="str">
        <f>IFERROR(__xludf.DUMMYFUNCTION("""COMPUTED_VALUE"""),"5f5125a6333edb00434bffaf")</f>
        <v>5f5125a6333edb00434bffaf</v>
      </c>
      <c r="G1219" s="26" t="str">
        <f>IFERROR(__xludf.DUMMYFUNCTION("""COMPUTED_VALUE"""),"Terry Waldner")</f>
        <v>Terry Waldner</v>
      </c>
      <c r="H1219" s="26" t="b">
        <v>0</v>
      </c>
    </row>
    <row r="1220" hidden="1">
      <c r="A1220" s="26" t="str">
        <f>VLOOKUP(B1220,'2020 SRED (JIRA) - Issues and l'!$B:$C,2,FALSE)</f>
        <v>portal-builder-SRED</v>
      </c>
      <c r="B1220" s="27" t="str">
        <f>IFERROR(__xludf.DUMMYFUNCTION("""COMPUTED_VALUE"""),"ITP-1877")</f>
        <v>ITP-1877</v>
      </c>
      <c r="C1220" s="26" t="str">
        <f>IFERROR(__xludf.DUMMYFUNCTION("""COMPUTED_VALUE"""),"TP builder makes pages with section titles longer than allowed character limit ")</f>
        <v>TP builder makes pages with section titles longer than allowed character limit </v>
      </c>
      <c r="D1220" s="28">
        <f>IFERROR(__xludf.DUMMYFUNCTION("""COMPUTED_VALUE"""),0.25)</f>
        <v>0.25</v>
      </c>
      <c r="E1220" s="29">
        <f>IFERROR(__xludf.DUMMYFUNCTION("""COMPUTED_VALUE"""),44133.48958333333)</f>
        <v>44133.48958</v>
      </c>
      <c r="F1220" s="26" t="str">
        <f>IFERROR(__xludf.DUMMYFUNCTION("""COMPUTED_VALUE"""),"557058:3124a1f0-e92a-405c-93f2-c1d4e621bc77")</f>
        <v>557058:3124a1f0-e92a-405c-93f2-c1d4e621bc77</v>
      </c>
      <c r="G1220" s="26" t="str">
        <f>IFERROR(__xludf.DUMMYFUNCTION("""COMPUTED_VALUE"""),"Trevor Coehoorn")</f>
        <v>Trevor Coehoorn</v>
      </c>
      <c r="H1220" s="26" t="b">
        <v>0</v>
      </c>
    </row>
    <row r="1221" hidden="1">
      <c r="A1221" s="26" t="str">
        <f>VLOOKUP(B1221,'2020 SRED (JIRA) - Issues and l'!$B:$C,2,FALSE)</f>
        <v>insite-event-SRED</v>
      </c>
      <c r="B1221" s="27" t="str">
        <f>IFERROR(__xludf.DUMMYFUNCTION("""COMPUTED_VALUE"""),"ZAPI-169")</f>
        <v>ZAPI-169</v>
      </c>
      <c r="C1221" s="26" t="str">
        <f>IFERROR(__xludf.DUMMYFUNCTION("""COMPUTED_VALUE"""),"Prevent users from downloading unauthorized recording files")</f>
        <v>Prevent users from downloading unauthorized recording files</v>
      </c>
      <c r="D1221" s="28">
        <f>IFERROR(__xludf.DUMMYFUNCTION("""COMPUTED_VALUE"""),0.25)</f>
        <v>0.25</v>
      </c>
      <c r="E1221" s="29">
        <f>IFERROR(__xludf.DUMMYFUNCTION("""COMPUTED_VALUE"""),44133.54166666667)</f>
        <v>44133.54167</v>
      </c>
      <c r="F1221" s="26" t="str">
        <f>IFERROR(__xludf.DUMMYFUNCTION("""COMPUTED_VALUE"""),"557058:3124a1f0-e92a-405c-93f2-c1d4e621bc77")</f>
        <v>557058:3124a1f0-e92a-405c-93f2-c1d4e621bc77</v>
      </c>
      <c r="G1221" s="26" t="str">
        <f>IFERROR(__xludf.DUMMYFUNCTION("""COMPUTED_VALUE"""),"Trevor Coehoorn")</f>
        <v>Trevor Coehoorn</v>
      </c>
      <c r="H1221" s="26" t="b">
        <v>0</v>
      </c>
    </row>
    <row r="1222" hidden="1">
      <c r="A1222" s="26" t="str">
        <f>VLOOKUP(B1222,'2020 SRED (JIRA) - Issues and l'!$B:$C,2,FALSE)</f>
        <v>portal-builder-SRED</v>
      </c>
      <c r="B1222" s="27" t="str">
        <f>IFERROR(__xludf.DUMMYFUNCTION("""COMPUTED_VALUE"""),"ITP-1877")</f>
        <v>ITP-1877</v>
      </c>
      <c r="C1222" s="26" t="str">
        <f>IFERROR(__xludf.DUMMYFUNCTION("""COMPUTED_VALUE"""),"TP builder makes pages with section titles longer than allowed character limit ")</f>
        <v>TP builder makes pages with section titles longer than allowed character limit </v>
      </c>
      <c r="D1222" s="28">
        <f>IFERROR(__xludf.DUMMYFUNCTION("""COMPUTED_VALUE"""),0.25)</f>
        <v>0.25</v>
      </c>
      <c r="E1222" s="29">
        <f>IFERROR(__xludf.DUMMYFUNCTION("""COMPUTED_VALUE"""),44133.55208333333)</f>
        <v>44133.55208</v>
      </c>
      <c r="F1222" s="26" t="str">
        <f>IFERROR(__xludf.DUMMYFUNCTION("""COMPUTED_VALUE"""),"5f5125a6333edb00434bffaf")</f>
        <v>5f5125a6333edb00434bffaf</v>
      </c>
      <c r="G1222" s="26" t="str">
        <f>IFERROR(__xludf.DUMMYFUNCTION("""COMPUTED_VALUE"""),"Terry Waldner")</f>
        <v>Terry Waldner</v>
      </c>
      <c r="H1222" s="26" t="b">
        <v>0</v>
      </c>
    </row>
    <row r="1223" hidden="1">
      <c r="A1223" s="26" t="str">
        <f>VLOOKUP(B1223,'2020 SRED (JIRA) - Issues and l'!$B:$C,2,FALSE)</f>
        <v>portal-builder-SRED</v>
      </c>
      <c r="B1223" s="27" t="str">
        <f>IFERROR(__xludf.DUMMYFUNCTION("""COMPUTED_VALUE"""),"ITP-1877")</f>
        <v>ITP-1877</v>
      </c>
      <c r="C1223" s="26" t="str">
        <f>IFERROR(__xludf.DUMMYFUNCTION("""COMPUTED_VALUE"""),"TP builder makes pages with section titles longer than allowed character limit ")</f>
        <v>TP builder makes pages with section titles longer than allowed character limit </v>
      </c>
      <c r="D1223" s="28">
        <f>IFERROR(__xludf.DUMMYFUNCTION("""COMPUTED_VALUE"""),0.75)</f>
        <v>0.75</v>
      </c>
      <c r="E1223" s="29">
        <f>IFERROR(__xludf.DUMMYFUNCTION("""COMPUTED_VALUE"""),44133.63541666667)</f>
        <v>44133.63542</v>
      </c>
      <c r="F1223" s="26" t="str">
        <f>IFERROR(__xludf.DUMMYFUNCTION("""COMPUTED_VALUE"""),"557058:3124a1f0-e92a-405c-93f2-c1d4e621bc77")</f>
        <v>557058:3124a1f0-e92a-405c-93f2-c1d4e621bc77</v>
      </c>
      <c r="G1223" s="26" t="str">
        <f>IFERROR(__xludf.DUMMYFUNCTION("""COMPUTED_VALUE"""),"Trevor Coehoorn")</f>
        <v>Trevor Coehoorn</v>
      </c>
      <c r="H1223" s="26" t="b">
        <v>0</v>
      </c>
    </row>
    <row r="1224" hidden="1">
      <c r="A1224" s="26" t="str">
        <f>VLOOKUP(B1224,'2020 SRED (JIRA) - Issues and l'!$B:$C,2,FALSE)</f>
        <v>portal-builder-SRED</v>
      </c>
      <c r="B1224" s="27" t="str">
        <f>IFERROR(__xludf.DUMMYFUNCTION("""COMPUTED_VALUE"""),"ITP-1877")</f>
        <v>ITP-1877</v>
      </c>
      <c r="C1224" s="26" t="str">
        <f>IFERROR(__xludf.DUMMYFUNCTION("""COMPUTED_VALUE"""),"TP builder makes pages with section titles longer than allowed character limit ")</f>
        <v>TP builder makes pages with section titles longer than allowed character limit </v>
      </c>
      <c r="D1224" s="28">
        <f>IFERROR(__xludf.DUMMYFUNCTION("""COMPUTED_VALUE"""),0.5)</f>
        <v>0.5</v>
      </c>
      <c r="E1224" s="29">
        <f>IFERROR(__xludf.DUMMYFUNCTION("""COMPUTED_VALUE"""),44133.63541666667)</f>
        <v>44133.63542</v>
      </c>
      <c r="F1224" s="26" t="str">
        <f>IFERROR(__xludf.DUMMYFUNCTION("""COMPUTED_VALUE"""),"5f5125a6333edb00434bffaf")</f>
        <v>5f5125a6333edb00434bffaf</v>
      </c>
      <c r="G1224" s="26" t="str">
        <f>IFERROR(__xludf.DUMMYFUNCTION("""COMPUTED_VALUE"""),"Terry Waldner")</f>
        <v>Terry Waldner</v>
      </c>
      <c r="H1224" s="26" t="b">
        <v>0</v>
      </c>
    </row>
    <row r="1225">
      <c r="A1225" s="26" t="str">
        <f>VLOOKUP(B1225,'2020 SRED (JIRA) - Issues and l'!$B:$C,2,FALSE)</f>
        <v>insite-workflow-SRED</v>
      </c>
      <c r="B1225" s="27" t="str">
        <f>IFERROR(__xludf.DUMMYFUNCTION("""COMPUTED_VALUE"""),"APPS-63")</f>
        <v>APPS-63</v>
      </c>
      <c r="C1225" s="26" t="str">
        <f>IFERROR(__xludf.DUMMYFUNCTION("""COMPUTED_VALUE"""),"Impetus Gmail add-on")</f>
        <v>Impetus Gmail add-on</v>
      </c>
      <c r="D1225" s="28">
        <f>IFERROR(__xludf.DUMMYFUNCTION("""COMPUTED_VALUE"""),0.5)</f>
        <v>0.5</v>
      </c>
      <c r="E1225" s="29">
        <f>IFERROR(__xludf.DUMMYFUNCTION("""COMPUTED_VALUE"""),44134.0)</f>
        <v>44134</v>
      </c>
      <c r="F1225" s="26" t="str">
        <f>IFERROR(__xludf.DUMMYFUNCTION("""COMPUTED_VALUE"""),"557058:ed1ddc66-d84d-405c-a815-0fcc6147ba14")</f>
        <v>557058:ed1ddc66-d84d-405c-a815-0fcc6147ba14</v>
      </c>
      <c r="G1225" s="26" t="str">
        <f>IFERROR(__xludf.DUMMYFUNCTION("""COMPUTED_VALUE"""),"Mark Corrigan")</f>
        <v>Mark Corrigan</v>
      </c>
      <c r="H1225" s="26" t="b">
        <v>0</v>
      </c>
    </row>
    <row r="1226">
      <c r="A1226" s="26" t="str">
        <f>VLOOKUP(B1226,'2020 SRED (JIRA) - Issues and l'!$B:$C,2,FALSE)</f>
        <v>insite-workflow-SRED</v>
      </c>
      <c r="B1226" s="27" t="str">
        <f>IFERROR(__xludf.DUMMYFUNCTION("""COMPUTED_VALUE"""),"APPS-10")</f>
        <v>APPS-10</v>
      </c>
      <c r="C1226" s="26" t="str">
        <f>IFERROR(__xludf.DUMMYFUNCTION("""COMPUTED_VALUE"""),"Sales Pipeline app (v1)")</f>
        <v>Sales Pipeline app (v1)</v>
      </c>
      <c r="D1226" s="28">
        <f>IFERROR(__xludf.DUMMYFUNCTION("""COMPUTED_VALUE"""),2.0)</f>
        <v>2</v>
      </c>
      <c r="E1226" s="29">
        <f>IFERROR(__xludf.DUMMYFUNCTION("""COMPUTED_VALUE"""),44134.0)</f>
        <v>44134</v>
      </c>
      <c r="F1226" s="26" t="str">
        <f>IFERROR(__xludf.DUMMYFUNCTION("""COMPUTED_VALUE"""),"557058:ed1ddc66-d84d-405c-a815-0fcc6147ba14")</f>
        <v>557058:ed1ddc66-d84d-405c-a815-0fcc6147ba14</v>
      </c>
      <c r="G1226" s="26" t="str">
        <f>IFERROR(__xludf.DUMMYFUNCTION("""COMPUTED_VALUE"""),"Mark Corrigan")</f>
        <v>Mark Corrigan</v>
      </c>
      <c r="H1226" s="26" t="b">
        <v>0</v>
      </c>
    </row>
    <row r="1227">
      <c r="A1227" s="26" t="str">
        <f>VLOOKUP(B1227,'2020 SRED (JIRA) - Issues and l'!$B:$C,2,FALSE)</f>
        <v>insite-workflow-SRED</v>
      </c>
      <c r="B1227" s="27" t="str">
        <f>IFERROR(__xludf.DUMMYFUNCTION("""COMPUTED_VALUE"""),"APPS-14")</f>
        <v>APPS-14</v>
      </c>
      <c r="C1227" s="26" t="str">
        <f>IFERROR(__xludf.DUMMYFUNCTION("""COMPUTED_VALUE"""),"Advisor Database app")</f>
        <v>Advisor Database app</v>
      </c>
      <c r="D1227" s="28">
        <f>IFERROR(__xludf.DUMMYFUNCTION("""COMPUTED_VALUE"""),2.0)</f>
        <v>2</v>
      </c>
      <c r="E1227" s="29">
        <f>IFERROR(__xludf.DUMMYFUNCTION("""COMPUTED_VALUE"""),44134.0)</f>
        <v>44134</v>
      </c>
      <c r="F1227" s="26" t="str">
        <f>IFERROR(__xludf.DUMMYFUNCTION("""COMPUTED_VALUE"""),"557058:ed1ddc66-d84d-405c-a815-0fcc6147ba14")</f>
        <v>557058:ed1ddc66-d84d-405c-a815-0fcc6147ba14</v>
      </c>
      <c r="G1227" s="26" t="str">
        <f>IFERROR(__xludf.DUMMYFUNCTION("""COMPUTED_VALUE"""),"Mark Corrigan")</f>
        <v>Mark Corrigan</v>
      </c>
      <c r="H1227" s="26" t="b">
        <v>0</v>
      </c>
    </row>
    <row r="1228" hidden="1">
      <c r="A1228" s="26" t="str">
        <f>VLOOKUP(B1228,'2020 SRED (JIRA) - Issues and l'!$B:$C,2,FALSE)</f>
        <v>insite-workflow-SRED</v>
      </c>
      <c r="B1228" s="27" t="str">
        <f>IFERROR(__xludf.DUMMYFUNCTION("""COMPUTED_VALUE"""),"APPS-522")</f>
        <v>APPS-522</v>
      </c>
      <c r="C1228" s="26" t="str">
        <f>IFERROR(__xludf.DUMMYFUNCTION("""COMPUTED_VALUE"""),"Go through process of importing new advisors pre-touchpoint and updating word counts post-touchpoint")</f>
        <v>Go through process of importing new advisors pre-touchpoint and updating word counts post-touchpoint</v>
      </c>
      <c r="D1228" s="28">
        <f>IFERROR(__xludf.DUMMYFUNCTION("""COMPUTED_VALUE"""),7.0)</f>
        <v>7</v>
      </c>
      <c r="E1228" s="29">
        <f>IFERROR(__xludf.DUMMYFUNCTION("""COMPUTED_VALUE"""),44134.0)</f>
        <v>44134</v>
      </c>
      <c r="F1228" s="26" t="str">
        <f>IFERROR(__xludf.DUMMYFUNCTION("""COMPUTED_VALUE"""),"5ee7b6ce868ce30ac49e2521")</f>
        <v>5ee7b6ce868ce30ac49e2521</v>
      </c>
      <c r="G1228" s="26" t="str">
        <f>IFERROR(__xludf.DUMMYFUNCTION("""COMPUTED_VALUE"""),"Bryan Le")</f>
        <v>Bryan Le</v>
      </c>
      <c r="H1228" s="26" t="b">
        <v>0</v>
      </c>
    </row>
    <row r="1229" hidden="1">
      <c r="A1229" s="26" t="str">
        <f>VLOOKUP(B1229,'2020 SRED (JIRA) - Issues and l'!$B:$C,2,FALSE)</f>
        <v>insite-workflow-SRED</v>
      </c>
      <c r="B1229" s="27" t="str">
        <f>IFERROR(__xludf.DUMMYFUNCTION("""COMPUTED_VALUE"""),"APPS-487")</f>
        <v>APPS-487</v>
      </c>
      <c r="C1229" s="26" t="str">
        <f>IFERROR(__xludf.DUMMYFUNCTION("""COMPUTED_VALUE"""),"Show proposal status field on proposal detail and form views")</f>
        <v>Show proposal status field on proposal detail and form views</v>
      </c>
      <c r="D1229" s="28">
        <f>IFERROR(__xludf.DUMMYFUNCTION("""COMPUTED_VALUE"""),7.0)</f>
        <v>7</v>
      </c>
      <c r="E1229" s="29">
        <f>IFERROR(__xludf.DUMMYFUNCTION("""COMPUTED_VALUE"""),44134.0)</f>
        <v>44134</v>
      </c>
      <c r="F1229" s="26" t="str">
        <f>IFERROR(__xludf.DUMMYFUNCTION("""COMPUTED_VALUE"""),"5ee7b6cf02b4400ac4b65399")</f>
        <v>5ee7b6cf02b4400ac4b65399</v>
      </c>
      <c r="G1229" s="26" t="str">
        <f>IFERROR(__xludf.DUMMYFUNCTION("""COMPUTED_VALUE"""),"Jessica Obando")</f>
        <v>Jessica Obando</v>
      </c>
      <c r="H1229" s="26" t="b">
        <v>0</v>
      </c>
    </row>
    <row r="1230" hidden="1">
      <c r="A1230" s="26" t="str">
        <f>VLOOKUP(B1230,'2020 SRED (JIRA) - Issues and l'!$B:$C,2,FALSE)</f>
        <v>portal-builder-SRED</v>
      </c>
      <c r="B1230" s="27" t="str">
        <f>IFERROR(__xludf.DUMMYFUNCTION("""COMPUTED_VALUE"""),"ITP-1877")</f>
        <v>ITP-1877</v>
      </c>
      <c r="C1230" s="26" t="str">
        <f>IFERROR(__xludf.DUMMYFUNCTION("""COMPUTED_VALUE"""),"TP builder makes pages with section titles longer than allowed character limit ")</f>
        <v>TP builder makes pages with section titles longer than allowed character limit </v>
      </c>
      <c r="D1230" s="28">
        <f>IFERROR(__xludf.DUMMYFUNCTION("""COMPUTED_VALUE"""),1.75)</f>
        <v>1.75</v>
      </c>
      <c r="E1230" s="29">
        <f>IFERROR(__xludf.DUMMYFUNCTION("""COMPUTED_VALUE"""),44134.29166666667)</f>
        <v>44134.29167</v>
      </c>
      <c r="F1230" s="26" t="str">
        <f>IFERROR(__xludf.DUMMYFUNCTION("""COMPUTED_VALUE"""),"5f5125a6333edb00434bffaf")</f>
        <v>5f5125a6333edb00434bffaf</v>
      </c>
      <c r="G1230" s="26" t="str">
        <f>IFERROR(__xludf.DUMMYFUNCTION("""COMPUTED_VALUE"""),"Terry Waldner")</f>
        <v>Terry Waldner</v>
      </c>
      <c r="H1230" s="26" t="b">
        <v>0</v>
      </c>
    </row>
    <row r="1231" hidden="1">
      <c r="A1231" s="26" t="str">
        <f>VLOOKUP(B1231,'2020 SRED (JIRA) - Issues and l'!$B:$C,2,FALSE)</f>
        <v>insite-event-SRED</v>
      </c>
      <c r="B1231" s="27" t="str">
        <f>IFERROR(__xludf.DUMMYFUNCTION("""COMPUTED_VALUE"""),"ZAPI-169")</f>
        <v>ZAPI-169</v>
      </c>
      <c r="C1231" s="26" t="str">
        <f>IFERROR(__xludf.DUMMYFUNCTION("""COMPUTED_VALUE"""),"Prevent users from downloading unauthorized recording files")</f>
        <v>Prevent users from downloading unauthorized recording files</v>
      </c>
      <c r="D1231" s="28">
        <f>IFERROR(__xludf.DUMMYFUNCTION("""COMPUTED_VALUE"""),0.25)</f>
        <v>0.25</v>
      </c>
      <c r="E1231" s="29">
        <f>IFERROR(__xludf.DUMMYFUNCTION("""COMPUTED_VALUE"""),44134.38541666667)</f>
        <v>44134.38542</v>
      </c>
      <c r="F1231" s="26" t="str">
        <f>IFERROR(__xludf.DUMMYFUNCTION("""COMPUTED_VALUE"""),"557058:3124a1f0-e92a-405c-93f2-c1d4e621bc77")</f>
        <v>557058:3124a1f0-e92a-405c-93f2-c1d4e621bc77</v>
      </c>
      <c r="G1231" s="26" t="str">
        <f>IFERROR(__xludf.DUMMYFUNCTION("""COMPUTED_VALUE"""),"Trevor Coehoorn")</f>
        <v>Trevor Coehoorn</v>
      </c>
      <c r="H1231" s="26" t="b">
        <v>0</v>
      </c>
    </row>
    <row r="1232" hidden="1">
      <c r="A1232" s="26" t="str">
        <f>VLOOKUP(B1232,'2020 SRED (JIRA) - Issues and l'!$B:$C,2,FALSE)</f>
        <v>portal-builder-SRED</v>
      </c>
      <c r="B1232" s="27" t="str">
        <f>IFERROR(__xludf.DUMMYFUNCTION("""COMPUTED_VALUE"""),"ITP-1877")</f>
        <v>ITP-1877</v>
      </c>
      <c r="C1232" s="26" t="str">
        <f>IFERROR(__xludf.DUMMYFUNCTION("""COMPUTED_VALUE"""),"TP builder makes pages with section titles longer than allowed character limit ")</f>
        <v>TP builder makes pages with section titles longer than allowed character limit </v>
      </c>
      <c r="D1232" s="28">
        <f>IFERROR(__xludf.DUMMYFUNCTION("""COMPUTED_VALUE"""),0.5)</f>
        <v>0.5</v>
      </c>
      <c r="E1232" s="29">
        <f>IFERROR(__xludf.DUMMYFUNCTION("""COMPUTED_VALUE"""),44134.40625)</f>
        <v>44134.40625</v>
      </c>
      <c r="F1232" s="26" t="str">
        <f>IFERROR(__xludf.DUMMYFUNCTION("""COMPUTED_VALUE"""),"5f5125a6333edb00434bffaf")</f>
        <v>5f5125a6333edb00434bffaf</v>
      </c>
      <c r="G1232" s="26" t="str">
        <f>IFERROR(__xludf.DUMMYFUNCTION("""COMPUTED_VALUE"""),"Terry Waldner")</f>
        <v>Terry Waldner</v>
      </c>
      <c r="H1232" s="26" t="b">
        <v>0</v>
      </c>
    </row>
    <row r="1233" hidden="1">
      <c r="A1233" s="26" t="str">
        <f>VLOOKUP(B1233,'2020 SRED (JIRA) - Issues and l'!$B:$C,2,FALSE)</f>
        <v>insite-workflow-SRED</v>
      </c>
      <c r="B1233" s="27" t="str">
        <f>IFERROR(__xludf.DUMMYFUNCTION("""COMPUTED_VALUE"""),"APPS-522")</f>
        <v>APPS-522</v>
      </c>
      <c r="C1233" s="26" t="str">
        <f>IFERROR(__xludf.DUMMYFUNCTION("""COMPUTED_VALUE"""),"Go through process of importing new advisors pre-touchpoint and updating word counts post-touchpoint")</f>
        <v>Go through process of importing new advisors pre-touchpoint and updating word counts post-touchpoint</v>
      </c>
      <c r="D1233" s="28">
        <f>IFERROR(__xludf.DUMMYFUNCTION("""COMPUTED_VALUE"""),7.0)</f>
        <v>7</v>
      </c>
      <c r="E1233" s="29">
        <f>IFERROR(__xludf.DUMMYFUNCTION("""COMPUTED_VALUE"""),44137.0)</f>
        <v>44137</v>
      </c>
      <c r="F1233" s="26" t="str">
        <f>IFERROR(__xludf.DUMMYFUNCTION("""COMPUTED_VALUE"""),"5ee7b6ce868ce30ac49e2521")</f>
        <v>5ee7b6ce868ce30ac49e2521</v>
      </c>
      <c r="G1233" s="26" t="str">
        <f>IFERROR(__xludf.DUMMYFUNCTION("""COMPUTED_VALUE"""),"Bryan Le")</f>
        <v>Bryan Le</v>
      </c>
      <c r="H1233" s="26" t="b">
        <v>0</v>
      </c>
    </row>
    <row r="1234" hidden="1">
      <c r="A1234" s="26" t="str">
        <f>VLOOKUP(B1234,'2020 SRED (JIRA) - Issues and l'!$B:$C,2,FALSE)</f>
        <v>insite-workflow-SRED</v>
      </c>
      <c r="B1234" s="27" t="str">
        <f>IFERROR(__xludf.DUMMYFUNCTION("""COMPUTED_VALUE"""),"APPS-512")</f>
        <v>APPS-512</v>
      </c>
      <c r="C1234" s="26" t="str">
        <f>IFERROR(__xludf.DUMMYFUNCTION("""COMPUTED_VALUE"""),"Default durations for each product")</f>
        <v>Default durations for each product</v>
      </c>
      <c r="D1234" s="28">
        <f>IFERROR(__xludf.DUMMYFUNCTION("""COMPUTED_VALUE"""),1.0)</f>
        <v>1</v>
      </c>
      <c r="E1234" s="29">
        <f>IFERROR(__xludf.DUMMYFUNCTION("""COMPUTED_VALUE"""),44137.0)</f>
        <v>44137</v>
      </c>
      <c r="F1234" s="26" t="str">
        <f>IFERROR(__xludf.DUMMYFUNCTION("""COMPUTED_VALUE"""),"5ee7b6cf02b4400ac4b65399")</f>
        <v>5ee7b6cf02b4400ac4b65399</v>
      </c>
      <c r="G1234" s="26" t="str">
        <f>IFERROR(__xludf.DUMMYFUNCTION("""COMPUTED_VALUE"""),"Jessica Obando")</f>
        <v>Jessica Obando</v>
      </c>
      <c r="H1234" s="26" t="b">
        <v>0</v>
      </c>
    </row>
    <row r="1235" hidden="1">
      <c r="A1235" s="26" t="str">
        <f>VLOOKUP(B1235,'2020 SRED (JIRA) - Issues and l'!$B:$C,2,FALSE)</f>
        <v>insite-workflow-SRED</v>
      </c>
      <c r="B1235" s="27" t="str">
        <f>IFERROR(__xludf.DUMMYFUNCTION("""COMPUTED_VALUE"""),"APPS-480")</f>
        <v>APPS-480</v>
      </c>
      <c r="C1235" s="26" t="str">
        <f>IFERROR(__xludf.DUMMYFUNCTION("""COMPUTED_VALUE"""),"Change secondary header and fix styling for touchpoint inline card view")</f>
        <v>Change secondary header and fix styling for touchpoint inline card view</v>
      </c>
      <c r="D1235" s="28">
        <f>IFERROR(__xludf.DUMMYFUNCTION("""COMPUTED_VALUE"""),2.0)</f>
        <v>2</v>
      </c>
      <c r="E1235" s="29">
        <f>IFERROR(__xludf.DUMMYFUNCTION("""COMPUTED_VALUE"""),44137.0)</f>
        <v>44137</v>
      </c>
      <c r="F1235" s="26" t="str">
        <f>IFERROR(__xludf.DUMMYFUNCTION("""COMPUTED_VALUE"""),"5ee7b6cf02b4400ac4b65399")</f>
        <v>5ee7b6cf02b4400ac4b65399</v>
      </c>
      <c r="G1235" s="26" t="str">
        <f>IFERROR(__xludf.DUMMYFUNCTION("""COMPUTED_VALUE"""),"Jessica Obando")</f>
        <v>Jessica Obando</v>
      </c>
      <c r="H1235" s="26" t="b">
        <v>0</v>
      </c>
    </row>
    <row r="1236" hidden="1">
      <c r="A1236" s="26" t="str">
        <f>VLOOKUP(B1236,'2020 SRED (JIRA) - Issues and l'!$B:$C,2,FALSE)</f>
        <v>insite-workflow-SRED</v>
      </c>
      <c r="B1236" s="27" t="str">
        <f>IFERROR(__xludf.DUMMYFUNCTION("""COMPUTED_VALUE"""),"APPS-505")</f>
        <v>APPS-505</v>
      </c>
      <c r="C1236" s="26" t="str">
        <f>IFERROR(__xludf.DUMMYFUNCTION("""COMPUTED_VALUE"""),"As a salesperson, I can specify portal hosting duration for each proposal")</f>
        <v>As a salesperson, I can specify portal hosting duration for each proposal</v>
      </c>
      <c r="D1236" s="28">
        <f>IFERROR(__xludf.DUMMYFUNCTION("""COMPUTED_VALUE"""),5.0)</f>
        <v>5</v>
      </c>
      <c r="E1236" s="29">
        <f>IFERROR(__xludf.DUMMYFUNCTION("""COMPUTED_VALUE"""),44137.0)</f>
        <v>44137</v>
      </c>
      <c r="F1236" s="26" t="str">
        <f>IFERROR(__xludf.DUMMYFUNCTION("""COMPUTED_VALUE"""),"5ee7b6cf02b4400ac4b65399")</f>
        <v>5ee7b6cf02b4400ac4b65399</v>
      </c>
      <c r="G1236" s="26" t="str">
        <f>IFERROR(__xludf.DUMMYFUNCTION("""COMPUTED_VALUE"""),"Jessica Obando")</f>
        <v>Jessica Obando</v>
      </c>
      <c r="H1236" s="26" t="b">
        <v>0</v>
      </c>
    </row>
    <row r="1237" hidden="1">
      <c r="A1237" s="26" t="str">
        <f>VLOOKUP(B1237,'2020 SRED (JIRA) - Issues and l'!$B:$C,2,FALSE)</f>
        <v>portal-builder-SRED</v>
      </c>
      <c r="B1237" s="27" t="str">
        <f>IFERROR(__xludf.DUMMYFUNCTION("""COMPUTED_VALUE"""),"ITP-1874")</f>
        <v>ITP-1874</v>
      </c>
      <c r="C1237" s="26" t="str">
        <f>IFERROR(__xludf.DUMMYFUNCTION("""COMPUTED_VALUE"""),"Multiple webform submission group conditions")</f>
        <v>Multiple webform submission group conditions</v>
      </c>
      <c r="D1237" s="28">
        <f>IFERROR(__xludf.DUMMYFUNCTION("""COMPUTED_VALUE"""),2.75)</f>
        <v>2.75</v>
      </c>
      <c r="E1237" s="29">
        <f>IFERROR(__xludf.DUMMYFUNCTION("""COMPUTED_VALUE"""),44137.34375)</f>
        <v>44137.34375</v>
      </c>
      <c r="F1237" s="26" t="str">
        <f>IFERROR(__xludf.DUMMYFUNCTION("""COMPUTED_VALUE"""),"5f5125a6333edb00434bffaf")</f>
        <v>5f5125a6333edb00434bffaf</v>
      </c>
      <c r="G1237" s="26" t="str">
        <f>IFERROR(__xludf.DUMMYFUNCTION("""COMPUTED_VALUE"""),"Terry Waldner")</f>
        <v>Terry Waldner</v>
      </c>
      <c r="H1237" s="26" t="b">
        <v>0</v>
      </c>
    </row>
    <row r="1238" hidden="1">
      <c r="A1238" s="26" t="str">
        <f>VLOOKUP(B1238,'2020 SRED (JIRA) - Issues and l'!$B:$C,2,FALSE)</f>
        <v>portal-builder-SRED</v>
      </c>
      <c r="B1238" s="27" t="str">
        <f>IFERROR(__xludf.DUMMYFUNCTION("""COMPUTED_VALUE"""),"ITP-1877")</f>
        <v>ITP-1877</v>
      </c>
      <c r="C1238" s="26" t="str">
        <f>IFERROR(__xludf.DUMMYFUNCTION("""COMPUTED_VALUE"""),"TP builder makes pages with section titles longer than allowed character limit ")</f>
        <v>TP builder makes pages with section titles longer than allowed character limit </v>
      </c>
      <c r="D1238" s="28">
        <f>IFERROR(__xludf.DUMMYFUNCTION("""COMPUTED_VALUE"""),0.75)</f>
        <v>0.75</v>
      </c>
      <c r="E1238" s="29">
        <f>IFERROR(__xludf.DUMMYFUNCTION("""COMPUTED_VALUE"""),44137.53125)</f>
        <v>44137.53125</v>
      </c>
      <c r="F1238" s="26" t="str">
        <f>IFERROR(__xludf.DUMMYFUNCTION("""COMPUTED_VALUE"""),"5f5125a6333edb00434bffaf")</f>
        <v>5f5125a6333edb00434bffaf</v>
      </c>
      <c r="G1238" s="26" t="str">
        <f>IFERROR(__xludf.DUMMYFUNCTION("""COMPUTED_VALUE"""),"Terry Waldner")</f>
        <v>Terry Waldner</v>
      </c>
      <c r="H1238" s="26" t="b">
        <v>0</v>
      </c>
    </row>
    <row r="1239" hidden="1">
      <c r="A1239" s="26" t="str">
        <f>VLOOKUP(B1239,'2020 SRED (JIRA) - Issues and l'!$B:$C,2,FALSE)</f>
        <v>portal-builder-SRED</v>
      </c>
      <c r="B1239" s="27" t="str">
        <f>IFERROR(__xludf.DUMMYFUNCTION("""COMPUTED_VALUE"""),"ITP-1874")</f>
        <v>ITP-1874</v>
      </c>
      <c r="C1239" s="26" t="str">
        <f>IFERROR(__xludf.DUMMYFUNCTION("""COMPUTED_VALUE"""),"Multiple webform submission group conditions")</f>
        <v>Multiple webform submission group conditions</v>
      </c>
      <c r="D1239" s="28">
        <f>IFERROR(__xludf.DUMMYFUNCTION("""COMPUTED_VALUE"""),2.0)</f>
        <v>2</v>
      </c>
      <c r="E1239" s="29">
        <f>IFERROR(__xludf.DUMMYFUNCTION("""COMPUTED_VALUE"""),44137.5625)</f>
        <v>44137.5625</v>
      </c>
      <c r="F1239" s="26" t="str">
        <f>IFERROR(__xludf.DUMMYFUNCTION("""COMPUTED_VALUE"""),"5f5125a6333edb00434bffaf")</f>
        <v>5f5125a6333edb00434bffaf</v>
      </c>
      <c r="G1239" s="26" t="str">
        <f>IFERROR(__xludf.DUMMYFUNCTION("""COMPUTED_VALUE"""),"Terry Waldner")</f>
        <v>Terry Waldner</v>
      </c>
      <c r="H1239" s="26" t="b">
        <v>0</v>
      </c>
    </row>
    <row r="1240" hidden="1">
      <c r="A1240" s="26" t="str">
        <f>VLOOKUP(B1240,'2020 SRED (JIRA) - Issues and l'!$B:$C,2,FALSE)</f>
        <v>insite-event-SRED</v>
      </c>
      <c r="B1240" s="27" t="str">
        <f>IFERROR(__xludf.DUMMYFUNCTION("""COMPUTED_VALUE"""),"ZAPI-169")</f>
        <v>ZAPI-169</v>
      </c>
      <c r="C1240" s="26" t="str">
        <f>IFERROR(__xludf.DUMMYFUNCTION("""COMPUTED_VALUE"""),"Prevent users from downloading unauthorized recording files")</f>
        <v>Prevent users from downloading unauthorized recording files</v>
      </c>
      <c r="D1240" s="28">
        <f>IFERROR(__xludf.DUMMYFUNCTION("""COMPUTED_VALUE"""),0.25)</f>
        <v>0.25</v>
      </c>
      <c r="E1240" s="29">
        <f>IFERROR(__xludf.DUMMYFUNCTION("""COMPUTED_VALUE"""),44137.60416666667)</f>
        <v>44137.60417</v>
      </c>
      <c r="F1240" s="26" t="str">
        <f>IFERROR(__xludf.DUMMYFUNCTION("""COMPUTED_VALUE"""),"557058:3124a1f0-e92a-405c-93f2-c1d4e621bc77")</f>
        <v>557058:3124a1f0-e92a-405c-93f2-c1d4e621bc77</v>
      </c>
      <c r="G1240" s="26" t="str">
        <f>IFERROR(__xludf.DUMMYFUNCTION("""COMPUTED_VALUE"""),"Trevor Coehoorn")</f>
        <v>Trevor Coehoorn</v>
      </c>
      <c r="H1240" s="26" t="b">
        <v>0</v>
      </c>
    </row>
    <row r="1241">
      <c r="A1241" s="26" t="str">
        <f>VLOOKUP(B1241,'2020 SRED (JIRA) - Issues and l'!$B:$C,2,FALSE)</f>
        <v>insite-workflow-SRED</v>
      </c>
      <c r="B1241" s="27" t="str">
        <f>IFERROR(__xludf.DUMMYFUNCTION("""COMPUTED_VALUE"""),"APPS-487")</f>
        <v>APPS-487</v>
      </c>
      <c r="C1241" s="26" t="str">
        <f>IFERROR(__xludf.DUMMYFUNCTION("""COMPUTED_VALUE"""),"Show proposal status field on proposal detail and form views")</f>
        <v>Show proposal status field on proposal detail and form views</v>
      </c>
      <c r="D1241" s="28">
        <f>IFERROR(__xludf.DUMMYFUNCTION("""COMPUTED_VALUE"""),0.25)</f>
        <v>0.25</v>
      </c>
      <c r="E1241" s="29">
        <f>IFERROR(__xludf.DUMMYFUNCTION("""COMPUTED_VALUE"""),44138.0)</f>
        <v>44138</v>
      </c>
      <c r="F1241" s="26" t="str">
        <f>IFERROR(__xludf.DUMMYFUNCTION("""COMPUTED_VALUE"""),"557058:ed1ddc66-d84d-405c-a815-0fcc6147ba14")</f>
        <v>557058:ed1ddc66-d84d-405c-a815-0fcc6147ba14</v>
      </c>
      <c r="G1241" s="26" t="str">
        <f>IFERROR(__xludf.DUMMYFUNCTION("""COMPUTED_VALUE"""),"Mark Corrigan")</f>
        <v>Mark Corrigan</v>
      </c>
      <c r="H1241" s="26" t="b">
        <v>0</v>
      </c>
    </row>
    <row r="1242">
      <c r="A1242" s="26" t="str">
        <f>VLOOKUP(B1242,'2020 SRED (JIRA) - Issues and l'!$B:$C,2,FALSE)</f>
        <v>insite-workflow-SRED</v>
      </c>
      <c r="B1242" s="27" t="str">
        <f>IFERROR(__xludf.DUMMYFUNCTION("""COMPUTED_VALUE"""),"APPS-512")</f>
        <v>APPS-512</v>
      </c>
      <c r="C1242" s="26" t="str">
        <f>IFERROR(__xludf.DUMMYFUNCTION("""COMPUTED_VALUE"""),"Default durations for each product")</f>
        <v>Default durations for each product</v>
      </c>
      <c r="D1242" s="28">
        <f>IFERROR(__xludf.DUMMYFUNCTION("""COMPUTED_VALUE"""),0.25)</f>
        <v>0.25</v>
      </c>
      <c r="E1242" s="29">
        <f>IFERROR(__xludf.DUMMYFUNCTION("""COMPUTED_VALUE"""),44138.0)</f>
        <v>44138</v>
      </c>
      <c r="F1242" s="26" t="str">
        <f>IFERROR(__xludf.DUMMYFUNCTION("""COMPUTED_VALUE"""),"557058:ed1ddc66-d84d-405c-a815-0fcc6147ba14")</f>
        <v>557058:ed1ddc66-d84d-405c-a815-0fcc6147ba14</v>
      </c>
      <c r="G1242" s="26" t="str">
        <f>IFERROR(__xludf.DUMMYFUNCTION("""COMPUTED_VALUE"""),"Mark Corrigan")</f>
        <v>Mark Corrigan</v>
      </c>
      <c r="H1242" s="26" t="b">
        <v>0</v>
      </c>
    </row>
    <row r="1243" hidden="1">
      <c r="A1243" s="26" t="str">
        <f>VLOOKUP(B1243,'2020 SRED (JIRA) - Issues and l'!$B:$C,2,FALSE)</f>
        <v>insite-workflow-SRED</v>
      </c>
      <c r="B1243" s="27" t="str">
        <f>IFERROR(__xludf.DUMMYFUNCTION("""COMPUTED_VALUE"""),"APPS-522")</f>
        <v>APPS-522</v>
      </c>
      <c r="C1243" s="26" t="str">
        <f>IFERROR(__xludf.DUMMYFUNCTION("""COMPUTED_VALUE"""),"Go through process of importing new advisors pre-touchpoint and updating word counts post-touchpoint")</f>
        <v>Go through process of importing new advisors pre-touchpoint and updating word counts post-touchpoint</v>
      </c>
      <c r="D1243" s="28">
        <f>IFERROR(__xludf.DUMMYFUNCTION("""COMPUTED_VALUE"""),3.0)</f>
        <v>3</v>
      </c>
      <c r="E1243" s="29">
        <f>IFERROR(__xludf.DUMMYFUNCTION("""COMPUTED_VALUE"""),44138.0)</f>
        <v>44138</v>
      </c>
      <c r="F1243" s="26" t="str">
        <f>IFERROR(__xludf.DUMMYFUNCTION("""COMPUTED_VALUE"""),"5ee7b6ce868ce30ac49e2521")</f>
        <v>5ee7b6ce868ce30ac49e2521</v>
      </c>
      <c r="G1243" s="26" t="str">
        <f>IFERROR(__xludf.DUMMYFUNCTION("""COMPUTED_VALUE"""),"Bryan Le")</f>
        <v>Bryan Le</v>
      </c>
      <c r="H1243" s="26" t="b">
        <v>0</v>
      </c>
    </row>
    <row r="1244" hidden="1">
      <c r="A1244" s="26" t="str">
        <f>VLOOKUP(B1244,'2020 SRED (JIRA) - Issues and l'!$B:$C,2,FALSE)</f>
        <v>insite-workflow-SRED</v>
      </c>
      <c r="B1244" s="27" t="str">
        <f>IFERROR(__xludf.DUMMYFUNCTION("""COMPUTED_VALUE"""),"APPS-522")</f>
        <v>APPS-522</v>
      </c>
      <c r="C1244" s="26" t="str">
        <f>IFERROR(__xludf.DUMMYFUNCTION("""COMPUTED_VALUE"""),"Go through process of importing new advisors pre-touchpoint and updating word counts post-touchpoint")</f>
        <v>Go through process of importing new advisors pre-touchpoint and updating word counts post-touchpoint</v>
      </c>
      <c r="D1244" s="28">
        <f>IFERROR(__xludf.DUMMYFUNCTION("""COMPUTED_VALUE"""),4.0)</f>
        <v>4</v>
      </c>
      <c r="E1244" s="29">
        <f>IFERROR(__xludf.DUMMYFUNCTION("""COMPUTED_VALUE"""),44138.0)</f>
        <v>44138</v>
      </c>
      <c r="F1244" s="26" t="str">
        <f>IFERROR(__xludf.DUMMYFUNCTION("""COMPUTED_VALUE"""),"5ee7b6ce868ce30ac49e2521")</f>
        <v>5ee7b6ce868ce30ac49e2521</v>
      </c>
      <c r="G1244" s="26" t="str">
        <f>IFERROR(__xludf.DUMMYFUNCTION("""COMPUTED_VALUE"""),"Bryan Le")</f>
        <v>Bryan Le</v>
      </c>
      <c r="H1244" s="26" t="b">
        <v>0</v>
      </c>
    </row>
    <row r="1245" hidden="1">
      <c r="A1245" s="26" t="str">
        <f>VLOOKUP(B1245,'2020 SRED (JIRA) - Issues and l'!$B:$C,2,FALSE)</f>
        <v>insite-workflow-SRED</v>
      </c>
      <c r="B1245" s="27" t="str">
        <f>IFERROR(__xludf.DUMMYFUNCTION("""COMPUTED_VALUE"""),"APPS-254")</f>
        <v>APPS-254</v>
      </c>
      <c r="C1245" s="26" t="str">
        <f>IFERROR(__xludf.DUMMYFUNCTION("""COMPUTED_VALUE"""),"As a salesperson, I can define canned touchpoint inclusions and insert them into touchpoint form")</f>
        <v>As a salesperson, I can define canned touchpoint inclusions and insert them into touchpoint form</v>
      </c>
      <c r="D1245" s="28">
        <f>IFERROR(__xludf.DUMMYFUNCTION("""COMPUTED_VALUE"""),6.0)</f>
        <v>6</v>
      </c>
      <c r="E1245" s="29">
        <f>IFERROR(__xludf.DUMMYFUNCTION("""COMPUTED_VALUE"""),44138.0)</f>
        <v>44138</v>
      </c>
      <c r="F1245" s="26" t="str">
        <f>IFERROR(__xludf.DUMMYFUNCTION("""COMPUTED_VALUE"""),"5ee7b6cf02b4400ac4b65399")</f>
        <v>5ee7b6cf02b4400ac4b65399</v>
      </c>
      <c r="G1245" s="26" t="str">
        <f>IFERROR(__xludf.DUMMYFUNCTION("""COMPUTED_VALUE"""),"Jessica Obando")</f>
        <v>Jessica Obando</v>
      </c>
      <c r="H1245" s="26" t="b">
        <v>0</v>
      </c>
    </row>
    <row r="1246" hidden="1">
      <c r="A1246" s="26" t="str">
        <f>VLOOKUP(B1246,'2020 SRED (JIRA) - Issues and l'!$B:$C,2,FALSE)</f>
        <v>portal-builder-SRED</v>
      </c>
      <c r="B1246" s="27" t="str">
        <f>IFERROR(__xludf.DUMMYFUNCTION("""COMPUTED_VALUE"""),"ITP-1874")</f>
        <v>ITP-1874</v>
      </c>
      <c r="C1246" s="26" t="str">
        <f>IFERROR(__xludf.DUMMYFUNCTION("""COMPUTED_VALUE"""),"Multiple webform submission group conditions")</f>
        <v>Multiple webform submission group conditions</v>
      </c>
      <c r="D1246" s="28">
        <f>IFERROR(__xludf.DUMMYFUNCTION("""COMPUTED_VALUE"""),0.5)</f>
        <v>0.5</v>
      </c>
      <c r="E1246" s="29">
        <f>IFERROR(__xludf.DUMMYFUNCTION("""COMPUTED_VALUE"""),44138.32291666667)</f>
        <v>44138.32292</v>
      </c>
      <c r="F1246" s="26" t="str">
        <f>IFERROR(__xludf.DUMMYFUNCTION("""COMPUTED_VALUE"""),"5f5125a6333edb00434bffaf")</f>
        <v>5f5125a6333edb00434bffaf</v>
      </c>
      <c r="G1246" s="26" t="str">
        <f>IFERROR(__xludf.DUMMYFUNCTION("""COMPUTED_VALUE"""),"Terry Waldner")</f>
        <v>Terry Waldner</v>
      </c>
      <c r="H1246" s="26" t="b">
        <v>0</v>
      </c>
    </row>
    <row r="1247" hidden="1">
      <c r="A1247" s="26" t="str">
        <f>VLOOKUP(B1247,'2020 SRED (JIRA) - Issues and l'!$B:$C,2,FALSE)</f>
        <v>insite-event-SRED</v>
      </c>
      <c r="B1247" s="27" t="str">
        <f>IFERROR(__xludf.DUMMYFUNCTION("""COMPUTED_VALUE"""),"ZAPI-169")</f>
        <v>ZAPI-169</v>
      </c>
      <c r="C1247" s="26" t="str">
        <f>IFERROR(__xludf.DUMMYFUNCTION("""COMPUTED_VALUE"""),"Prevent users from downloading unauthorized recording files")</f>
        <v>Prevent users from downloading unauthorized recording files</v>
      </c>
      <c r="D1247" s="28">
        <f>IFERROR(__xludf.DUMMYFUNCTION("""COMPUTED_VALUE"""),1.0)</f>
        <v>1</v>
      </c>
      <c r="E1247" s="29">
        <f>IFERROR(__xludf.DUMMYFUNCTION("""COMPUTED_VALUE"""),44138.36458333333)</f>
        <v>44138.36458</v>
      </c>
      <c r="F1247" s="26" t="str">
        <f>IFERROR(__xludf.DUMMYFUNCTION("""COMPUTED_VALUE"""),"557058:3124a1f0-e92a-405c-93f2-c1d4e621bc77")</f>
        <v>557058:3124a1f0-e92a-405c-93f2-c1d4e621bc77</v>
      </c>
      <c r="G1247" s="26" t="str">
        <f>IFERROR(__xludf.DUMMYFUNCTION("""COMPUTED_VALUE"""),"Trevor Coehoorn")</f>
        <v>Trevor Coehoorn</v>
      </c>
      <c r="H1247" s="26" t="b">
        <v>0</v>
      </c>
    </row>
    <row r="1248" hidden="1">
      <c r="A1248" s="26" t="str">
        <f>VLOOKUP(B1248,'2020 SRED (JIRA) - Issues and l'!$B:$C,2,FALSE)</f>
        <v>portal-builder-SRED</v>
      </c>
      <c r="B1248" s="27" t="str">
        <f>IFERROR(__xludf.DUMMYFUNCTION("""COMPUTED_VALUE"""),"ITP-1877")</f>
        <v>ITP-1877</v>
      </c>
      <c r="C1248" s="26" t="str">
        <f>IFERROR(__xludf.DUMMYFUNCTION("""COMPUTED_VALUE"""),"TP builder makes pages with section titles longer than allowed character limit ")</f>
        <v>TP builder makes pages with section titles longer than allowed character limit </v>
      </c>
      <c r="D1248" s="28">
        <f>IFERROR(__xludf.DUMMYFUNCTION("""COMPUTED_VALUE"""),1.5)</f>
        <v>1.5</v>
      </c>
      <c r="E1248" s="29">
        <f>IFERROR(__xludf.DUMMYFUNCTION("""COMPUTED_VALUE"""),44138.38541666667)</f>
        <v>44138.38542</v>
      </c>
      <c r="F1248" s="26" t="str">
        <f>IFERROR(__xludf.DUMMYFUNCTION("""COMPUTED_VALUE"""),"5f5125a6333edb00434bffaf")</f>
        <v>5f5125a6333edb00434bffaf</v>
      </c>
      <c r="G1248" s="26" t="str">
        <f>IFERROR(__xludf.DUMMYFUNCTION("""COMPUTED_VALUE"""),"Terry Waldner")</f>
        <v>Terry Waldner</v>
      </c>
      <c r="H1248" s="26" t="b">
        <v>0</v>
      </c>
    </row>
    <row r="1249" hidden="1">
      <c r="A1249" s="26" t="str">
        <f>VLOOKUP(B1249,'2020 SRED (JIRA) - Issues and l'!$B:$C,2,FALSE)</f>
        <v>portal-builder-SRED</v>
      </c>
      <c r="B1249" s="27" t="str">
        <f>IFERROR(__xludf.DUMMYFUNCTION("""COMPUTED_VALUE"""),"ITP-1874")</f>
        <v>ITP-1874</v>
      </c>
      <c r="C1249" s="26" t="str">
        <f>IFERROR(__xludf.DUMMYFUNCTION("""COMPUTED_VALUE"""),"Multiple webform submission group conditions")</f>
        <v>Multiple webform submission group conditions</v>
      </c>
      <c r="D1249" s="28">
        <f>IFERROR(__xludf.DUMMYFUNCTION("""COMPUTED_VALUE"""),0.25)</f>
        <v>0.25</v>
      </c>
      <c r="E1249" s="29">
        <f>IFERROR(__xludf.DUMMYFUNCTION("""COMPUTED_VALUE"""),44138.51041666667)</f>
        <v>44138.51042</v>
      </c>
      <c r="F1249" s="26" t="str">
        <f>IFERROR(__xludf.DUMMYFUNCTION("""COMPUTED_VALUE"""),"557058:3124a1f0-e92a-405c-93f2-c1d4e621bc77")</f>
        <v>557058:3124a1f0-e92a-405c-93f2-c1d4e621bc77</v>
      </c>
      <c r="G1249" s="26" t="str">
        <f>IFERROR(__xludf.DUMMYFUNCTION("""COMPUTED_VALUE"""),"Trevor Coehoorn")</f>
        <v>Trevor Coehoorn</v>
      </c>
      <c r="H1249" s="26" t="b">
        <v>0</v>
      </c>
    </row>
    <row r="1250" hidden="1">
      <c r="A1250" s="26" t="str">
        <f>VLOOKUP(B1250,'2020 SRED (JIRA) - Issues and l'!$B:$C,2,FALSE)</f>
        <v>portal-builder-SRED</v>
      </c>
      <c r="B1250" s="27" t="str">
        <f>IFERROR(__xludf.DUMMYFUNCTION("""COMPUTED_VALUE"""),"ITP-1874")</f>
        <v>ITP-1874</v>
      </c>
      <c r="C1250" s="26" t="str">
        <f>IFERROR(__xludf.DUMMYFUNCTION("""COMPUTED_VALUE"""),"Multiple webform submission group conditions")</f>
        <v>Multiple webform submission group conditions</v>
      </c>
      <c r="D1250" s="28">
        <f>IFERROR(__xludf.DUMMYFUNCTION("""COMPUTED_VALUE"""),0.25)</f>
        <v>0.25</v>
      </c>
      <c r="E1250" s="29">
        <f>IFERROR(__xludf.DUMMYFUNCTION("""COMPUTED_VALUE"""),44138.55208333333)</f>
        <v>44138.55208</v>
      </c>
      <c r="F1250" s="26" t="str">
        <f>IFERROR(__xludf.DUMMYFUNCTION("""COMPUTED_VALUE"""),"557058:3124a1f0-e92a-405c-93f2-c1d4e621bc77")</f>
        <v>557058:3124a1f0-e92a-405c-93f2-c1d4e621bc77</v>
      </c>
      <c r="G1250" s="26" t="str">
        <f>IFERROR(__xludf.DUMMYFUNCTION("""COMPUTED_VALUE"""),"Trevor Coehoorn")</f>
        <v>Trevor Coehoorn</v>
      </c>
      <c r="H1250" s="26" t="b">
        <v>0</v>
      </c>
    </row>
    <row r="1251" hidden="1">
      <c r="A1251" s="26" t="str">
        <f>VLOOKUP(B1251,'2020 SRED (JIRA) - Issues and l'!$B:$C,2,FALSE)</f>
        <v>insite-event-SRED</v>
      </c>
      <c r="B1251" s="27" t="str">
        <f>IFERROR(__xludf.DUMMYFUNCTION("""COMPUTED_VALUE"""),"ZAPI-169")</f>
        <v>ZAPI-169</v>
      </c>
      <c r="C1251" s="26" t="str">
        <f>IFERROR(__xludf.DUMMYFUNCTION("""COMPUTED_VALUE"""),"Prevent users from downloading unauthorized recording files")</f>
        <v>Prevent users from downloading unauthorized recording files</v>
      </c>
      <c r="D1251" s="28">
        <f>IFERROR(__xludf.DUMMYFUNCTION("""COMPUTED_VALUE"""),0.75)</f>
        <v>0.75</v>
      </c>
      <c r="E1251" s="29">
        <f>IFERROR(__xludf.DUMMYFUNCTION("""COMPUTED_VALUE"""),44138.66666666667)</f>
        <v>44138.66667</v>
      </c>
      <c r="F1251" s="26" t="str">
        <f>IFERROR(__xludf.DUMMYFUNCTION("""COMPUTED_VALUE"""),"557058:3124a1f0-e92a-405c-93f2-c1d4e621bc77")</f>
        <v>557058:3124a1f0-e92a-405c-93f2-c1d4e621bc77</v>
      </c>
      <c r="G1251" s="26" t="str">
        <f>IFERROR(__xludf.DUMMYFUNCTION("""COMPUTED_VALUE"""),"Trevor Coehoorn")</f>
        <v>Trevor Coehoorn</v>
      </c>
      <c r="H1251" s="26" t="b">
        <v>0</v>
      </c>
    </row>
    <row r="1252">
      <c r="A1252" s="26" t="str">
        <f>VLOOKUP(B1252,'2020 SRED (JIRA) - Issues and l'!$B:$C,2,FALSE)</f>
        <v>insite-workflow-SRED</v>
      </c>
      <c r="B1252" s="27" t="str">
        <f>IFERROR(__xludf.DUMMYFUNCTION("""COMPUTED_VALUE"""),"APPS-375")</f>
        <v>APPS-375</v>
      </c>
      <c r="C1252" s="26" t="str">
        <f>IFERROR(__xludf.DUMMYFUNCTION("""COMPUTED_VALUE"""),"As a salesperson, I can associate add-ons and reductions with products")</f>
        <v>As a salesperson, I can associate add-ons and reductions with products</v>
      </c>
      <c r="D1252" s="28">
        <f>IFERROR(__xludf.DUMMYFUNCTION("""COMPUTED_VALUE"""),0.75)</f>
        <v>0.75</v>
      </c>
      <c r="E1252" s="29">
        <f>IFERROR(__xludf.DUMMYFUNCTION("""COMPUTED_VALUE"""),44139.0)</f>
        <v>44139</v>
      </c>
      <c r="F1252" s="26" t="str">
        <f>IFERROR(__xludf.DUMMYFUNCTION("""COMPUTED_VALUE"""),"557058:ed1ddc66-d84d-405c-a815-0fcc6147ba14")</f>
        <v>557058:ed1ddc66-d84d-405c-a815-0fcc6147ba14</v>
      </c>
      <c r="G1252" s="26" t="str">
        <f>IFERROR(__xludf.DUMMYFUNCTION("""COMPUTED_VALUE"""),"Mark Corrigan")</f>
        <v>Mark Corrigan</v>
      </c>
      <c r="H1252" s="26" t="b">
        <v>0</v>
      </c>
    </row>
    <row r="1253">
      <c r="A1253" s="26" t="str">
        <f>VLOOKUP(B1253,'2020 SRED (JIRA) - Issues and l'!$B:$C,2,FALSE)</f>
        <v>insite-event-SRED</v>
      </c>
      <c r="B1253" s="27" t="str">
        <f>IFERROR(__xludf.DUMMYFUNCTION("""COMPUTED_VALUE"""),"EB9-2")</f>
        <v>EB9-2</v>
      </c>
      <c r="C1253" s="26" t="str">
        <f>IFERROR(__xludf.DUMMYFUNCTION("""COMPUTED_VALUE"""),"Drupal 9 Migration Planning")</f>
        <v>Drupal 9 Migration Planning</v>
      </c>
      <c r="D1253" s="28">
        <f>IFERROR(__xludf.DUMMYFUNCTION("""COMPUTED_VALUE"""),0.25)</f>
        <v>0.25</v>
      </c>
      <c r="E1253" s="29">
        <f>IFERROR(__xludf.DUMMYFUNCTION("""COMPUTED_VALUE"""),44139.0)</f>
        <v>44139</v>
      </c>
      <c r="F1253" s="26" t="str">
        <f>IFERROR(__xludf.DUMMYFUNCTION("""COMPUTED_VALUE"""),"557058:ed1ddc66-d84d-405c-a815-0fcc6147ba14")</f>
        <v>557058:ed1ddc66-d84d-405c-a815-0fcc6147ba14</v>
      </c>
      <c r="G1253" s="26" t="str">
        <f>IFERROR(__xludf.DUMMYFUNCTION("""COMPUTED_VALUE"""),"Mark Corrigan")</f>
        <v>Mark Corrigan</v>
      </c>
      <c r="H1253" s="26" t="b">
        <v>0</v>
      </c>
    </row>
    <row r="1254">
      <c r="A1254" s="26" t="str">
        <f>VLOOKUP(B1254,'2020 SRED (JIRA) - Issues and l'!$B:$C,2,FALSE)</f>
        <v>insite-workflow-SRED</v>
      </c>
      <c r="B1254" s="27" t="str">
        <f>IFERROR(__xludf.DUMMYFUNCTION("""COMPUTED_VALUE"""),"APPS-254")</f>
        <v>APPS-254</v>
      </c>
      <c r="C1254" s="26" t="str">
        <f>IFERROR(__xludf.DUMMYFUNCTION("""COMPUTED_VALUE"""),"As a salesperson, I can define canned touchpoint inclusions and insert them into touchpoint form")</f>
        <v>As a salesperson, I can define canned touchpoint inclusions and insert them into touchpoint form</v>
      </c>
      <c r="D1254" s="28">
        <f>IFERROR(__xludf.DUMMYFUNCTION("""COMPUTED_VALUE"""),0.25)</f>
        <v>0.25</v>
      </c>
      <c r="E1254" s="29">
        <f>IFERROR(__xludf.DUMMYFUNCTION("""COMPUTED_VALUE"""),44139.0)</f>
        <v>44139</v>
      </c>
      <c r="F1254" s="26" t="str">
        <f>IFERROR(__xludf.DUMMYFUNCTION("""COMPUTED_VALUE"""),"557058:ed1ddc66-d84d-405c-a815-0fcc6147ba14")</f>
        <v>557058:ed1ddc66-d84d-405c-a815-0fcc6147ba14</v>
      </c>
      <c r="G1254" s="26" t="str">
        <f>IFERROR(__xludf.DUMMYFUNCTION("""COMPUTED_VALUE"""),"Mark Corrigan")</f>
        <v>Mark Corrigan</v>
      </c>
      <c r="H1254" s="26" t="b">
        <v>0</v>
      </c>
    </row>
    <row r="1255">
      <c r="A1255" s="26" t="str">
        <f>VLOOKUP(B1255,'2020 SRED (JIRA) - Issues and l'!$B:$C,2,FALSE)</f>
        <v>insite-workflow-SRED</v>
      </c>
      <c r="B1255" s="27" t="str">
        <f>IFERROR(__xludf.DUMMYFUNCTION("""COMPUTED_VALUE"""),"APPS-451")</f>
        <v>APPS-451</v>
      </c>
      <c r="C1255" s="26" t="str">
        <f>IFERROR(__xludf.DUMMYFUNCTION("""COMPUTED_VALUE"""),"Add touchpoint timeline graphic to top of proposal template")</f>
        <v>Add touchpoint timeline graphic to top of proposal template</v>
      </c>
      <c r="D1255" s="28">
        <f>IFERROR(__xludf.DUMMYFUNCTION("""COMPUTED_VALUE"""),0.25)</f>
        <v>0.25</v>
      </c>
      <c r="E1255" s="29">
        <f>IFERROR(__xludf.DUMMYFUNCTION("""COMPUTED_VALUE"""),44139.0)</f>
        <v>44139</v>
      </c>
      <c r="F1255" s="26" t="str">
        <f>IFERROR(__xludf.DUMMYFUNCTION("""COMPUTED_VALUE"""),"557058:ed1ddc66-d84d-405c-a815-0fcc6147ba14")</f>
        <v>557058:ed1ddc66-d84d-405c-a815-0fcc6147ba14</v>
      </c>
      <c r="G1255" s="26" t="str">
        <f>IFERROR(__xludf.DUMMYFUNCTION("""COMPUTED_VALUE"""),"Mark Corrigan")</f>
        <v>Mark Corrigan</v>
      </c>
      <c r="H1255" s="26" t="b">
        <v>0</v>
      </c>
    </row>
    <row r="1256">
      <c r="A1256" s="26" t="str">
        <f>VLOOKUP(B1256,'2020 SRED (JIRA) - Issues and l'!$B:$C,2,FALSE)</f>
        <v>insite-workflow-SRED</v>
      </c>
      <c r="B1256" s="27" t="str">
        <f>IFERROR(__xludf.DUMMYFUNCTION("""COMPUTED_VALUE"""),"APPS-513")</f>
        <v>APPS-513</v>
      </c>
      <c r="C1256" s="26" t="str">
        <f>IFERROR(__xludf.DUMMYFUNCTION("""COMPUTED_VALUE"""),"Add featured image to touchpoint summary tables")</f>
        <v>Add featured image to touchpoint summary tables</v>
      </c>
      <c r="D1256" s="28">
        <f>IFERROR(__xludf.DUMMYFUNCTION("""COMPUTED_VALUE"""),0.25)</f>
        <v>0.25</v>
      </c>
      <c r="E1256" s="29">
        <f>IFERROR(__xludf.DUMMYFUNCTION("""COMPUTED_VALUE"""),44139.0)</f>
        <v>44139</v>
      </c>
      <c r="F1256" s="26" t="str">
        <f>IFERROR(__xludf.DUMMYFUNCTION("""COMPUTED_VALUE"""),"557058:ed1ddc66-d84d-405c-a815-0fcc6147ba14")</f>
        <v>557058:ed1ddc66-d84d-405c-a815-0fcc6147ba14</v>
      </c>
      <c r="G1256" s="26" t="str">
        <f>IFERROR(__xludf.DUMMYFUNCTION("""COMPUTED_VALUE"""),"Mark Corrigan")</f>
        <v>Mark Corrigan</v>
      </c>
      <c r="H1256" s="26" t="b">
        <v>0</v>
      </c>
    </row>
    <row r="1257">
      <c r="A1257" s="26" t="str">
        <f>VLOOKUP(B1257,'2020 SRED (JIRA) - Issues and l'!$B:$C,2,FALSE)</f>
        <v>insite-workflow-SRED</v>
      </c>
      <c r="B1257" s="27" t="str">
        <f>IFERROR(__xludf.DUMMYFUNCTION("""COMPUTED_VALUE"""),"APPS-510")</f>
        <v>APPS-510</v>
      </c>
      <c r="C1257" s="26" t="str">
        <f>IFERROR(__xludf.DUMMYFUNCTION("""COMPUTED_VALUE"""),"Improvements to internal review request email")</f>
        <v>Improvements to internal review request email</v>
      </c>
      <c r="D1257" s="28">
        <f>IFERROR(__xludf.DUMMYFUNCTION("""COMPUTED_VALUE"""),0.25)</f>
        <v>0.25</v>
      </c>
      <c r="E1257" s="29">
        <f>IFERROR(__xludf.DUMMYFUNCTION("""COMPUTED_VALUE"""),44139.0)</f>
        <v>44139</v>
      </c>
      <c r="F1257" s="26" t="str">
        <f>IFERROR(__xludf.DUMMYFUNCTION("""COMPUTED_VALUE"""),"557058:ed1ddc66-d84d-405c-a815-0fcc6147ba14")</f>
        <v>557058:ed1ddc66-d84d-405c-a815-0fcc6147ba14</v>
      </c>
      <c r="G1257" s="26" t="str">
        <f>IFERROR(__xludf.DUMMYFUNCTION("""COMPUTED_VALUE"""),"Mark Corrigan")</f>
        <v>Mark Corrigan</v>
      </c>
      <c r="H1257" s="26" t="b">
        <v>0</v>
      </c>
    </row>
    <row r="1258">
      <c r="A1258" s="26" t="str">
        <f>VLOOKUP(B1258,'2020 SRED (JIRA) - Issues and l'!$B:$C,2,FALSE)</f>
        <v>insite-event-SRED</v>
      </c>
      <c r="B1258" s="27" t="str">
        <f>IFERROR(__xludf.DUMMYFUNCTION("""COMPUTED_VALUE"""),"ZAPI-82")</f>
        <v>ZAPI-82</v>
      </c>
      <c r="C1258" s="26" t="str">
        <f>IFERROR(__xludf.DUMMYFUNCTION("""COMPUTED_VALUE"""),"Stress test recording transfer (long meetings could get up to ~5 GB)")</f>
        <v>Stress test recording transfer (long meetings could get up to ~5 GB)</v>
      </c>
      <c r="D1258" s="28">
        <f>IFERROR(__xludf.DUMMYFUNCTION("""COMPUTED_VALUE"""),0.25)</f>
        <v>0.25</v>
      </c>
      <c r="E1258" s="29">
        <f>IFERROR(__xludf.DUMMYFUNCTION("""COMPUTED_VALUE"""),44139.0)</f>
        <v>44139</v>
      </c>
      <c r="F1258" s="26" t="str">
        <f>IFERROR(__xludf.DUMMYFUNCTION("""COMPUTED_VALUE"""),"557058:ed1ddc66-d84d-405c-a815-0fcc6147ba14")</f>
        <v>557058:ed1ddc66-d84d-405c-a815-0fcc6147ba14</v>
      </c>
      <c r="G1258" s="26" t="str">
        <f>IFERROR(__xludf.DUMMYFUNCTION("""COMPUTED_VALUE"""),"Mark Corrigan")</f>
        <v>Mark Corrigan</v>
      </c>
      <c r="H1258" s="26" t="b">
        <v>0</v>
      </c>
    </row>
    <row r="1259">
      <c r="A1259" s="26" t="str">
        <f>VLOOKUP(B1259,'2020 SRED (JIRA) - Issues and l'!$B:$C,2,FALSE)</f>
        <v>insite-workflow-SRED</v>
      </c>
      <c r="B1259" s="27" t="str">
        <f>IFERROR(__xludf.DUMMYFUNCTION("""COMPUTED_VALUE"""),"APPS-526")</f>
        <v>APPS-526</v>
      </c>
      <c r="C1259" s="26" t="str">
        <f>IFERROR(__xludf.DUMMYFUNCTION("""COMPUTED_VALUE"""),"Error with new custom requirements and add-ons/reductions not being added to cost fields in details view")</f>
        <v>Error with new custom requirements and add-ons/reductions not being added to cost fields in details view</v>
      </c>
      <c r="D1259" s="28">
        <f>IFERROR(__xludf.DUMMYFUNCTION("""COMPUTED_VALUE"""),0.5)</f>
        <v>0.5</v>
      </c>
      <c r="E1259" s="29">
        <f>IFERROR(__xludf.DUMMYFUNCTION("""COMPUTED_VALUE"""),44139.0)</f>
        <v>44139</v>
      </c>
      <c r="F1259" s="26" t="str">
        <f>IFERROR(__xludf.DUMMYFUNCTION("""COMPUTED_VALUE"""),"557058:ed1ddc66-d84d-405c-a815-0fcc6147ba14")</f>
        <v>557058:ed1ddc66-d84d-405c-a815-0fcc6147ba14</v>
      </c>
      <c r="G1259" s="26" t="str">
        <f>IFERROR(__xludf.DUMMYFUNCTION("""COMPUTED_VALUE"""),"Mark Corrigan")</f>
        <v>Mark Corrigan</v>
      </c>
      <c r="H1259" s="26" t="b">
        <v>0</v>
      </c>
    </row>
    <row r="1260">
      <c r="A1260" s="26" t="str">
        <f>VLOOKUP(B1260,'2020 SRED (JIRA) - Issues and l'!$B:$C,2,FALSE)</f>
        <v>insite-workflow-SRED</v>
      </c>
      <c r="B1260" s="27" t="str">
        <f>IFERROR(__xludf.DUMMYFUNCTION("""COMPUTED_VALUE"""),"APPS-511")</f>
        <v>APPS-511</v>
      </c>
      <c r="C1260" s="26" t="str">
        <f>IFERROR(__xludf.DUMMYFUNCTION("""COMPUTED_VALUE"""),"Sales Pipeline v1 demo, product data entry, feedback collection from SAMS/ADs")</f>
        <v>Sales Pipeline v1 demo, product data entry, feedback collection from SAMS/ADs</v>
      </c>
      <c r="D1260" s="28">
        <f>IFERROR(__xludf.DUMMYFUNCTION("""COMPUTED_VALUE"""),0.5)</f>
        <v>0.5</v>
      </c>
      <c r="E1260" s="29">
        <f>IFERROR(__xludf.DUMMYFUNCTION("""COMPUTED_VALUE"""),44139.0)</f>
        <v>44139</v>
      </c>
      <c r="F1260" s="26" t="str">
        <f>IFERROR(__xludf.DUMMYFUNCTION("""COMPUTED_VALUE"""),"557058:ed1ddc66-d84d-405c-a815-0fcc6147ba14")</f>
        <v>557058:ed1ddc66-d84d-405c-a815-0fcc6147ba14</v>
      </c>
      <c r="G1260" s="26" t="str">
        <f>IFERROR(__xludf.DUMMYFUNCTION("""COMPUTED_VALUE"""),"Mark Corrigan")</f>
        <v>Mark Corrigan</v>
      </c>
      <c r="H1260" s="26" t="b">
        <v>0</v>
      </c>
    </row>
    <row r="1261">
      <c r="A1261" s="26" t="str">
        <f>VLOOKUP(B1261,'2020 SRED (JIRA) - Issues and l'!$B:$C,2,FALSE)</f>
        <v>insite-workflow-SRED</v>
      </c>
      <c r="B1261" s="27" t="str">
        <f>IFERROR(__xludf.DUMMYFUNCTION("""COMPUTED_VALUE"""),"APPS-14")</f>
        <v>APPS-14</v>
      </c>
      <c r="C1261" s="26" t="str">
        <f>IFERROR(__xludf.DUMMYFUNCTION("""COMPUTED_VALUE"""),"Advisor Database app")</f>
        <v>Advisor Database app</v>
      </c>
      <c r="D1261" s="28">
        <f>IFERROR(__xludf.DUMMYFUNCTION("""COMPUTED_VALUE"""),1.0)</f>
        <v>1</v>
      </c>
      <c r="E1261" s="29">
        <f>IFERROR(__xludf.DUMMYFUNCTION("""COMPUTED_VALUE"""),44139.0)</f>
        <v>44139</v>
      </c>
      <c r="F1261" s="26" t="str">
        <f>IFERROR(__xludf.DUMMYFUNCTION("""COMPUTED_VALUE"""),"557058:ed1ddc66-d84d-405c-a815-0fcc6147ba14")</f>
        <v>557058:ed1ddc66-d84d-405c-a815-0fcc6147ba14</v>
      </c>
      <c r="G1261" s="26" t="str">
        <f>IFERROR(__xludf.DUMMYFUNCTION("""COMPUTED_VALUE"""),"Mark Corrigan")</f>
        <v>Mark Corrigan</v>
      </c>
      <c r="H1261" s="26" t="b">
        <v>0</v>
      </c>
    </row>
    <row r="1262" hidden="1">
      <c r="A1262" s="26" t="str">
        <f>VLOOKUP(B1262,'2020 SRED (JIRA) - Issues and l'!$B:$C,2,FALSE)</f>
        <v>insite-workflow-SRED</v>
      </c>
      <c r="B1262" s="27" t="str">
        <f>IFERROR(__xludf.DUMMYFUNCTION("""COMPUTED_VALUE"""),"APPS-522")</f>
        <v>APPS-522</v>
      </c>
      <c r="C1262" s="26" t="str">
        <f>IFERROR(__xludf.DUMMYFUNCTION("""COMPUTED_VALUE"""),"Go through process of importing new advisors pre-touchpoint and updating word counts post-touchpoint")</f>
        <v>Go through process of importing new advisors pre-touchpoint and updating word counts post-touchpoint</v>
      </c>
      <c r="D1262" s="28">
        <f>IFERROR(__xludf.DUMMYFUNCTION("""COMPUTED_VALUE"""),1.0)</f>
        <v>1</v>
      </c>
      <c r="E1262" s="29">
        <f>IFERROR(__xludf.DUMMYFUNCTION("""COMPUTED_VALUE"""),44139.0)</f>
        <v>44139</v>
      </c>
      <c r="F1262" s="26" t="str">
        <f>IFERROR(__xludf.DUMMYFUNCTION("""COMPUTED_VALUE"""),"5ee7b6ce868ce30ac49e2521")</f>
        <v>5ee7b6ce868ce30ac49e2521</v>
      </c>
      <c r="G1262" s="26" t="str">
        <f>IFERROR(__xludf.DUMMYFUNCTION("""COMPUTED_VALUE"""),"Bryan Le")</f>
        <v>Bryan Le</v>
      </c>
      <c r="H1262" s="26" t="b">
        <v>0</v>
      </c>
    </row>
    <row r="1263" hidden="1">
      <c r="A1263" s="26" t="str">
        <f>VLOOKUP(B1263,'2020 SRED (JIRA) - Issues and l'!$B:$C,2,FALSE)</f>
        <v>insite-workflow-SRED</v>
      </c>
      <c r="B1263" s="27" t="str">
        <f>IFERROR(__xludf.DUMMYFUNCTION("""COMPUTED_VALUE"""),"APPS-522")</f>
        <v>APPS-522</v>
      </c>
      <c r="C1263" s="26" t="str">
        <f>IFERROR(__xludf.DUMMYFUNCTION("""COMPUTED_VALUE"""),"Go through process of importing new advisors pre-touchpoint and updating word counts post-touchpoint")</f>
        <v>Go through process of importing new advisors pre-touchpoint and updating word counts post-touchpoint</v>
      </c>
      <c r="D1263" s="28">
        <f>IFERROR(__xludf.DUMMYFUNCTION("""COMPUTED_VALUE"""),5.0)</f>
        <v>5</v>
      </c>
      <c r="E1263" s="29">
        <f>IFERROR(__xludf.DUMMYFUNCTION("""COMPUTED_VALUE"""),44139.0)</f>
        <v>44139</v>
      </c>
      <c r="F1263" s="26" t="str">
        <f>IFERROR(__xludf.DUMMYFUNCTION("""COMPUTED_VALUE"""),"5ee7b6ce868ce30ac49e2521")</f>
        <v>5ee7b6ce868ce30ac49e2521</v>
      </c>
      <c r="G1263" s="26" t="str">
        <f>IFERROR(__xludf.DUMMYFUNCTION("""COMPUTED_VALUE"""),"Bryan Le")</f>
        <v>Bryan Le</v>
      </c>
      <c r="H1263" s="26" t="b">
        <v>0</v>
      </c>
    </row>
    <row r="1264" hidden="1">
      <c r="A1264" s="26" t="str">
        <f>VLOOKUP(B1264,'2020 SRED (JIRA) - Issues and l'!$B:$C,2,FALSE)</f>
        <v>insite-workflow-SRED</v>
      </c>
      <c r="B1264" s="27" t="str">
        <f>IFERROR(__xludf.DUMMYFUNCTION("""COMPUTED_VALUE"""),"APPS-522")</f>
        <v>APPS-522</v>
      </c>
      <c r="C1264" s="26" t="str">
        <f>IFERROR(__xludf.DUMMYFUNCTION("""COMPUTED_VALUE"""),"Go through process of importing new advisors pre-touchpoint and updating word counts post-touchpoint")</f>
        <v>Go through process of importing new advisors pre-touchpoint and updating word counts post-touchpoint</v>
      </c>
      <c r="D1264" s="28">
        <f>IFERROR(__xludf.DUMMYFUNCTION("""COMPUTED_VALUE"""),1.0)</f>
        <v>1</v>
      </c>
      <c r="E1264" s="29">
        <f>IFERROR(__xludf.DUMMYFUNCTION("""COMPUTED_VALUE"""),44139.0)</f>
        <v>44139</v>
      </c>
      <c r="F1264" s="26" t="str">
        <f>IFERROR(__xludf.DUMMYFUNCTION("""COMPUTED_VALUE"""),"5ee7b6ce868ce30ac49e2521")</f>
        <v>5ee7b6ce868ce30ac49e2521</v>
      </c>
      <c r="G1264" s="26" t="str">
        <f>IFERROR(__xludf.DUMMYFUNCTION("""COMPUTED_VALUE"""),"Bryan Le")</f>
        <v>Bryan Le</v>
      </c>
      <c r="H1264" s="26" t="b">
        <v>0</v>
      </c>
    </row>
    <row r="1265" hidden="1">
      <c r="A1265" s="26" t="str">
        <f>VLOOKUP(B1265,'2020 SRED (JIRA) - Issues and l'!$B:$C,2,FALSE)</f>
        <v>insite-workflow-SRED</v>
      </c>
      <c r="B1265" s="27" t="str">
        <f>IFERROR(__xludf.DUMMYFUNCTION("""COMPUTED_VALUE"""),"APPS-487")</f>
        <v>APPS-487</v>
      </c>
      <c r="C1265" s="26" t="str">
        <f>IFERROR(__xludf.DUMMYFUNCTION("""COMPUTED_VALUE"""),"Show proposal status field on proposal detail and form views")</f>
        <v>Show proposal status field on proposal detail and form views</v>
      </c>
      <c r="D1265" s="28">
        <f>IFERROR(__xludf.DUMMYFUNCTION("""COMPUTED_VALUE"""),2.0)</f>
        <v>2</v>
      </c>
      <c r="E1265" s="29">
        <f>IFERROR(__xludf.DUMMYFUNCTION("""COMPUTED_VALUE"""),44139.0)</f>
        <v>44139</v>
      </c>
      <c r="F1265" s="26" t="str">
        <f>IFERROR(__xludf.DUMMYFUNCTION("""COMPUTED_VALUE"""),"5ee7b6cf02b4400ac4b65399")</f>
        <v>5ee7b6cf02b4400ac4b65399</v>
      </c>
      <c r="G1265" s="26" t="str">
        <f>IFERROR(__xludf.DUMMYFUNCTION("""COMPUTED_VALUE"""),"Jessica Obando")</f>
        <v>Jessica Obando</v>
      </c>
      <c r="H1265" s="26" t="b">
        <v>0</v>
      </c>
    </row>
    <row r="1266" hidden="1">
      <c r="A1266" s="26" t="str">
        <f>VLOOKUP(B1266,'2020 SRED (JIRA) - Issues and l'!$B:$C,2,FALSE)</f>
        <v>insite-workflow-SRED</v>
      </c>
      <c r="B1266" s="27" t="str">
        <f>IFERROR(__xludf.DUMMYFUNCTION("""COMPUTED_VALUE"""),"APPS-512")</f>
        <v>APPS-512</v>
      </c>
      <c r="C1266" s="26" t="str">
        <f>IFERROR(__xludf.DUMMYFUNCTION("""COMPUTED_VALUE"""),"Default durations for each product")</f>
        <v>Default durations for each product</v>
      </c>
      <c r="D1266" s="28">
        <f>IFERROR(__xludf.DUMMYFUNCTION("""COMPUTED_VALUE"""),1.0)</f>
        <v>1</v>
      </c>
      <c r="E1266" s="29">
        <f>IFERROR(__xludf.DUMMYFUNCTION("""COMPUTED_VALUE"""),44139.0)</f>
        <v>44139</v>
      </c>
      <c r="F1266" s="26" t="str">
        <f>IFERROR(__xludf.DUMMYFUNCTION("""COMPUTED_VALUE"""),"5ee7b6cf02b4400ac4b65399")</f>
        <v>5ee7b6cf02b4400ac4b65399</v>
      </c>
      <c r="G1266" s="26" t="str">
        <f>IFERROR(__xludf.DUMMYFUNCTION("""COMPUTED_VALUE"""),"Jessica Obando")</f>
        <v>Jessica Obando</v>
      </c>
      <c r="H1266" s="26" t="b">
        <v>0</v>
      </c>
    </row>
    <row r="1267" hidden="1">
      <c r="A1267" s="26" t="str">
        <f>VLOOKUP(B1267,'2020 SRED (JIRA) - Issues and l'!$B:$C,2,FALSE)</f>
        <v>insite-workflow-SRED</v>
      </c>
      <c r="B1267" s="27" t="str">
        <f>IFERROR(__xludf.DUMMYFUNCTION("""COMPUTED_VALUE"""),"APPS-510")</f>
        <v>APPS-510</v>
      </c>
      <c r="C1267" s="26" t="str">
        <f>IFERROR(__xludf.DUMMYFUNCTION("""COMPUTED_VALUE"""),"Improvements to internal review request email")</f>
        <v>Improvements to internal review request email</v>
      </c>
      <c r="D1267" s="28">
        <f>IFERROR(__xludf.DUMMYFUNCTION("""COMPUTED_VALUE"""),4.0)</f>
        <v>4</v>
      </c>
      <c r="E1267" s="29">
        <f>IFERROR(__xludf.DUMMYFUNCTION("""COMPUTED_VALUE"""),44139.0)</f>
        <v>44139</v>
      </c>
      <c r="F1267" s="26" t="str">
        <f>IFERROR(__xludf.DUMMYFUNCTION("""COMPUTED_VALUE"""),"5ee7b6cf02b4400ac4b65399")</f>
        <v>5ee7b6cf02b4400ac4b65399</v>
      </c>
      <c r="G1267" s="26" t="str">
        <f>IFERROR(__xludf.DUMMYFUNCTION("""COMPUTED_VALUE"""),"Jessica Obando")</f>
        <v>Jessica Obando</v>
      </c>
      <c r="H1267" s="26" t="b">
        <v>0</v>
      </c>
    </row>
    <row r="1268" hidden="1">
      <c r="A1268" s="26" t="str">
        <f>VLOOKUP(B1268,'2020 SRED (JIRA) - Issues and l'!$B:$C,2,FALSE)</f>
        <v>insite-event-SRED</v>
      </c>
      <c r="B1268" s="27" t="str">
        <f>IFERROR(__xludf.DUMMYFUNCTION("""COMPUTED_VALUE"""),"ZAPI-82")</f>
        <v>ZAPI-82</v>
      </c>
      <c r="C1268" s="26" t="str">
        <f>IFERROR(__xludf.DUMMYFUNCTION("""COMPUTED_VALUE"""),"Stress test recording transfer (long meetings could get up to ~5 GB)")</f>
        <v>Stress test recording transfer (long meetings could get up to ~5 GB)</v>
      </c>
      <c r="D1268" s="28">
        <f>IFERROR(__xludf.DUMMYFUNCTION("""COMPUTED_VALUE"""),1.0)</f>
        <v>1</v>
      </c>
      <c r="E1268" s="29">
        <f>IFERROR(__xludf.DUMMYFUNCTION("""COMPUTED_VALUE"""),44139.663194444445)</f>
        <v>44139.66319</v>
      </c>
      <c r="F1268" s="26" t="str">
        <f>IFERROR(__xludf.DUMMYFUNCTION("""COMPUTED_VALUE"""),"5ec3f07a5269230c34d51fd3")</f>
        <v>5ec3f07a5269230c34d51fd3</v>
      </c>
      <c r="G1268" s="26" t="str">
        <f>IFERROR(__xludf.DUMMYFUNCTION("""COMPUTED_VALUE"""),"Nikita Kuzmin")</f>
        <v>Nikita Kuzmin</v>
      </c>
      <c r="H1268" s="26" t="b">
        <v>0</v>
      </c>
    </row>
    <row r="1269" hidden="1">
      <c r="A1269" s="26" t="str">
        <f>VLOOKUP(B1269,'2020 SRED (JIRA) - Issues and l'!$B:$C,2,FALSE)</f>
        <v>portal-builder-SRED</v>
      </c>
      <c r="B1269" s="27" t="str">
        <f>IFERROR(__xludf.DUMMYFUNCTION("""COMPUTED_VALUE"""),"ITP-1874")</f>
        <v>ITP-1874</v>
      </c>
      <c r="C1269" s="26" t="str">
        <f>IFERROR(__xludf.DUMMYFUNCTION("""COMPUTED_VALUE"""),"Multiple webform submission group conditions")</f>
        <v>Multiple webform submission group conditions</v>
      </c>
      <c r="D1269" s="28">
        <f>IFERROR(__xludf.DUMMYFUNCTION("""COMPUTED_VALUE"""),0.25)</f>
        <v>0.25</v>
      </c>
      <c r="E1269" s="29">
        <f>IFERROR(__xludf.DUMMYFUNCTION("""COMPUTED_VALUE"""),44139.70833333333)</f>
        <v>44139.70833</v>
      </c>
      <c r="F1269" s="26" t="str">
        <f>IFERROR(__xludf.DUMMYFUNCTION("""COMPUTED_VALUE"""),"557058:73c9cac1-5a92-492c-86e8-838810ee0dde")</f>
        <v>557058:73c9cac1-5a92-492c-86e8-838810ee0dde</v>
      </c>
      <c r="G1269" s="26" t="str">
        <f>IFERROR(__xludf.DUMMYFUNCTION("""COMPUTED_VALUE"""),"Dan Wells")</f>
        <v>Dan Wells</v>
      </c>
      <c r="H1269" s="26" t="b">
        <v>0</v>
      </c>
    </row>
    <row r="1270" hidden="1">
      <c r="A1270" s="26" t="str">
        <f>VLOOKUP(B1270,'2020 SRED (JIRA) - Issues and l'!$B:$C,2,FALSE)</f>
        <v>insite-event-SRED</v>
      </c>
      <c r="B1270" s="27" t="str">
        <f>IFERROR(__xludf.DUMMYFUNCTION("""COMPUTED_VALUE"""),"ZAPI-82")</f>
        <v>ZAPI-82</v>
      </c>
      <c r="C1270" s="26" t="str">
        <f>IFERROR(__xludf.DUMMYFUNCTION("""COMPUTED_VALUE"""),"Stress test recording transfer (long meetings could get up to ~5 GB)")</f>
        <v>Stress test recording transfer (long meetings could get up to ~5 GB)</v>
      </c>
      <c r="D1270" s="28">
        <f>IFERROR(__xludf.DUMMYFUNCTION("""COMPUTED_VALUE"""),0.25)</f>
        <v>0.25</v>
      </c>
      <c r="E1270" s="29">
        <f>IFERROR(__xludf.DUMMYFUNCTION("""COMPUTED_VALUE"""),44139.71875)</f>
        <v>44139.71875</v>
      </c>
      <c r="F1270" s="26" t="str">
        <f>IFERROR(__xludf.DUMMYFUNCTION("""COMPUTED_VALUE"""),"5ec3f07a5269230c34d51fd3")</f>
        <v>5ec3f07a5269230c34d51fd3</v>
      </c>
      <c r="G1270" s="26" t="str">
        <f>IFERROR(__xludf.DUMMYFUNCTION("""COMPUTED_VALUE"""),"Nikita Kuzmin")</f>
        <v>Nikita Kuzmin</v>
      </c>
      <c r="H1270" s="26" t="b">
        <v>0</v>
      </c>
    </row>
    <row r="1271" hidden="1">
      <c r="A1271" s="26" t="str">
        <f>VLOOKUP(B1271,'2020 SRED (JIRA) - Issues and l'!$B:$C,2,FALSE)</f>
        <v>insite-event-SRED</v>
      </c>
      <c r="B1271" s="27" t="str">
        <f>IFERROR(__xludf.DUMMYFUNCTION("""COMPUTED_VALUE"""),"ZAPI-82")</f>
        <v>ZAPI-82</v>
      </c>
      <c r="C1271" s="26" t="str">
        <f>IFERROR(__xludf.DUMMYFUNCTION("""COMPUTED_VALUE"""),"Stress test recording transfer (long meetings could get up to ~5 GB)")</f>
        <v>Stress test recording transfer (long meetings could get up to ~5 GB)</v>
      </c>
      <c r="D1271" s="28">
        <f>IFERROR(__xludf.DUMMYFUNCTION("""COMPUTED_VALUE"""),1.0)</f>
        <v>1</v>
      </c>
      <c r="E1271" s="29">
        <f>IFERROR(__xludf.DUMMYFUNCTION("""COMPUTED_VALUE"""),44139.76041666667)</f>
        <v>44139.76042</v>
      </c>
      <c r="F1271" s="26" t="str">
        <f>IFERROR(__xludf.DUMMYFUNCTION("""COMPUTED_VALUE"""),"5ec3f07a5269230c34d51fd3")</f>
        <v>5ec3f07a5269230c34d51fd3</v>
      </c>
      <c r="G1271" s="26" t="str">
        <f>IFERROR(__xludf.DUMMYFUNCTION("""COMPUTED_VALUE"""),"Nikita Kuzmin")</f>
        <v>Nikita Kuzmin</v>
      </c>
      <c r="H1271" s="26" t="b">
        <v>0</v>
      </c>
    </row>
    <row r="1272">
      <c r="A1272" s="26" t="str">
        <f>VLOOKUP(B1272,'2020 SRED (JIRA) - Issues and l'!$B:$C,2,FALSE)</f>
        <v>insite-workflow-SRED</v>
      </c>
      <c r="B1272" s="27" t="str">
        <f>IFERROR(__xludf.DUMMYFUNCTION("""COMPUTED_VALUE"""),"APPS-529")</f>
        <v>APPS-529</v>
      </c>
      <c r="C1272" s="26" t="str">
        <f>IFERROR(__xludf.DUMMYFUNCTION("""COMPUTED_VALUE"""),"If salesperson enters duration longer than product’s default duration, show warning")</f>
        <v>If salesperson enters duration longer than product’s default duration, show warning</v>
      </c>
      <c r="D1272" s="28">
        <f>IFERROR(__xludf.DUMMYFUNCTION("""COMPUTED_VALUE"""),0.25)</f>
        <v>0.25</v>
      </c>
      <c r="E1272" s="29">
        <f>IFERROR(__xludf.DUMMYFUNCTION("""COMPUTED_VALUE"""),44140.0)</f>
        <v>44140</v>
      </c>
      <c r="F1272" s="26" t="str">
        <f>IFERROR(__xludf.DUMMYFUNCTION("""COMPUTED_VALUE"""),"557058:ed1ddc66-d84d-405c-a815-0fcc6147ba14")</f>
        <v>557058:ed1ddc66-d84d-405c-a815-0fcc6147ba14</v>
      </c>
      <c r="G1272" s="26" t="str">
        <f>IFERROR(__xludf.DUMMYFUNCTION("""COMPUTED_VALUE"""),"Mark Corrigan")</f>
        <v>Mark Corrigan</v>
      </c>
      <c r="H1272" s="26" t="b">
        <v>0</v>
      </c>
    </row>
    <row r="1273">
      <c r="A1273" s="26" t="str">
        <f>VLOOKUP(B1273,'2020 SRED (JIRA) - Issues and l'!$B:$C,2,FALSE)</f>
        <v>insite-workflow-SRED</v>
      </c>
      <c r="B1273" s="27" t="str">
        <f>IFERROR(__xludf.DUMMYFUNCTION("""COMPUTED_VALUE"""),"APPS-448")</f>
        <v>APPS-448</v>
      </c>
      <c r="C1273" s="26" t="str">
        <f>IFERROR(__xludf.DUMMYFUNCTION("""COMPUTED_VALUE"""),"Project totals and org discount table")</f>
        <v>Project totals and org discount table</v>
      </c>
      <c r="D1273" s="28">
        <f>IFERROR(__xludf.DUMMYFUNCTION("""COMPUTED_VALUE"""),0.5)</f>
        <v>0.5</v>
      </c>
      <c r="E1273" s="29">
        <f>IFERROR(__xludf.DUMMYFUNCTION("""COMPUTED_VALUE"""),44140.0)</f>
        <v>44140</v>
      </c>
      <c r="F1273" s="26" t="str">
        <f>IFERROR(__xludf.DUMMYFUNCTION("""COMPUTED_VALUE"""),"557058:ed1ddc66-d84d-405c-a815-0fcc6147ba14")</f>
        <v>557058:ed1ddc66-d84d-405c-a815-0fcc6147ba14</v>
      </c>
      <c r="G1273" s="26" t="str">
        <f>IFERROR(__xludf.DUMMYFUNCTION("""COMPUTED_VALUE"""),"Mark Corrigan")</f>
        <v>Mark Corrigan</v>
      </c>
      <c r="H1273" s="26" t="b">
        <v>0</v>
      </c>
    </row>
    <row r="1274">
      <c r="A1274" s="26" t="str">
        <f>VLOOKUP(B1274,'2020 SRED (JIRA) - Issues and l'!$B:$C,2,FALSE)</f>
        <v>insite-workflow-SRED</v>
      </c>
      <c r="B1274" s="27" t="str">
        <f>IFERROR(__xludf.DUMMYFUNCTION("""COMPUTED_VALUE"""),"APPS-512")</f>
        <v>APPS-512</v>
      </c>
      <c r="C1274" s="26" t="str">
        <f>IFERROR(__xludf.DUMMYFUNCTION("""COMPUTED_VALUE"""),"Default durations for each product")</f>
        <v>Default durations for each product</v>
      </c>
      <c r="D1274" s="28">
        <f>IFERROR(__xludf.DUMMYFUNCTION("""COMPUTED_VALUE"""),0.5)</f>
        <v>0.5</v>
      </c>
      <c r="E1274" s="29">
        <f>IFERROR(__xludf.DUMMYFUNCTION("""COMPUTED_VALUE"""),44140.0)</f>
        <v>44140</v>
      </c>
      <c r="F1274" s="26" t="str">
        <f>IFERROR(__xludf.DUMMYFUNCTION("""COMPUTED_VALUE"""),"557058:ed1ddc66-d84d-405c-a815-0fcc6147ba14")</f>
        <v>557058:ed1ddc66-d84d-405c-a815-0fcc6147ba14</v>
      </c>
      <c r="G1274" s="26" t="str">
        <f>IFERROR(__xludf.DUMMYFUNCTION("""COMPUTED_VALUE"""),"Mark Corrigan")</f>
        <v>Mark Corrigan</v>
      </c>
      <c r="H1274" s="26" t="b">
        <v>0</v>
      </c>
    </row>
    <row r="1275" hidden="1">
      <c r="A1275" s="26" t="str">
        <f>VLOOKUP(B1275,'2020 SRED (JIRA) - Issues and l'!$B:$C,2,FALSE)</f>
        <v>insite-workflow-SRED</v>
      </c>
      <c r="B1275" s="27" t="str">
        <f>IFERROR(__xludf.DUMMYFUNCTION("""COMPUTED_VALUE"""),"APPS-527")</f>
        <v>APPS-527</v>
      </c>
      <c r="C1275" s="26" t="str">
        <f>IFERROR(__xludf.DUMMYFUNCTION("""COMPUTED_VALUE"""),"Create AppSheet database for participant data")</f>
        <v>Create AppSheet database for participant data</v>
      </c>
      <c r="D1275" s="28">
        <f>IFERROR(__xludf.DUMMYFUNCTION("""COMPUTED_VALUE"""),7.0)</f>
        <v>7</v>
      </c>
      <c r="E1275" s="29">
        <f>IFERROR(__xludf.DUMMYFUNCTION("""COMPUTED_VALUE"""),44140.0)</f>
        <v>44140</v>
      </c>
      <c r="F1275" s="26" t="str">
        <f>IFERROR(__xludf.DUMMYFUNCTION("""COMPUTED_VALUE"""),"5ee7b6ce868ce30ac49e2521")</f>
        <v>5ee7b6ce868ce30ac49e2521</v>
      </c>
      <c r="G1275" s="26" t="str">
        <f>IFERROR(__xludf.DUMMYFUNCTION("""COMPUTED_VALUE"""),"Bryan Le")</f>
        <v>Bryan Le</v>
      </c>
      <c r="H1275" s="26" t="b">
        <v>0</v>
      </c>
    </row>
    <row r="1276" hidden="1">
      <c r="A1276" s="26" t="str">
        <f>VLOOKUP(B1276,'2020 SRED (JIRA) - Issues and l'!$B:$C,2,FALSE)</f>
        <v>insite-workflow-SRED</v>
      </c>
      <c r="B1276" s="27" t="str">
        <f>IFERROR(__xludf.DUMMYFUNCTION("""COMPUTED_VALUE"""),"APPS-526")</f>
        <v>APPS-526</v>
      </c>
      <c r="C1276" s="26" t="str">
        <f>IFERROR(__xludf.DUMMYFUNCTION("""COMPUTED_VALUE"""),"Error with new custom requirements and add-ons/reductions not being added to cost fields in details view")</f>
        <v>Error with new custom requirements and add-ons/reductions not being added to cost fields in details view</v>
      </c>
      <c r="D1276" s="28">
        <f>IFERROR(__xludf.DUMMYFUNCTION("""COMPUTED_VALUE"""),2.0)</f>
        <v>2</v>
      </c>
      <c r="E1276" s="29">
        <f>IFERROR(__xludf.DUMMYFUNCTION("""COMPUTED_VALUE"""),44140.0)</f>
        <v>44140</v>
      </c>
      <c r="F1276" s="26" t="str">
        <f>IFERROR(__xludf.DUMMYFUNCTION("""COMPUTED_VALUE"""),"5ee7b6cf02b4400ac4b65399")</f>
        <v>5ee7b6cf02b4400ac4b65399</v>
      </c>
      <c r="G1276" s="26" t="str">
        <f>IFERROR(__xludf.DUMMYFUNCTION("""COMPUTED_VALUE"""),"Jessica Obando")</f>
        <v>Jessica Obando</v>
      </c>
      <c r="H1276" s="26" t="b">
        <v>0</v>
      </c>
    </row>
    <row r="1277" hidden="1">
      <c r="A1277" s="26" t="str">
        <f>VLOOKUP(B1277,'2020 SRED (JIRA) - Issues and l'!$B:$C,2,FALSE)</f>
        <v>insite-workflow-SRED</v>
      </c>
      <c r="B1277" s="27" t="str">
        <f>IFERROR(__xludf.DUMMYFUNCTION("""COMPUTED_VALUE"""),"APPS-510")</f>
        <v>APPS-510</v>
      </c>
      <c r="C1277" s="26" t="str">
        <f>IFERROR(__xludf.DUMMYFUNCTION("""COMPUTED_VALUE"""),"Improvements to internal review request email")</f>
        <v>Improvements to internal review request email</v>
      </c>
      <c r="D1277" s="28">
        <f>IFERROR(__xludf.DUMMYFUNCTION("""COMPUTED_VALUE"""),3.0)</f>
        <v>3</v>
      </c>
      <c r="E1277" s="29">
        <f>IFERROR(__xludf.DUMMYFUNCTION("""COMPUTED_VALUE"""),44140.0)</f>
        <v>44140</v>
      </c>
      <c r="F1277" s="26" t="str">
        <f>IFERROR(__xludf.DUMMYFUNCTION("""COMPUTED_VALUE"""),"5ee7b6cf02b4400ac4b65399")</f>
        <v>5ee7b6cf02b4400ac4b65399</v>
      </c>
      <c r="G1277" s="26" t="str">
        <f>IFERROR(__xludf.DUMMYFUNCTION("""COMPUTED_VALUE"""),"Jessica Obando")</f>
        <v>Jessica Obando</v>
      </c>
      <c r="H1277" s="26" t="b">
        <v>0</v>
      </c>
    </row>
    <row r="1278" hidden="1">
      <c r="A1278" s="26" t="str">
        <f>VLOOKUP(B1278,'2020 SRED (JIRA) - Issues and l'!$B:$C,2,FALSE)</f>
        <v>insite-event-SRED</v>
      </c>
      <c r="B1278" s="27" t="str">
        <f>IFERROR(__xludf.DUMMYFUNCTION("""COMPUTED_VALUE"""),"ZAPI-82")</f>
        <v>ZAPI-82</v>
      </c>
      <c r="C1278" s="26" t="str">
        <f>IFERROR(__xludf.DUMMYFUNCTION("""COMPUTED_VALUE"""),"Stress test recording transfer (long meetings could get up to ~5 GB)")</f>
        <v>Stress test recording transfer (long meetings could get up to ~5 GB)</v>
      </c>
      <c r="D1278" s="28">
        <f>IFERROR(__xludf.DUMMYFUNCTION("""COMPUTED_VALUE"""),0.5)</f>
        <v>0.5</v>
      </c>
      <c r="E1278" s="29">
        <f>IFERROR(__xludf.DUMMYFUNCTION("""COMPUTED_VALUE"""),44140.36458333333)</f>
        <v>44140.36458</v>
      </c>
      <c r="F1278" s="26" t="str">
        <f>IFERROR(__xludf.DUMMYFUNCTION("""COMPUTED_VALUE"""),"557058:3124a1f0-e92a-405c-93f2-c1d4e621bc77")</f>
        <v>557058:3124a1f0-e92a-405c-93f2-c1d4e621bc77</v>
      </c>
      <c r="G1278" s="26" t="str">
        <f>IFERROR(__xludf.DUMMYFUNCTION("""COMPUTED_VALUE"""),"Trevor Coehoorn")</f>
        <v>Trevor Coehoorn</v>
      </c>
      <c r="H1278" s="26" t="b">
        <v>0</v>
      </c>
    </row>
    <row r="1279" hidden="1">
      <c r="A1279" s="26" t="str">
        <f>VLOOKUP(B1279,'2020 SRED (JIRA) - Issues and l'!$B:$C,2,FALSE)</f>
        <v>portal-builder-SRED</v>
      </c>
      <c r="B1279" s="27" t="str">
        <f>IFERROR(__xludf.DUMMYFUNCTION("""COMPUTED_VALUE"""),"ITP-1877")</f>
        <v>ITP-1877</v>
      </c>
      <c r="C1279" s="26" t="str">
        <f>IFERROR(__xludf.DUMMYFUNCTION("""COMPUTED_VALUE"""),"TP builder makes pages with section titles longer than allowed character limit ")</f>
        <v>TP builder makes pages with section titles longer than allowed character limit </v>
      </c>
      <c r="D1279" s="28">
        <f>IFERROR(__xludf.DUMMYFUNCTION("""COMPUTED_VALUE"""),0.75)</f>
        <v>0.75</v>
      </c>
      <c r="E1279" s="29">
        <f>IFERROR(__xludf.DUMMYFUNCTION("""COMPUTED_VALUE"""),44140.39583333333)</f>
        <v>44140.39583</v>
      </c>
      <c r="F1279" s="26" t="str">
        <f>IFERROR(__xludf.DUMMYFUNCTION("""COMPUTED_VALUE"""),"5f5125a6333edb00434bffaf")</f>
        <v>5f5125a6333edb00434bffaf</v>
      </c>
      <c r="G1279" s="26" t="str">
        <f>IFERROR(__xludf.DUMMYFUNCTION("""COMPUTED_VALUE"""),"Terry Waldner")</f>
        <v>Terry Waldner</v>
      </c>
      <c r="H1279" s="26" t="b">
        <v>0</v>
      </c>
    </row>
    <row r="1280" hidden="1">
      <c r="A1280" s="26" t="str">
        <f>VLOOKUP(B1280,'2020 SRED (JIRA) - Issues and l'!$B:$C,2,FALSE)</f>
        <v>insite-event-SRED</v>
      </c>
      <c r="B1280" s="27" t="str">
        <f>IFERROR(__xludf.DUMMYFUNCTION("""COMPUTED_VALUE"""),"ZAPI-82")</f>
        <v>ZAPI-82</v>
      </c>
      <c r="C1280" s="26" t="str">
        <f>IFERROR(__xludf.DUMMYFUNCTION("""COMPUTED_VALUE"""),"Stress test recording transfer (long meetings could get up to ~5 GB)")</f>
        <v>Stress test recording transfer (long meetings could get up to ~5 GB)</v>
      </c>
      <c r="D1280" s="28">
        <f>IFERROR(__xludf.DUMMYFUNCTION("""COMPUTED_VALUE"""),0.25)</f>
        <v>0.25</v>
      </c>
      <c r="E1280" s="29">
        <f>IFERROR(__xludf.DUMMYFUNCTION("""COMPUTED_VALUE"""),44140.5625)</f>
        <v>44140.5625</v>
      </c>
      <c r="F1280" s="26" t="str">
        <f>IFERROR(__xludf.DUMMYFUNCTION("""COMPUTED_VALUE"""),"557058:3124a1f0-e92a-405c-93f2-c1d4e621bc77")</f>
        <v>557058:3124a1f0-e92a-405c-93f2-c1d4e621bc77</v>
      </c>
      <c r="G1280" s="26" t="str">
        <f>IFERROR(__xludf.DUMMYFUNCTION("""COMPUTED_VALUE"""),"Trevor Coehoorn")</f>
        <v>Trevor Coehoorn</v>
      </c>
      <c r="H1280" s="26" t="b">
        <v>0</v>
      </c>
    </row>
    <row r="1281" hidden="1">
      <c r="A1281" s="26" t="str">
        <f>VLOOKUP(B1281,'2020 SRED (JIRA) - Issues and l'!$B:$C,2,FALSE)</f>
        <v>portal-builder-SRED</v>
      </c>
      <c r="B1281" s="27" t="str">
        <f>IFERROR(__xludf.DUMMYFUNCTION("""COMPUTED_VALUE"""),"ITP-1874")</f>
        <v>ITP-1874</v>
      </c>
      <c r="C1281" s="26" t="str">
        <f>IFERROR(__xludf.DUMMYFUNCTION("""COMPUTED_VALUE"""),"Multiple webform submission group conditions")</f>
        <v>Multiple webform submission group conditions</v>
      </c>
      <c r="D1281" s="28">
        <f>IFERROR(__xludf.DUMMYFUNCTION("""COMPUTED_VALUE"""),0.25)</f>
        <v>0.25</v>
      </c>
      <c r="E1281" s="29">
        <f>IFERROR(__xludf.DUMMYFUNCTION("""COMPUTED_VALUE"""),44140.57291666667)</f>
        <v>44140.57292</v>
      </c>
      <c r="F1281" s="26" t="str">
        <f>IFERROR(__xludf.DUMMYFUNCTION("""COMPUTED_VALUE"""),"5f5125a6333edb00434bffaf")</f>
        <v>5f5125a6333edb00434bffaf</v>
      </c>
      <c r="G1281" s="26" t="str">
        <f>IFERROR(__xludf.DUMMYFUNCTION("""COMPUTED_VALUE"""),"Terry Waldner")</f>
        <v>Terry Waldner</v>
      </c>
      <c r="H1281" s="26" t="b">
        <v>0</v>
      </c>
    </row>
    <row r="1282" hidden="1">
      <c r="A1282" s="26" t="str">
        <f>VLOOKUP(B1282,'2020 SRED (JIRA) - Issues and l'!$B:$C,2,FALSE)</f>
        <v>portal-builder-SRED</v>
      </c>
      <c r="B1282" s="27" t="str">
        <f>IFERROR(__xludf.DUMMYFUNCTION("""COMPUTED_VALUE"""),"ITP-1877")</f>
        <v>ITP-1877</v>
      </c>
      <c r="C1282" s="26" t="str">
        <f>IFERROR(__xludf.DUMMYFUNCTION("""COMPUTED_VALUE"""),"TP builder makes pages with section titles longer than allowed character limit ")</f>
        <v>TP builder makes pages with section titles longer than allowed character limit </v>
      </c>
      <c r="D1282" s="28">
        <f>IFERROR(__xludf.DUMMYFUNCTION("""COMPUTED_VALUE"""),1.25)</f>
        <v>1.25</v>
      </c>
      <c r="E1282" s="29">
        <f>IFERROR(__xludf.DUMMYFUNCTION("""COMPUTED_VALUE"""),44140.59375)</f>
        <v>44140.59375</v>
      </c>
      <c r="F1282" s="26" t="str">
        <f>IFERROR(__xludf.DUMMYFUNCTION("""COMPUTED_VALUE"""),"5f5125a6333edb00434bffaf")</f>
        <v>5f5125a6333edb00434bffaf</v>
      </c>
      <c r="G1282" s="26" t="str">
        <f>IFERROR(__xludf.DUMMYFUNCTION("""COMPUTED_VALUE"""),"Terry Waldner")</f>
        <v>Terry Waldner</v>
      </c>
      <c r="H1282" s="26" t="b">
        <v>0</v>
      </c>
    </row>
    <row r="1283">
      <c r="A1283" s="26" t="str">
        <f>VLOOKUP(B1283,'2020 SRED (JIRA) - Issues and l'!$B:$C,2,FALSE)</f>
        <v>insite-workflow-SRED</v>
      </c>
      <c r="B1283" s="27" t="str">
        <f>IFERROR(__xludf.DUMMYFUNCTION("""COMPUTED_VALUE"""),"APPS-530")</f>
        <v>APPS-530</v>
      </c>
      <c r="C1283" s="26" t="str">
        <f>IFERROR(__xludf.DUMMYFUNCTION("""COMPUTED_VALUE"""),"If more participants entered than ‘max participants’ on product, show warning")</f>
        <v>If more participants entered than ‘max participants’ on product, show warning</v>
      </c>
      <c r="D1283" s="28">
        <f>IFERROR(__xludf.DUMMYFUNCTION("""COMPUTED_VALUE"""),0.5)</f>
        <v>0.5</v>
      </c>
      <c r="E1283" s="29">
        <f>IFERROR(__xludf.DUMMYFUNCTION("""COMPUTED_VALUE"""),44141.0)</f>
        <v>44141</v>
      </c>
      <c r="F1283" s="26" t="str">
        <f>IFERROR(__xludf.DUMMYFUNCTION("""COMPUTED_VALUE"""),"557058:ed1ddc66-d84d-405c-a815-0fcc6147ba14")</f>
        <v>557058:ed1ddc66-d84d-405c-a815-0fcc6147ba14</v>
      </c>
      <c r="G1283" s="26" t="str">
        <f>IFERROR(__xludf.DUMMYFUNCTION("""COMPUTED_VALUE"""),"Mark Corrigan")</f>
        <v>Mark Corrigan</v>
      </c>
      <c r="H1283" s="26" t="b">
        <v>0</v>
      </c>
    </row>
    <row r="1284" hidden="1">
      <c r="A1284" s="26" t="str">
        <f>VLOOKUP(B1284,'2020 SRED (JIRA) - Issues and l'!$B:$C,2,FALSE)</f>
        <v>insite-workflow-SRED</v>
      </c>
      <c r="B1284" s="27" t="str">
        <f>IFERROR(__xludf.DUMMYFUNCTION("""COMPUTED_VALUE"""),"APPS-528")</f>
        <v>APPS-528</v>
      </c>
      <c r="C1284" s="26" t="str">
        <f>IFERROR(__xludf.DUMMYFUNCTION("""COMPUTED_VALUE"""),"Create searching UX view")</f>
        <v>Create searching UX view</v>
      </c>
      <c r="D1284" s="28">
        <f>IFERROR(__xludf.DUMMYFUNCTION("""COMPUTED_VALUE"""),1.0)</f>
        <v>1</v>
      </c>
      <c r="E1284" s="29">
        <f>IFERROR(__xludf.DUMMYFUNCTION("""COMPUTED_VALUE"""),44141.0)</f>
        <v>44141</v>
      </c>
      <c r="F1284" s="26" t="str">
        <f>IFERROR(__xludf.DUMMYFUNCTION("""COMPUTED_VALUE"""),"5ee7b6ce868ce30ac49e2521")</f>
        <v>5ee7b6ce868ce30ac49e2521</v>
      </c>
      <c r="G1284" s="26" t="str">
        <f>IFERROR(__xludf.DUMMYFUNCTION("""COMPUTED_VALUE"""),"Bryan Le")</f>
        <v>Bryan Le</v>
      </c>
      <c r="H1284" s="26" t="b">
        <v>0</v>
      </c>
    </row>
    <row r="1285" hidden="1">
      <c r="A1285" s="26" t="str">
        <f>VLOOKUP(B1285,'2020 SRED (JIRA) - Issues and l'!$B:$C,2,FALSE)</f>
        <v>insite-workflow-SRED</v>
      </c>
      <c r="B1285" s="27" t="str">
        <f>IFERROR(__xludf.DUMMYFUNCTION("""COMPUTED_VALUE"""),"APPS-528")</f>
        <v>APPS-528</v>
      </c>
      <c r="C1285" s="26" t="str">
        <f>IFERROR(__xludf.DUMMYFUNCTION("""COMPUTED_VALUE"""),"Create searching UX view")</f>
        <v>Create searching UX view</v>
      </c>
      <c r="D1285" s="28">
        <f>IFERROR(__xludf.DUMMYFUNCTION("""COMPUTED_VALUE"""),6.0)</f>
        <v>6</v>
      </c>
      <c r="E1285" s="29">
        <f>IFERROR(__xludf.DUMMYFUNCTION("""COMPUTED_VALUE"""),44141.0)</f>
        <v>44141</v>
      </c>
      <c r="F1285" s="26" t="str">
        <f>IFERROR(__xludf.DUMMYFUNCTION("""COMPUTED_VALUE"""),"5ee7b6ce868ce30ac49e2521")</f>
        <v>5ee7b6ce868ce30ac49e2521</v>
      </c>
      <c r="G1285" s="26" t="str">
        <f>IFERROR(__xludf.DUMMYFUNCTION("""COMPUTED_VALUE"""),"Bryan Le")</f>
        <v>Bryan Le</v>
      </c>
      <c r="H1285" s="26" t="b">
        <v>0</v>
      </c>
    </row>
    <row r="1286" hidden="1">
      <c r="A1286" s="26" t="str">
        <f>VLOOKUP(B1286,'2020 SRED (JIRA) - Issues and l'!$B:$C,2,FALSE)</f>
        <v>insite-workflow-SRED</v>
      </c>
      <c r="B1286" s="27" t="str">
        <f>IFERROR(__xludf.DUMMYFUNCTION("""COMPUTED_VALUE"""),"APPS-530")</f>
        <v>APPS-530</v>
      </c>
      <c r="C1286" s="26" t="str">
        <f>IFERROR(__xludf.DUMMYFUNCTION("""COMPUTED_VALUE"""),"If more participants entered than ‘max participants’ on product, show warning")</f>
        <v>If more participants entered than ‘max participants’ on product, show warning</v>
      </c>
      <c r="D1286" s="28">
        <f>IFERROR(__xludf.DUMMYFUNCTION("""COMPUTED_VALUE"""),7.0)</f>
        <v>7</v>
      </c>
      <c r="E1286" s="29">
        <f>IFERROR(__xludf.DUMMYFUNCTION("""COMPUTED_VALUE"""),44141.0)</f>
        <v>44141</v>
      </c>
      <c r="F1286" s="26" t="str">
        <f>IFERROR(__xludf.DUMMYFUNCTION("""COMPUTED_VALUE"""),"5ee7b6cf02b4400ac4b65399")</f>
        <v>5ee7b6cf02b4400ac4b65399</v>
      </c>
      <c r="G1286" s="26" t="str">
        <f>IFERROR(__xludf.DUMMYFUNCTION("""COMPUTED_VALUE"""),"Jessica Obando")</f>
        <v>Jessica Obando</v>
      </c>
      <c r="H1286" s="26" t="b">
        <v>0</v>
      </c>
    </row>
    <row r="1287" hidden="1">
      <c r="A1287" s="26" t="str">
        <f>VLOOKUP(B1287,'2020 SRED (JIRA) - Issues and l'!$B:$C,2,FALSE)</f>
        <v>portal-builder-SRED</v>
      </c>
      <c r="B1287" s="27" t="str">
        <f>IFERROR(__xludf.DUMMYFUNCTION("""COMPUTED_VALUE"""),"ITP-1877")</f>
        <v>ITP-1877</v>
      </c>
      <c r="C1287" s="26" t="str">
        <f>IFERROR(__xludf.DUMMYFUNCTION("""COMPUTED_VALUE"""),"TP builder makes pages with section titles longer than allowed character limit ")</f>
        <v>TP builder makes pages with section titles longer than allowed character limit </v>
      </c>
      <c r="D1287" s="28">
        <f>IFERROR(__xludf.DUMMYFUNCTION("""COMPUTED_VALUE"""),5.5)</f>
        <v>5.5</v>
      </c>
      <c r="E1287" s="29">
        <f>IFERROR(__xludf.DUMMYFUNCTION("""COMPUTED_VALUE"""),44141.29166666667)</f>
        <v>44141.29167</v>
      </c>
      <c r="F1287" s="26" t="str">
        <f>IFERROR(__xludf.DUMMYFUNCTION("""COMPUTED_VALUE"""),"5f5125a6333edb00434bffaf")</f>
        <v>5f5125a6333edb00434bffaf</v>
      </c>
      <c r="G1287" s="26" t="str">
        <f>IFERROR(__xludf.DUMMYFUNCTION("""COMPUTED_VALUE"""),"Terry Waldner")</f>
        <v>Terry Waldner</v>
      </c>
      <c r="H1287" s="26" t="b">
        <v>0</v>
      </c>
    </row>
    <row r="1288" hidden="1">
      <c r="A1288" s="26" t="str">
        <f>VLOOKUP(B1288,'2020 SRED (JIRA) - Issues and l'!$B:$C,2,FALSE)</f>
        <v>portal-builder-SRED</v>
      </c>
      <c r="B1288" s="27" t="str">
        <f>IFERROR(__xludf.DUMMYFUNCTION("""COMPUTED_VALUE"""),"ITP-1877")</f>
        <v>ITP-1877</v>
      </c>
      <c r="C1288" s="26" t="str">
        <f>IFERROR(__xludf.DUMMYFUNCTION("""COMPUTED_VALUE"""),"TP builder makes pages with section titles longer than allowed character limit ")</f>
        <v>TP builder makes pages with section titles longer than allowed character limit </v>
      </c>
      <c r="D1288" s="28">
        <f>IFERROR(__xludf.DUMMYFUNCTION("""COMPUTED_VALUE"""),1.0)</f>
        <v>1</v>
      </c>
      <c r="E1288" s="29">
        <f>IFERROR(__xludf.DUMMYFUNCTION("""COMPUTED_VALUE"""),44141.41666666667)</f>
        <v>44141.41667</v>
      </c>
      <c r="F1288" s="26" t="str">
        <f>IFERROR(__xludf.DUMMYFUNCTION("""COMPUTED_VALUE"""),"557058:3124a1f0-e92a-405c-93f2-c1d4e621bc77")</f>
        <v>557058:3124a1f0-e92a-405c-93f2-c1d4e621bc77</v>
      </c>
      <c r="G1288" s="26" t="str">
        <f>IFERROR(__xludf.DUMMYFUNCTION("""COMPUTED_VALUE"""),"Trevor Coehoorn")</f>
        <v>Trevor Coehoorn</v>
      </c>
      <c r="H1288" s="26" t="b">
        <v>0</v>
      </c>
    </row>
    <row r="1289" hidden="1">
      <c r="A1289" s="26" t="str">
        <f>VLOOKUP(B1289,'2020 SRED (JIRA) - Issues and l'!$B:$C,2,FALSE)</f>
        <v>portal-builder-SRED</v>
      </c>
      <c r="B1289" s="27" t="str">
        <f>IFERROR(__xludf.DUMMYFUNCTION("""COMPUTED_VALUE"""),"ITP-1874")</f>
        <v>ITP-1874</v>
      </c>
      <c r="C1289" s="26" t="str">
        <f>IFERROR(__xludf.DUMMYFUNCTION("""COMPUTED_VALUE"""),"Multiple webform submission group conditions")</f>
        <v>Multiple webform submission group conditions</v>
      </c>
      <c r="D1289" s="28">
        <f>IFERROR(__xludf.DUMMYFUNCTION("""COMPUTED_VALUE"""),0.25)</f>
        <v>0.25</v>
      </c>
      <c r="E1289" s="29">
        <f>IFERROR(__xludf.DUMMYFUNCTION("""COMPUTED_VALUE"""),44141.55208333333)</f>
        <v>44141.55208</v>
      </c>
      <c r="F1289" s="26" t="str">
        <f>IFERROR(__xludf.DUMMYFUNCTION("""COMPUTED_VALUE"""),"5f5125a6333edb00434bffaf")</f>
        <v>5f5125a6333edb00434bffaf</v>
      </c>
      <c r="G1289" s="26" t="str">
        <f>IFERROR(__xludf.DUMMYFUNCTION("""COMPUTED_VALUE"""),"Terry Waldner")</f>
        <v>Terry Waldner</v>
      </c>
      <c r="H1289" s="26" t="b">
        <v>0</v>
      </c>
    </row>
    <row r="1290" hidden="1">
      <c r="A1290" s="26" t="str">
        <f>VLOOKUP(B1290,'2020 SRED (JIRA) - Issues and l'!$B:$C,2,FALSE)</f>
        <v>portal-builder-SRED</v>
      </c>
      <c r="B1290" s="27" t="str">
        <f>IFERROR(__xludf.DUMMYFUNCTION("""COMPUTED_VALUE"""),"ITP-1877")</f>
        <v>ITP-1877</v>
      </c>
      <c r="C1290" s="26" t="str">
        <f>IFERROR(__xludf.DUMMYFUNCTION("""COMPUTED_VALUE"""),"TP builder makes pages with section titles longer than allowed character limit ")</f>
        <v>TP builder makes pages with section titles longer than allowed character limit </v>
      </c>
      <c r="D1290" s="28">
        <f>IFERROR(__xludf.DUMMYFUNCTION("""COMPUTED_VALUE"""),2.0)</f>
        <v>2</v>
      </c>
      <c r="E1290" s="29">
        <f>IFERROR(__xludf.DUMMYFUNCTION("""COMPUTED_VALUE"""),44141.5625)</f>
        <v>44141.5625</v>
      </c>
      <c r="F1290" s="26" t="str">
        <f>IFERROR(__xludf.DUMMYFUNCTION("""COMPUTED_VALUE"""),"5f5125a6333edb00434bffaf")</f>
        <v>5f5125a6333edb00434bffaf</v>
      </c>
      <c r="G1290" s="26" t="str">
        <f>IFERROR(__xludf.DUMMYFUNCTION("""COMPUTED_VALUE"""),"Terry Waldner")</f>
        <v>Terry Waldner</v>
      </c>
      <c r="H1290" s="26" t="b">
        <v>0</v>
      </c>
    </row>
    <row r="1291" hidden="1">
      <c r="A1291" s="26" t="str">
        <f>VLOOKUP(B1291,'2020 SRED (JIRA) - Issues and l'!$B:$C,2,FALSE)</f>
        <v>portal-builder-SRED</v>
      </c>
      <c r="B1291" s="27" t="str">
        <f>IFERROR(__xludf.DUMMYFUNCTION("""COMPUTED_VALUE"""),"ITP-1877")</f>
        <v>ITP-1877</v>
      </c>
      <c r="C1291" s="26" t="str">
        <f>IFERROR(__xludf.DUMMYFUNCTION("""COMPUTED_VALUE"""),"TP builder makes pages with section titles longer than allowed character limit ")</f>
        <v>TP builder makes pages with section titles longer than allowed character limit </v>
      </c>
      <c r="D1291" s="28">
        <f>IFERROR(__xludf.DUMMYFUNCTION("""COMPUTED_VALUE"""),3.75)</f>
        <v>3.75</v>
      </c>
      <c r="E1291" s="29">
        <f>IFERROR(__xludf.DUMMYFUNCTION("""COMPUTED_VALUE"""),44144.30208333333)</f>
        <v>44144.30208</v>
      </c>
      <c r="F1291" s="26" t="str">
        <f>IFERROR(__xludf.DUMMYFUNCTION("""COMPUTED_VALUE"""),"5f5125a6333edb00434bffaf")</f>
        <v>5f5125a6333edb00434bffaf</v>
      </c>
      <c r="G1291" s="26" t="str">
        <f>IFERROR(__xludf.DUMMYFUNCTION("""COMPUTED_VALUE"""),"Terry Waldner")</f>
        <v>Terry Waldner</v>
      </c>
      <c r="H1291" s="26" t="b">
        <v>0</v>
      </c>
    </row>
    <row r="1292">
      <c r="A1292" s="26" t="str">
        <f>VLOOKUP(B1292,'2020 SRED (JIRA) - Issues and l'!$B:$C,2,FALSE)</f>
        <v>insite-workflow-SRED</v>
      </c>
      <c r="B1292" s="27" t="str">
        <f>IFERROR(__xludf.DUMMYFUNCTION("""COMPUTED_VALUE"""),"APPS-388")</f>
        <v>APPS-388</v>
      </c>
      <c r="C1292" s="26" t="str">
        <f>IFERROR(__xludf.DUMMYFUNCTION("""COMPUTED_VALUE"""),"Cleanup tasks")</f>
        <v>Cleanup tasks</v>
      </c>
      <c r="D1292" s="28">
        <f>IFERROR(__xludf.DUMMYFUNCTION("""COMPUTED_VALUE"""),0.5)</f>
        <v>0.5</v>
      </c>
      <c r="E1292" s="29">
        <f>IFERROR(__xludf.DUMMYFUNCTION("""COMPUTED_VALUE"""),44144.33333333333)</f>
        <v>44144.33333</v>
      </c>
      <c r="F1292" s="26" t="str">
        <f>IFERROR(__xludf.DUMMYFUNCTION("""COMPUTED_VALUE"""),"557058:ed1ddc66-d84d-405c-a815-0fcc6147ba14")</f>
        <v>557058:ed1ddc66-d84d-405c-a815-0fcc6147ba14</v>
      </c>
      <c r="G1292" s="26" t="str">
        <f>IFERROR(__xludf.DUMMYFUNCTION("""COMPUTED_VALUE"""),"Mark Corrigan")</f>
        <v>Mark Corrigan</v>
      </c>
      <c r="H1292" s="26" t="b">
        <v>0</v>
      </c>
    </row>
    <row r="1293" hidden="1">
      <c r="A1293" s="26" t="str">
        <f>VLOOKUP(B1293,'2020 SRED (JIRA) - Issues and l'!$B:$C,2,FALSE)</f>
        <v>insite-workflow-SRED</v>
      </c>
      <c r="B1293" s="27" t="str">
        <f>IFERROR(__xludf.DUMMYFUNCTION("""COMPUTED_VALUE"""),"APPS-533")</f>
        <v>APPS-533</v>
      </c>
      <c r="C1293" s="26" t="str">
        <f>IFERROR(__xludf.DUMMYFUNCTION("""COMPUTED_VALUE"""),"Migrate 50 real records from ""Bryan's copy"" to AppSheet for testing")</f>
        <v>Migrate 50 real records from "Bryan's copy" to AppSheet for testing</v>
      </c>
      <c r="D1293" s="28">
        <f>IFERROR(__xludf.DUMMYFUNCTION("""COMPUTED_VALUE"""),4.0)</f>
        <v>4</v>
      </c>
      <c r="E1293" s="29">
        <f>IFERROR(__xludf.DUMMYFUNCTION("""COMPUTED_VALUE"""),44144.33333333333)</f>
        <v>44144.33333</v>
      </c>
      <c r="F1293" s="26" t="str">
        <f>IFERROR(__xludf.DUMMYFUNCTION("""COMPUTED_VALUE"""),"5ee7b6ce868ce30ac49e2521")</f>
        <v>5ee7b6ce868ce30ac49e2521</v>
      </c>
      <c r="G1293" s="26" t="str">
        <f>IFERROR(__xludf.DUMMYFUNCTION("""COMPUTED_VALUE"""),"Bryan Le")</f>
        <v>Bryan Le</v>
      </c>
      <c r="H1293" s="26" t="b">
        <v>0</v>
      </c>
    </row>
    <row r="1294" hidden="1">
      <c r="A1294" s="26" t="str">
        <f>VLOOKUP(B1294,'2020 SRED (JIRA) - Issues and l'!$B:$C,2,FALSE)</f>
        <v>insite-workflow-SRED</v>
      </c>
      <c r="B1294" s="27" t="str">
        <f>IFERROR(__xludf.DUMMYFUNCTION("""COMPUTED_VALUE"""),"APPS-531")</f>
        <v>APPS-531</v>
      </c>
      <c r="C1294" s="26" t="str">
        <f>IFERROR(__xludf.DUMMYFUNCTION("""COMPUTED_VALUE"""),"Warning for events scheduled on weekends and holidays")</f>
        <v>Warning for events scheduled on weekends and holidays</v>
      </c>
      <c r="D1294" s="28">
        <f>IFERROR(__xludf.DUMMYFUNCTION("""COMPUTED_VALUE"""),8.0)</f>
        <v>8</v>
      </c>
      <c r="E1294" s="29">
        <f>IFERROR(__xludf.DUMMYFUNCTION("""COMPUTED_VALUE"""),44144.33333333333)</f>
        <v>44144.33333</v>
      </c>
      <c r="F1294" s="26" t="str">
        <f>IFERROR(__xludf.DUMMYFUNCTION("""COMPUTED_VALUE"""),"5ee7b6cf02b4400ac4b65399")</f>
        <v>5ee7b6cf02b4400ac4b65399</v>
      </c>
      <c r="G1294" s="26" t="str">
        <f>IFERROR(__xludf.DUMMYFUNCTION("""COMPUTED_VALUE"""),"Jessica Obando")</f>
        <v>Jessica Obando</v>
      </c>
      <c r="H1294" s="26" t="b">
        <v>0</v>
      </c>
    </row>
    <row r="1295" hidden="1">
      <c r="A1295" s="26" t="str">
        <f>VLOOKUP(B1295,'2020 SRED (JIRA) - Issues and l'!$B:$C,2,FALSE)</f>
        <v>insite-workflow-SRED</v>
      </c>
      <c r="B1295" s="27" t="str">
        <f>IFERROR(__xludf.DUMMYFUNCTION("""COMPUTED_VALUE"""),"APPS-522")</f>
        <v>APPS-522</v>
      </c>
      <c r="C1295" s="26" t="str">
        <f>IFERROR(__xludf.DUMMYFUNCTION("""COMPUTED_VALUE"""),"Go through process of importing new advisors pre-touchpoint and updating word counts post-touchpoint")</f>
        <v>Go through process of importing new advisors pre-touchpoint and updating word counts post-touchpoint</v>
      </c>
      <c r="D1295" s="28">
        <f>IFERROR(__xludf.DUMMYFUNCTION("""COMPUTED_VALUE"""),1.0)</f>
        <v>1</v>
      </c>
      <c r="E1295" s="29">
        <f>IFERROR(__xludf.DUMMYFUNCTION("""COMPUTED_VALUE"""),44144.5)</f>
        <v>44144.5</v>
      </c>
      <c r="F1295" s="26" t="str">
        <f>IFERROR(__xludf.DUMMYFUNCTION("""COMPUTED_VALUE"""),"5ee7b6ce868ce30ac49e2521")</f>
        <v>5ee7b6ce868ce30ac49e2521</v>
      </c>
      <c r="G1295" s="26" t="str">
        <f>IFERROR(__xludf.DUMMYFUNCTION("""COMPUTED_VALUE"""),"Bryan Le")</f>
        <v>Bryan Le</v>
      </c>
      <c r="H1295" s="26" t="b">
        <v>0</v>
      </c>
    </row>
    <row r="1296" hidden="1">
      <c r="A1296" s="26" t="str">
        <f>VLOOKUP(B1296,'2020 SRED (JIRA) - Issues and l'!$B:$C,2,FALSE)</f>
        <v>portal-builder-SRED</v>
      </c>
      <c r="B1296" s="27" t="str">
        <f>IFERROR(__xludf.DUMMYFUNCTION("""COMPUTED_VALUE"""),"ITP-1877")</f>
        <v>ITP-1877</v>
      </c>
      <c r="C1296" s="26" t="str">
        <f>IFERROR(__xludf.DUMMYFUNCTION("""COMPUTED_VALUE"""),"TP builder makes pages with section titles longer than allowed character limit ")</f>
        <v>TP builder makes pages with section titles longer than allowed character limit </v>
      </c>
      <c r="D1296" s="28">
        <f>IFERROR(__xludf.DUMMYFUNCTION("""COMPUTED_VALUE"""),0.25)</f>
        <v>0.25</v>
      </c>
      <c r="E1296" s="29">
        <f>IFERROR(__xludf.DUMMYFUNCTION("""COMPUTED_VALUE"""),44144.5)</f>
        <v>44144.5</v>
      </c>
      <c r="F1296" s="26" t="str">
        <f>IFERROR(__xludf.DUMMYFUNCTION("""COMPUTED_VALUE"""),"5f5125a6333edb00434bffaf")</f>
        <v>5f5125a6333edb00434bffaf</v>
      </c>
      <c r="G1296" s="26" t="str">
        <f>IFERROR(__xludf.DUMMYFUNCTION("""COMPUTED_VALUE"""),"Terry Waldner")</f>
        <v>Terry Waldner</v>
      </c>
      <c r="H1296" s="26" t="b">
        <v>0</v>
      </c>
    </row>
    <row r="1297">
      <c r="A1297" s="26" t="str">
        <f>VLOOKUP(B1297,'2020 SRED (JIRA) - Issues and l'!$B:$C,2,FALSE)</f>
        <v>insite-workflow-SRED</v>
      </c>
      <c r="B1297" s="27" t="str">
        <f>IFERROR(__xludf.DUMMYFUNCTION("""COMPUTED_VALUE"""),"APPS-522")</f>
        <v>APPS-522</v>
      </c>
      <c r="C1297" s="26" t="str">
        <f>IFERROR(__xludf.DUMMYFUNCTION("""COMPUTED_VALUE"""),"Go through process of importing new advisors pre-touchpoint and updating word counts post-touchpoint")</f>
        <v>Go through process of importing new advisors pre-touchpoint and updating word counts post-touchpoint</v>
      </c>
      <c r="D1297" s="28">
        <f>IFERROR(__xludf.DUMMYFUNCTION("""COMPUTED_VALUE"""),0.5)</f>
        <v>0.5</v>
      </c>
      <c r="E1297" s="29">
        <f>IFERROR(__xludf.DUMMYFUNCTION("""COMPUTED_VALUE"""),44144.51041666667)</f>
        <v>44144.51042</v>
      </c>
      <c r="F1297" s="26" t="str">
        <f>IFERROR(__xludf.DUMMYFUNCTION("""COMPUTED_VALUE"""),"557058:ed1ddc66-d84d-405c-a815-0fcc6147ba14")</f>
        <v>557058:ed1ddc66-d84d-405c-a815-0fcc6147ba14</v>
      </c>
      <c r="G1297" s="26" t="str">
        <f>IFERROR(__xludf.DUMMYFUNCTION("""COMPUTED_VALUE"""),"Mark Corrigan")</f>
        <v>Mark Corrigan</v>
      </c>
      <c r="H1297" s="26" t="b">
        <v>0</v>
      </c>
    </row>
    <row r="1298">
      <c r="A1298" s="26" t="str">
        <f>VLOOKUP(B1298,'2020 SRED (JIRA) - Issues and l'!$B:$C,2,FALSE)</f>
        <v>insite-workflow-SRED</v>
      </c>
      <c r="B1298" s="27" t="str">
        <f>IFERROR(__xludf.DUMMYFUNCTION("""COMPUTED_VALUE"""),"APPS-529")</f>
        <v>APPS-529</v>
      </c>
      <c r="C1298" s="26" t="str">
        <f>IFERROR(__xludf.DUMMYFUNCTION("""COMPUTED_VALUE"""),"If salesperson enters duration longer than product’s default duration, show warning")</f>
        <v>If salesperson enters duration longer than product’s default duration, show warning</v>
      </c>
      <c r="D1298" s="28">
        <f>IFERROR(__xludf.DUMMYFUNCTION("""COMPUTED_VALUE"""),0.25)</f>
        <v>0.25</v>
      </c>
      <c r="E1298" s="29">
        <f>IFERROR(__xludf.DUMMYFUNCTION("""COMPUTED_VALUE"""),44144.53125)</f>
        <v>44144.53125</v>
      </c>
      <c r="F1298" s="26" t="str">
        <f>IFERROR(__xludf.DUMMYFUNCTION("""COMPUTED_VALUE"""),"557058:ed1ddc66-d84d-405c-a815-0fcc6147ba14")</f>
        <v>557058:ed1ddc66-d84d-405c-a815-0fcc6147ba14</v>
      </c>
      <c r="G1298" s="26" t="str">
        <f>IFERROR(__xludf.DUMMYFUNCTION("""COMPUTED_VALUE"""),"Mark Corrigan")</f>
        <v>Mark Corrigan</v>
      </c>
      <c r="H1298" s="26" t="b">
        <v>0</v>
      </c>
    </row>
    <row r="1299" hidden="1">
      <c r="A1299" s="26" t="str">
        <f>VLOOKUP(B1299,'2020 SRED (JIRA) - Issues and l'!$B:$C,2,FALSE)</f>
        <v>insite-workflow-SRED</v>
      </c>
      <c r="B1299" s="27" t="str">
        <f>IFERROR(__xludf.DUMMYFUNCTION("""COMPUTED_VALUE"""),"APPS-527")</f>
        <v>APPS-527</v>
      </c>
      <c r="C1299" s="26" t="str">
        <f>IFERROR(__xludf.DUMMYFUNCTION("""COMPUTED_VALUE"""),"Create AppSheet database for participant data")</f>
        <v>Create AppSheet database for participant data</v>
      </c>
      <c r="D1299" s="28">
        <f>IFERROR(__xludf.DUMMYFUNCTION("""COMPUTED_VALUE"""),2.0)</f>
        <v>2</v>
      </c>
      <c r="E1299" s="29">
        <f>IFERROR(__xludf.DUMMYFUNCTION("""COMPUTED_VALUE"""),44144.54166666667)</f>
        <v>44144.54167</v>
      </c>
      <c r="F1299" s="26" t="str">
        <f>IFERROR(__xludf.DUMMYFUNCTION("""COMPUTED_VALUE"""),"5ee7b6ce868ce30ac49e2521")</f>
        <v>5ee7b6ce868ce30ac49e2521</v>
      </c>
      <c r="G1299" s="26" t="str">
        <f>IFERROR(__xludf.DUMMYFUNCTION("""COMPUTED_VALUE"""),"Bryan Le")</f>
        <v>Bryan Le</v>
      </c>
      <c r="H1299" s="26" t="b">
        <v>0</v>
      </c>
    </row>
    <row r="1300">
      <c r="A1300" s="26" t="str">
        <f>VLOOKUP(B1300,'2020 SRED (JIRA) - Issues and l'!$B:$C,2,FALSE)</f>
        <v>insite-workflow-SRED</v>
      </c>
      <c r="B1300" s="27" t="str">
        <f>IFERROR(__xludf.DUMMYFUNCTION("""COMPUTED_VALUE"""),"APPS-531")</f>
        <v>APPS-531</v>
      </c>
      <c r="C1300" s="26" t="str">
        <f>IFERROR(__xludf.DUMMYFUNCTION("""COMPUTED_VALUE"""),"Warning for events scheduled on weekends and holidays")</f>
        <v>Warning for events scheduled on weekends and holidays</v>
      </c>
      <c r="D1300" s="28">
        <f>IFERROR(__xludf.DUMMYFUNCTION("""COMPUTED_VALUE"""),0.25)</f>
        <v>0.25</v>
      </c>
      <c r="E1300" s="29">
        <f>IFERROR(__xludf.DUMMYFUNCTION("""COMPUTED_VALUE"""),44144.5625)</f>
        <v>44144.5625</v>
      </c>
      <c r="F1300" s="26" t="str">
        <f>IFERROR(__xludf.DUMMYFUNCTION("""COMPUTED_VALUE"""),"557058:ed1ddc66-d84d-405c-a815-0fcc6147ba14")</f>
        <v>557058:ed1ddc66-d84d-405c-a815-0fcc6147ba14</v>
      </c>
      <c r="G1300" s="26" t="str">
        <f>IFERROR(__xludf.DUMMYFUNCTION("""COMPUTED_VALUE"""),"Mark Corrigan")</f>
        <v>Mark Corrigan</v>
      </c>
      <c r="H1300" s="26" t="b">
        <v>0</v>
      </c>
    </row>
    <row r="1301">
      <c r="A1301" s="26" t="str">
        <f>VLOOKUP(B1301,'2020 SRED (JIRA) - Issues and l'!$B:$C,2,FALSE)</f>
        <v>insite-workflow-SRED</v>
      </c>
      <c r="B1301" s="27" t="str">
        <f>IFERROR(__xludf.DUMMYFUNCTION("""COMPUTED_VALUE"""),"APPS-508")</f>
        <v>APPS-508</v>
      </c>
      <c r="C1301" s="26" t="str">
        <f>IFERROR(__xludf.DUMMYFUNCTION("""COMPUTED_VALUE"""),"Calculating additional fees for duration and participants")</f>
        <v>Calculating additional fees for duration and participants</v>
      </c>
      <c r="D1301" s="28">
        <f>IFERROR(__xludf.DUMMYFUNCTION("""COMPUTED_VALUE"""),0.25)</f>
        <v>0.25</v>
      </c>
      <c r="E1301" s="29">
        <f>IFERROR(__xludf.DUMMYFUNCTION("""COMPUTED_VALUE"""),44144.58333333333)</f>
        <v>44144.58333</v>
      </c>
      <c r="F1301" s="26" t="str">
        <f>IFERROR(__xludf.DUMMYFUNCTION("""COMPUTED_VALUE"""),"557058:ed1ddc66-d84d-405c-a815-0fcc6147ba14")</f>
        <v>557058:ed1ddc66-d84d-405c-a815-0fcc6147ba14</v>
      </c>
      <c r="G1301" s="26" t="str">
        <f>IFERROR(__xludf.DUMMYFUNCTION("""COMPUTED_VALUE"""),"Mark Corrigan")</f>
        <v>Mark Corrigan</v>
      </c>
      <c r="H1301" s="26" t="b">
        <v>0</v>
      </c>
    </row>
    <row r="1302">
      <c r="A1302" s="26" t="str">
        <f>VLOOKUP(B1302,'2020 SRED (JIRA) - Issues and l'!$B:$C,2,FALSE)</f>
        <v>insite-workflow-SRED</v>
      </c>
      <c r="B1302" s="27" t="str">
        <f>IFERROR(__xludf.DUMMYFUNCTION("""COMPUTED_VALUE"""),"APPS-448")</f>
        <v>APPS-448</v>
      </c>
      <c r="C1302" s="26" t="str">
        <f>IFERROR(__xludf.DUMMYFUNCTION("""COMPUTED_VALUE"""),"Project totals and org discount table")</f>
        <v>Project totals and org discount table</v>
      </c>
      <c r="D1302" s="28">
        <f>IFERROR(__xludf.DUMMYFUNCTION("""COMPUTED_VALUE"""),0.5)</f>
        <v>0.5</v>
      </c>
      <c r="E1302" s="29">
        <f>IFERROR(__xludf.DUMMYFUNCTION("""COMPUTED_VALUE"""),44144.59375)</f>
        <v>44144.59375</v>
      </c>
      <c r="F1302" s="26" t="str">
        <f>IFERROR(__xludf.DUMMYFUNCTION("""COMPUTED_VALUE"""),"557058:ed1ddc66-d84d-405c-a815-0fcc6147ba14")</f>
        <v>557058:ed1ddc66-d84d-405c-a815-0fcc6147ba14</v>
      </c>
      <c r="G1302" s="26" t="str">
        <f>IFERROR(__xludf.DUMMYFUNCTION("""COMPUTED_VALUE"""),"Mark Corrigan")</f>
        <v>Mark Corrigan</v>
      </c>
      <c r="H1302" s="26" t="b">
        <v>0</v>
      </c>
    </row>
    <row r="1303" hidden="1">
      <c r="A1303" s="26" t="str">
        <f>VLOOKUP(B1303,'2020 SRED (JIRA) - Issues and l'!$B:$C,2,FALSE)</f>
        <v>insite-workflow-SRED</v>
      </c>
      <c r="B1303" s="27" t="str">
        <f>IFERROR(__xludf.DUMMYFUNCTION("""COMPUTED_VALUE"""),"APPS-10")</f>
        <v>APPS-10</v>
      </c>
      <c r="C1303" s="26" t="str">
        <f>IFERROR(__xludf.DUMMYFUNCTION("""COMPUTED_VALUE"""),"Sales Pipeline app (v1)")</f>
        <v>Sales Pipeline app (v1)</v>
      </c>
      <c r="D1303" s="28">
        <f>IFERROR(__xludf.DUMMYFUNCTION("""COMPUTED_VALUE"""),2.0)</f>
        <v>2</v>
      </c>
      <c r="E1303" s="29">
        <f>IFERROR(__xludf.DUMMYFUNCTION("""COMPUTED_VALUE"""),44145.33333333333)</f>
        <v>44145.33333</v>
      </c>
      <c r="F1303" s="26" t="str">
        <f>IFERROR(__xludf.DUMMYFUNCTION("""COMPUTED_VALUE"""),"5ee7b6ce868ce30ac49e2521")</f>
        <v>5ee7b6ce868ce30ac49e2521</v>
      </c>
      <c r="G1303" s="26" t="str">
        <f>IFERROR(__xludf.DUMMYFUNCTION("""COMPUTED_VALUE"""),"Bryan Le")</f>
        <v>Bryan Le</v>
      </c>
      <c r="H1303" s="26" t="b">
        <v>0</v>
      </c>
    </row>
    <row r="1304" hidden="1">
      <c r="A1304" s="26" t="str">
        <f>VLOOKUP(B1304,'2020 SRED (JIRA) - Issues and l'!$B:$C,2,FALSE)</f>
        <v>insite-workflow-SRED</v>
      </c>
      <c r="B1304" s="27" t="str">
        <f>IFERROR(__xludf.DUMMYFUNCTION("""COMPUTED_VALUE"""),"APPS-526")</f>
        <v>APPS-526</v>
      </c>
      <c r="C1304" s="26" t="str">
        <f>IFERROR(__xludf.DUMMYFUNCTION("""COMPUTED_VALUE"""),"Error with new custom requirements and add-ons/reductions not being added to cost fields in details view")</f>
        <v>Error with new custom requirements and add-ons/reductions not being added to cost fields in details view</v>
      </c>
      <c r="D1304" s="28">
        <f>IFERROR(__xludf.DUMMYFUNCTION("""COMPUTED_VALUE"""),8.0)</f>
        <v>8</v>
      </c>
      <c r="E1304" s="29">
        <f>IFERROR(__xludf.DUMMYFUNCTION("""COMPUTED_VALUE"""),44145.33333333333)</f>
        <v>44145.33333</v>
      </c>
      <c r="F1304" s="26" t="str">
        <f>IFERROR(__xludf.DUMMYFUNCTION("""COMPUTED_VALUE"""),"5ee7b6cf02b4400ac4b65399")</f>
        <v>5ee7b6cf02b4400ac4b65399</v>
      </c>
      <c r="G1304" s="26" t="str">
        <f>IFERROR(__xludf.DUMMYFUNCTION("""COMPUTED_VALUE"""),"Jessica Obando")</f>
        <v>Jessica Obando</v>
      </c>
      <c r="H1304" s="26" t="b">
        <v>0</v>
      </c>
    </row>
    <row r="1305">
      <c r="A1305" s="26" t="str">
        <f>VLOOKUP(B1305,'2020 SRED (JIRA) - Issues and l'!$B:$C,2,FALSE)</f>
        <v>insite-event-SRED</v>
      </c>
      <c r="B1305" s="27" t="str">
        <f>IFERROR(__xludf.DUMMYFUNCTION("""COMPUTED_VALUE"""),"ZAPI-82")</f>
        <v>ZAPI-82</v>
      </c>
      <c r="C1305" s="26" t="str">
        <f>IFERROR(__xludf.DUMMYFUNCTION("""COMPUTED_VALUE"""),"Stress test recording transfer (long meetings could get up to ~5 GB)")</f>
        <v>Stress test recording transfer (long meetings could get up to ~5 GB)</v>
      </c>
      <c r="D1305" s="28">
        <f>IFERROR(__xludf.DUMMYFUNCTION("""COMPUTED_VALUE"""),0.25)</f>
        <v>0.25</v>
      </c>
      <c r="E1305" s="29">
        <f>IFERROR(__xludf.DUMMYFUNCTION("""COMPUTED_VALUE"""),44145.375)</f>
        <v>44145.375</v>
      </c>
      <c r="F1305" s="26" t="str">
        <f>IFERROR(__xludf.DUMMYFUNCTION("""COMPUTED_VALUE"""),"557058:ed1ddc66-d84d-405c-a815-0fcc6147ba14")</f>
        <v>557058:ed1ddc66-d84d-405c-a815-0fcc6147ba14</v>
      </c>
      <c r="G1305" s="26" t="str">
        <f>IFERROR(__xludf.DUMMYFUNCTION("""COMPUTED_VALUE"""),"Mark Corrigan")</f>
        <v>Mark Corrigan</v>
      </c>
      <c r="H1305" s="26" t="b">
        <v>0</v>
      </c>
    </row>
    <row r="1306" hidden="1">
      <c r="A1306" s="26" t="str">
        <f>VLOOKUP(B1306,'2020 SRED (JIRA) - Issues and l'!$B:$C,2,FALSE)</f>
        <v>portal-builder-SRED</v>
      </c>
      <c r="B1306" s="27" t="str">
        <f>IFERROR(__xludf.DUMMYFUNCTION("""COMPUTED_VALUE"""),"ITP-1874")</f>
        <v>ITP-1874</v>
      </c>
      <c r="C1306" s="26" t="str">
        <f>IFERROR(__xludf.DUMMYFUNCTION("""COMPUTED_VALUE"""),"Multiple webform submission group conditions")</f>
        <v>Multiple webform submission group conditions</v>
      </c>
      <c r="D1306" s="28">
        <f>IFERROR(__xludf.DUMMYFUNCTION("""COMPUTED_VALUE"""),0.5)</f>
        <v>0.5</v>
      </c>
      <c r="E1306" s="29">
        <f>IFERROR(__xludf.DUMMYFUNCTION("""COMPUTED_VALUE"""),44145.38541666667)</f>
        <v>44145.38542</v>
      </c>
      <c r="F1306" s="26" t="str">
        <f>IFERROR(__xludf.DUMMYFUNCTION("""COMPUTED_VALUE"""),"557058:3124a1f0-e92a-405c-93f2-c1d4e621bc77")</f>
        <v>557058:3124a1f0-e92a-405c-93f2-c1d4e621bc77</v>
      </c>
      <c r="G1306" s="26" t="str">
        <f>IFERROR(__xludf.DUMMYFUNCTION("""COMPUTED_VALUE"""),"Trevor Coehoorn")</f>
        <v>Trevor Coehoorn</v>
      </c>
      <c r="H1306" s="26" t="b">
        <v>0</v>
      </c>
    </row>
    <row r="1307">
      <c r="A1307" s="26" t="str">
        <f>VLOOKUP(B1307,'2020 SRED (JIRA) - Issues and l'!$B:$C,2,FALSE)</f>
        <v>insite-workflow-SRED</v>
      </c>
      <c r="B1307" s="27" t="str">
        <f>IFERROR(__xludf.DUMMYFUNCTION("""COMPUTED_VALUE"""),"APPS-10")</f>
        <v>APPS-10</v>
      </c>
      <c r="C1307" s="26" t="str">
        <f>IFERROR(__xludf.DUMMYFUNCTION("""COMPUTED_VALUE"""),"Sales Pipeline app (v1)")</f>
        <v>Sales Pipeline app (v1)</v>
      </c>
      <c r="D1307" s="28">
        <f>IFERROR(__xludf.DUMMYFUNCTION("""COMPUTED_VALUE"""),4.0)</f>
        <v>4</v>
      </c>
      <c r="E1307" s="29">
        <f>IFERROR(__xludf.DUMMYFUNCTION("""COMPUTED_VALUE"""),44145.38541666667)</f>
        <v>44145.38542</v>
      </c>
      <c r="F1307" s="26" t="str">
        <f>IFERROR(__xludf.DUMMYFUNCTION("""COMPUTED_VALUE"""),"557058:ed1ddc66-d84d-405c-a815-0fcc6147ba14")</f>
        <v>557058:ed1ddc66-d84d-405c-a815-0fcc6147ba14</v>
      </c>
      <c r="G1307" s="26" t="str">
        <f>IFERROR(__xludf.DUMMYFUNCTION("""COMPUTED_VALUE"""),"Mark Corrigan")</f>
        <v>Mark Corrigan</v>
      </c>
      <c r="H1307" s="26" t="b">
        <v>0</v>
      </c>
    </row>
    <row r="1308" hidden="1">
      <c r="A1308" s="26" t="str">
        <f>VLOOKUP(B1308,'2020 SRED (JIRA) - Issues and l'!$B:$C,2,FALSE)</f>
        <v>insite-workflow-SRED</v>
      </c>
      <c r="B1308" s="27" t="str">
        <f>IFERROR(__xludf.DUMMYFUNCTION("""COMPUTED_VALUE"""),"APPS-532")</f>
        <v>APPS-532</v>
      </c>
      <c r="C1308" s="26" t="str">
        <f>IFERROR(__xludf.DUMMYFUNCTION("""COMPUTED_VALUE"""),"Add CSV export option from ""Participants"" view")</f>
        <v>Add CSV export option from "Participants" view</v>
      </c>
      <c r="D1308" s="28">
        <f>IFERROR(__xludf.DUMMYFUNCTION("""COMPUTED_VALUE"""),0.5)</f>
        <v>0.5</v>
      </c>
      <c r="E1308" s="29">
        <f>IFERROR(__xludf.DUMMYFUNCTION("""COMPUTED_VALUE"""),44145.41666666667)</f>
        <v>44145.41667</v>
      </c>
      <c r="F1308" s="26" t="str">
        <f>IFERROR(__xludf.DUMMYFUNCTION("""COMPUTED_VALUE"""),"5ee7b6ce868ce30ac49e2521")</f>
        <v>5ee7b6ce868ce30ac49e2521</v>
      </c>
      <c r="G1308" s="26" t="str">
        <f>IFERROR(__xludf.DUMMYFUNCTION("""COMPUTED_VALUE"""),"Bryan Le")</f>
        <v>Bryan Le</v>
      </c>
      <c r="H1308" s="26" t="b">
        <v>0</v>
      </c>
    </row>
    <row r="1309" hidden="1">
      <c r="A1309" s="26" t="str">
        <f>VLOOKUP(B1309,'2020 SRED (JIRA) - Issues and l'!$B:$C,2,FALSE)</f>
        <v>insite-workflow-SRED</v>
      </c>
      <c r="B1309" s="27" t="str">
        <f>IFERROR(__xludf.DUMMYFUNCTION("""COMPUTED_VALUE"""),"APPS-536")</f>
        <v>APPS-536</v>
      </c>
      <c r="C1309" s="26" t="str">
        <f>IFERROR(__xludf.DUMMYFUNCTION("""COMPUTED_VALUE"""),"As a salesperson, I can initiate key Sales Pipeline actions from Gmail")</f>
        <v>As a salesperson, I can initiate key Sales Pipeline actions from Gmail</v>
      </c>
      <c r="D1309" s="28">
        <f>IFERROR(__xludf.DUMMYFUNCTION("""COMPUTED_VALUE"""),4.5)</f>
        <v>4.5</v>
      </c>
      <c r="E1309" s="29">
        <f>IFERROR(__xludf.DUMMYFUNCTION("""COMPUTED_VALUE"""),44145.4375)</f>
        <v>44145.4375</v>
      </c>
      <c r="F1309" s="26" t="str">
        <f>IFERROR(__xludf.DUMMYFUNCTION("""COMPUTED_VALUE"""),"5ee7b6ce868ce30ac49e2521")</f>
        <v>5ee7b6ce868ce30ac49e2521</v>
      </c>
      <c r="G1309" s="26" t="str">
        <f>IFERROR(__xludf.DUMMYFUNCTION("""COMPUTED_VALUE"""),"Bryan Le")</f>
        <v>Bryan Le</v>
      </c>
      <c r="H1309" s="26" t="b">
        <v>0</v>
      </c>
    </row>
    <row r="1310">
      <c r="A1310" s="26" t="str">
        <f>VLOOKUP(B1310,'2020 SRED (JIRA) - Issues and l'!$B:$C,2,FALSE)</f>
        <v>insite-workflow-SRED</v>
      </c>
      <c r="B1310" s="27" t="str">
        <f>IFERROR(__xludf.DUMMYFUNCTION("""COMPUTED_VALUE"""),"APPS-536")</f>
        <v>APPS-536</v>
      </c>
      <c r="C1310" s="26" t="str">
        <f>IFERROR(__xludf.DUMMYFUNCTION("""COMPUTED_VALUE"""),"As a salesperson, I can initiate key Sales Pipeline actions from Gmail")</f>
        <v>As a salesperson, I can initiate key Sales Pipeline actions from Gmail</v>
      </c>
      <c r="D1310" s="28">
        <f>IFERROR(__xludf.DUMMYFUNCTION("""COMPUTED_VALUE"""),0.5)</f>
        <v>0.5</v>
      </c>
      <c r="E1310" s="29">
        <f>IFERROR(__xludf.DUMMYFUNCTION("""COMPUTED_VALUE"""),44145.55208333333)</f>
        <v>44145.55208</v>
      </c>
      <c r="F1310" s="26" t="str">
        <f>IFERROR(__xludf.DUMMYFUNCTION("""COMPUTED_VALUE"""),"557058:ed1ddc66-d84d-405c-a815-0fcc6147ba14")</f>
        <v>557058:ed1ddc66-d84d-405c-a815-0fcc6147ba14</v>
      </c>
      <c r="G1310" s="26" t="str">
        <f>IFERROR(__xludf.DUMMYFUNCTION("""COMPUTED_VALUE"""),"Mark Corrigan")</f>
        <v>Mark Corrigan</v>
      </c>
      <c r="H1310" s="26" t="b">
        <v>0</v>
      </c>
    </row>
    <row r="1311">
      <c r="A1311" s="26" t="str">
        <f>VLOOKUP(B1311,'2020 SRED (JIRA) - Issues and l'!$B:$C,2,FALSE)</f>
        <v>insite-workflow-SRED</v>
      </c>
      <c r="B1311" s="27" t="str">
        <f>IFERROR(__xludf.DUMMYFUNCTION("""COMPUTED_VALUE"""),"APPS-505")</f>
        <v>APPS-505</v>
      </c>
      <c r="C1311" s="26" t="str">
        <f>IFERROR(__xludf.DUMMYFUNCTION("""COMPUTED_VALUE"""),"As a salesperson, I can specify portal hosting duration for each proposal")</f>
        <v>As a salesperson, I can specify portal hosting duration for each proposal</v>
      </c>
      <c r="D1311" s="28">
        <f>IFERROR(__xludf.DUMMYFUNCTION("""COMPUTED_VALUE"""),0.75)</f>
        <v>0.75</v>
      </c>
      <c r="E1311" s="29">
        <f>IFERROR(__xludf.DUMMYFUNCTION("""COMPUTED_VALUE"""),44145.60416666667)</f>
        <v>44145.60417</v>
      </c>
      <c r="F1311" s="26" t="str">
        <f>IFERROR(__xludf.DUMMYFUNCTION("""COMPUTED_VALUE"""),"557058:ed1ddc66-d84d-405c-a815-0fcc6147ba14")</f>
        <v>557058:ed1ddc66-d84d-405c-a815-0fcc6147ba14</v>
      </c>
      <c r="G1311" s="26" t="str">
        <f>IFERROR(__xludf.DUMMYFUNCTION("""COMPUTED_VALUE"""),"Mark Corrigan")</f>
        <v>Mark Corrigan</v>
      </c>
      <c r="H1311" s="26" t="b">
        <v>0</v>
      </c>
    </row>
    <row r="1312">
      <c r="A1312" s="26" t="str">
        <f>VLOOKUP(B1312,'2020 SRED (JIRA) - Issues and l'!$B:$C,2,FALSE)</f>
        <v>insite-workflow-SRED</v>
      </c>
      <c r="B1312" s="27" t="str">
        <f>IFERROR(__xludf.DUMMYFUNCTION("""COMPUTED_VALUE"""),"APPS-138")</f>
        <v>APPS-138</v>
      </c>
      <c r="C1312" s="26" t="str">
        <f>IFERROR(__xludf.DUMMYFUNCTION("""COMPUTED_VALUE"""),"As a salesperson, I can add an overall discount % to a proposal")</f>
        <v>As a salesperson, I can add an overall discount % to a proposal</v>
      </c>
      <c r="D1312" s="28">
        <f>IFERROR(__xludf.DUMMYFUNCTION("""COMPUTED_VALUE"""),0.25)</f>
        <v>0.25</v>
      </c>
      <c r="E1312" s="29">
        <f>IFERROR(__xludf.DUMMYFUNCTION("""COMPUTED_VALUE"""),44145.63541666667)</f>
        <v>44145.63542</v>
      </c>
      <c r="F1312" s="26" t="str">
        <f>IFERROR(__xludf.DUMMYFUNCTION("""COMPUTED_VALUE"""),"557058:ed1ddc66-d84d-405c-a815-0fcc6147ba14")</f>
        <v>557058:ed1ddc66-d84d-405c-a815-0fcc6147ba14</v>
      </c>
      <c r="G1312" s="26" t="str">
        <f>IFERROR(__xludf.DUMMYFUNCTION("""COMPUTED_VALUE"""),"Mark Corrigan")</f>
        <v>Mark Corrigan</v>
      </c>
      <c r="H1312" s="26" t="b">
        <v>0</v>
      </c>
    </row>
    <row r="1313">
      <c r="A1313" s="26" t="str">
        <f>VLOOKUP(B1313,'2020 SRED (JIRA) - Issues and l'!$B:$C,2,FALSE)</f>
        <v>insite-workflow-SRED</v>
      </c>
      <c r="B1313" s="27" t="str">
        <f>IFERROR(__xludf.DUMMYFUNCTION("""COMPUTED_VALUE"""),"APPS-531")</f>
        <v>APPS-531</v>
      </c>
      <c r="C1313" s="26" t="str">
        <f>IFERROR(__xludf.DUMMYFUNCTION("""COMPUTED_VALUE"""),"Warning for events scheduled on weekends and holidays")</f>
        <v>Warning for events scheduled on weekends and holidays</v>
      </c>
      <c r="D1313" s="28">
        <f>IFERROR(__xludf.DUMMYFUNCTION("""COMPUTED_VALUE"""),0.25)</f>
        <v>0.25</v>
      </c>
      <c r="E1313" s="29">
        <f>IFERROR(__xludf.DUMMYFUNCTION("""COMPUTED_VALUE"""),44145.64583333333)</f>
        <v>44145.64583</v>
      </c>
      <c r="F1313" s="26" t="str">
        <f>IFERROR(__xludf.DUMMYFUNCTION("""COMPUTED_VALUE"""),"557058:ed1ddc66-d84d-405c-a815-0fcc6147ba14")</f>
        <v>557058:ed1ddc66-d84d-405c-a815-0fcc6147ba14</v>
      </c>
      <c r="G1313" s="26" t="str">
        <f>IFERROR(__xludf.DUMMYFUNCTION("""COMPUTED_VALUE"""),"Mark Corrigan")</f>
        <v>Mark Corrigan</v>
      </c>
      <c r="H1313" s="26" t="b">
        <v>0</v>
      </c>
    </row>
    <row r="1314">
      <c r="A1314" s="26" t="str">
        <f>VLOOKUP(B1314,'2020 SRED (JIRA) - Issues and l'!$B:$C,2,FALSE)</f>
        <v>insite-workflow-SRED</v>
      </c>
      <c r="B1314" s="27" t="str">
        <f>IFERROR(__xludf.DUMMYFUNCTION("""COMPUTED_VALUE"""),"APPS-526")</f>
        <v>APPS-526</v>
      </c>
      <c r="C1314" s="26" t="str">
        <f>IFERROR(__xludf.DUMMYFUNCTION("""COMPUTED_VALUE"""),"Error with new custom requirements and add-ons/reductions not being added to cost fields in details view")</f>
        <v>Error with new custom requirements and add-ons/reductions not being added to cost fields in details view</v>
      </c>
      <c r="D1314" s="28">
        <f>IFERROR(__xludf.DUMMYFUNCTION("""COMPUTED_VALUE"""),0.5)</f>
        <v>0.5</v>
      </c>
      <c r="E1314" s="29">
        <f>IFERROR(__xludf.DUMMYFUNCTION("""COMPUTED_VALUE"""),44145.65625)</f>
        <v>44145.65625</v>
      </c>
      <c r="F1314" s="26" t="str">
        <f>IFERROR(__xludf.DUMMYFUNCTION("""COMPUTED_VALUE"""),"557058:ed1ddc66-d84d-405c-a815-0fcc6147ba14")</f>
        <v>557058:ed1ddc66-d84d-405c-a815-0fcc6147ba14</v>
      </c>
      <c r="G1314" s="26" t="str">
        <f>IFERROR(__xludf.DUMMYFUNCTION("""COMPUTED_VALUE"""),"Mark Corrigan")</f>
        <v>Mark Corrigan</v>
      </c>
      <c r="H1314" s="26" t="b">
        <v>0</v>
      </c>
    </row>
    <row r="1315">
      <c r="A1315" s="26" t="str">
        <f>VLOOKUP(B1315,'2020 SRED (JIRA) - Issues and l'!$B:$C,2,FALSE)</f>
        <v>insite-workflow-SRED</v>
      </c>
      <c r="B1315" s="27" t="str">
        <f>IFERROR(__xludf.DUMMYFUNCTION("""COMPUTED_VALUE"""),"APPS-514")</f>
        <v>APPS-514</v>
      </c>
      <c r="C1315" s="26" t="str">
        <f>IFERROR(__xludf.DUMMYFUNCTION("""COMPUTED_VALUE"""),"Add table for portal hosting fees above touchpoint summary tables")</f>
        <v>Add table for portal hosting fees above touchpoint summary tables</v>
      </c>
      <c r="D1315" s="28">
        <f>IFERROR(__xludf.DUMMYFUNCTION("""COMPUTED_VALUE"""),0.25)</f>
        <v>0.25</v>
      </c>
      <c r="E1315" s="29">
        <f>IFERROR(__xludf.DUMMYFUNCTION("""COMPUTED_VALUE"""),44145.67708333333)</f>
        <v>44145.67708</v>
      </c>
      <c r="F1315" s="26" t="str">
        <f>IFERROR(__xludf.DUMMYFUNCTION("""COMPUTED_VALUE"""),"557058:ed1ddc66-d84d-405c-a815-0fcc6147ba14")</f>
        <v>557058:ed1ddc66-d84d-405c-a815-0fcc6147ba14</v>
      </c>
      <c r="G1315" s="26" t="str">
        <f>IFERROR(__xludf.DUMMYFUNCTION("""COMPUTED_VALUE"""),"Mark Corrigan")</f>
        <v>Mark Corrigan</v>
      </c>
      <c r="H1315" s="26" t="b">
        <v>0</v>
      </c>
    </row>
    <row r="1316" hidden="1">
      <c r="A1316" s="26" t="str">
        <f>VLOOKUP(B1316,'2020 SRED (JIRA) - Issues and l'!$B:$C,2,FALSE)</f>
        <v>portal-builder-SRED</v>
      </c>
      <c r="B1316" s="27" t="str">
        <f>IFERROR(__xludf.DUMMYFUNCTION("""COMPUTED_VALUE"""),"ITP-1877")</f>
        <v>ITP-1877</v>
      </c>
      <c r="C1316" s="26" t="str">
        <f>IFERROR(__xludf.DUMMYFUNCTION("""COMPUTED_VALUE"""),"TP builder makes pages with section titles longer than allowed character limit ")</f>
        <v>TP builder makes pages with section titles longer than allowed character limit </v>
      </c>
      <c r="D1316" s="28">
        <f>IFERROR(__xludf.DUMMYFUNCTION("""COMPUTED_VALUE"""),0.25)</f>
        <v>0.25</v>
      </c>
      <c r="E1316" s="29">
        <f>IFERROR(__xludf.DUMMYFUNCTION("""COMPUTED_VALUE"""),44146.29166666667)</f>
        <v>44146.29167</v>
      </c>
      <c r="F1316" s="26" t="str">
        <f>IFERROR(__xludf.DUMMYFUNCTION("""COMPUTED_VALUE"""),"5f5125a6333edb00434bffaf")</f>
        <v>5f5125a6333edb00434bffaf</v>
      </c>
      <c r="G1316" s="26" t="str">
        <f>IFERROR(__xludf.DUMMYFUNCTION("""COMPUTED_VALUE"""),"Terry Waldner")</f>
        <v>Terry Waldner</v>
      </c>
      <c r="H1316" s="26" t="b">
        <v>0</v>
      </c>
    </row>
    <row r="1317" hidden="1">
      <c r="A1317" s="26" t="str">
        <f>VLOOKUP(B1317,'2020 SRED (JIRA) - Issues and l'!$B:$C,2,FALSE)</f>
        <v>insite-workflow-SRED</v>
      </c>
      <c r="B1317" s="27" t="str">
        <f>IFERROR(__xludf.DUMMYFUNCTION("""COMPUTED_VALUE"""),"APPS-536")</f>
        <v>APPS-536</v>
      </c>
      <c r="C1317" s="26" t="str">
        <f>IFERROR(__xludf.DUMMYFUNCTION("""COMPUTED_VALUE"""),"As a salesperson, I can initiate key Sales Pipeline actions from Gmail")</f>
        <v>As a salesperson, I can initiate key Sales Pipeline actions from Gmail</v>
      </c>
      <c r="D1317" s="28">
        <f>IFERROR(__xludf.DUMMYFUNCTION("""COMPUTED_VALUE"""),2.0)</f>
        <v>2</v>
      </c>
      <c r="E1317" s="29">
        <f>IFERROR(__xludf.DUMMYFUNCTION("""COMPUTED_VALUE"""),44146.33333333333)</f>
        <v>44146.33333</v>
      </c>
      <c r="F1317" s="26" t="str">
        <f>IFERROR(__xludf.DUMMYFUNCTION("""COMPUTED_VALUE"""),"5ee7b6ce868ce30ac49e2521")</f>
        <v>5ee7b6ce868ce30ac49e2521</v>
      </c>
      <c r="G1317" s="26" t="str">
        <f>IFERROR(__xludf.DUMMYFUNCTION("""COMPUTED_VALUE"""),"Bryan Le")</f>
        <v>Bryan Le</v>
      </c>
      <c r="H1317" s="26" t="b">
        <v>0</v>
      </c>
    </row>
    <row r="1318" hidden="1">
      <c r="A1318" s="26" t="str">
        <f>VLOOKUP(B1318,'2020 SRED (JIRA) - Issues and l'!$B:$C,2,FALSE)</f>
        <v>insite-workflow-SRED</v>
      </c>
      <c r="B1318" s="27" t="str">
        <f>IFERROR(__xludf.DUMMYFUNCTION("""COMPUTED_VALUE"""),"APPS-510")</f>
        <v>APPS-510</v>
      </c>
      <c r="C1318" s="26" t="str">
        <f>IFERROR(__xludf.DUMMYFUNCTION("""COMPUTED_VALUE"""),"Improvements to internal review request email")</f>
        <v>Improvements to internal review request email</v>
      </c>
      <c r="D1318" s="28">
        <f>IFERROR(__xludf.DUMMYFUNCTION("""COMPUTED_VALUE"""),7.0)</f>
        <v>7</v>
      </c>
      <c r="E1318" s="29">
        <f>IFERROR(__xludf.DUMMYFUNCTION("""COMPUTED_VALUE"""),44146.33333333333)</f>
        <v>44146.33333</v>
      </c>
      <c r="F1318" s="26" t="str">
        <f>IFERROR(__xludf.DUMMYFUNCTION("""COMPUTED_VALUE"""),"5ee7b6cf02b4400ac4b65399")</f>
        <v>5ee7b6cf02b4400ac4b65399</v>
      </c>
      <c r="G1318" s="26" t="str">
        <f>IFERROR(__xludf.DUMMYFUNCTION("""COMPUTED_VALUE"""),"Jessica Obando")</f>
        <v>Jessica Obando</v>
      </c>
      <c r="H1318" s="26" t="b">
        <v>0</v>
      </c>
    </row>
    <row r="1319">
      <c r="A1319" s="26" t="str">
        <f>VLOOKUP(B1319,'2020 SRED (JIRA) - Issues and l'!$B:$C,2,FALSE)</f>
        <v>insite-workflow-SRED</v>
      </c>
      <c r="B1319" s="27" t="str">
        <f>IFERROR(__xludf.DUMMYFUNCTION("""COMPUTED_VALUE"""),"APPS-512")</f>
        <v>APPS-512</v>
      </c>
      <c r="C1319" s="26" t="str">
        <f>IFERROR(__xludf.DUMMYFUNCTION("""COMPUTED_VALUE"""),"Default durations for each product")</f>
        <v>Default durations for each product</v>
      </c>
      <c r="D1319" s="28">
        <f>IFERROR(__xludf.DUMMYFUNCTION("""COMPUTED_VALUE"""),0.25)</f>
        <v>0.25</v>
      </c>
      <c r="E1319" s="29">
        <f>IFERROR(__xludf.DUMMYFUNCTION("""COMPUTED_VALUE"""),44146.35416666667)</f>
        <v>44146.35417</v>
      </c>
      <c r="F1319" s="26" t="str">
        <f>IFERROR(__xludf.DUMMYFUNCTION("""COMPUTED_VALUE"""),"557058:ed1ddc66-d84d-405c-a815-0fcc6147ba14")</f>
        <v>557058:ed1ddc66-d84d-405c-a815-0fcc6147ba14</v>
      </c>
      <c r="G1319" s="26" t="str">
        <f>IFERROR(__xludf.DUMMYFUNCTION("""COMPUTED_VALUE"""),"Mark Corrigan")</f>
        <v>Mark Corrigan</v>
      </c>
      <c r="H1319" s="26" t="b">
        <v>0</v>
      </c>
    </row>
    <row r="1320">
      <c r="A1320" s="26" t="str">
        <f>VLOOKUP(B1320,'2020 SRED (JIRA) - Issues and l'!$B:$C,2,FALSE)</f>
        <v>insite-workflow-SRED</v>
      </c>
      <c r="B1320" s="27" t="str">
        <f>IFERROR(__xludf.DUMMYFUNCTION("""COMPUTED_VALUE"""),"APPS-510")</f>
        <v>APPS-510</v>
      </c>
      <c r="C1320" s="26" t="str">
        <f>IFERROR(__xludf.DUMMYFUNCTION("""COMPUTED_VALUE"""),"Improvements to internal review request email")</f>
        <v>Improvements to internal review request email</v>
      </c>
      <c r="D1320" s="28">
        <f>IFERROR(__xludf.DUMMYFUNCTION("""COMPUTED_VALUE"""),0.25)</f>
        <v>0.25</v>
      </c>
      <c r="E1320" s="29">
        <f>IFERROR(__xludf.DUMMYFUNCTION("""COMPUTED_VALUE"""),44146.36458333333)</f>
        <v>44146.36458</v>
      </c>
      <c r="F1320" s="26" t="str">
        <f>IFERROR(__xludf.DUMMYFUNCTION("""COMPUTED_VALUE"""),"557058:ed1ddc66-d84d-405c-a815-0fcc6147ba14")</f>
        <v>557058:ed1ddc66-d84d-405c-a815-0fcc6147ba14</v>
      </c>
      <c r="G1320" s="26" t="str">
        <f>IFERROR(__xludf.DUMMYFUNCTION("""COMPUTED_VALUE"""),"Mark Corrigan")</f>
        <v>Mark Corrigan</v>
      </c>
      <c r="H1320" s="26" t="b">
        <v>0</v>
      </c>
    </row>
    <row r="1321">
      <c r="A1321" s="26" t="str">
        <f>VLOOKUP(B1321,'2020 SRED (JIRA) - Issues and l'!$B:$C,2,FALSE)</f>
        <v>insite-workflow-SRED</v>
      </c>
      <c r="B1321" s="27" t="str">
        <f>IFERROR(__xludf.DUMMYFUNCTION("""COMPUTED_VALUE"""),"APPS-388")</f>
        <v>APPS-388</v>
      </c>
      <c r="C1321" s="26" t="str">
        <f>IFERROR(__xludf.DUMMYFUNCTION("""COMPUTED_VALUE"""),"Cleanup tasks")</f>
        <v>Cleanup tasks</v>
      </c>
      <c r="D1321" s="28">
        <f>IFERROR(__xludf.DUMMYFUNCTION("""COMPUTED_VALUE"""),0.5)</f>
        <v>0.5</v>
      </c>
      <c r="E1321" s="29">
        <f>IFERROR(__xludf.DUMMYFUNCTION("""COMPUTED_VALUE"""),44146.375)</f>
        <v>44146.375</v>
      </c>
      <c r="F1321" s="26" t="str">
        <f>IFERROR(__xludf.DUMMYFUNCTION("""COMPUTED_VALUE"""),"557058:ed1ddc66-d84d-405c-a815-0fcc6147ba14")</f>
        <v>557058:ed1ddc66-d84d-405c-a815-0fcc6147ba14</v>
      </c>
      <c r="G1321" s="26" t="str">
        <f>IFERROR(__xludf.DUMMYFUNCTION("""COMPUTED_VALUE"""),"Mark Corrigan")</f>
        <v>Mark Corrigan</v>
      </c>
      <c r="H1321" s="26" t="b">
        <v>0</v>
      </c>
    </row>
    <row r="1322">
      <c r="A1322" s="26" t="str">
        <f>VLOOKUP(B1322,'2020 SRED (JIRA) - Issues and l'!$B:$C,2,FALSE)</f>
        <v>insite-workflow-SRED</v>
      </c>
      <c r="B1322" s="27" t="str">
        <f>IFERROR(__xludf.DUMMYFUNCTION("""COMPUTED_VALUE"""),"APPS-536")</f>
        <v>APPS-536</v>
      </c>
      <c r="C1322" s="26" t="str">
        <f>IFERROR(__xludf.DUMMYFUNCTION("""COMPUTED_VALUE"""),"As a salesperson, I can initiate key Sales Pipeline actions from Gmail")</f>
        <v>As a salesperson, I can initiate key Sales Pipeline actions from Gmail</v>
      </c>
      <c r="D1322" s="28">
        <f>IFERROR(__xludf.DUMMYFUNCTION("""COMPUTED_VALUE"""),0.25)</f>
        <v>0.25</v>
      </c>
      <c r="E1322" s="29">
        <f>IFERROR(__xludf.DUMMYFUNCTION("""COMPUTED_VALUE"""),44146.39583333333)</f>
        <v>44146.39583</v>
      </c>
      <c r="F1322" s="26" t="str">
        <f>IFERROR(__xludf.DUMMYFUNCTION("""COMPUTED_VALUE"""),"557058:ed1ddc66-d84d-405c-a815-0fcc6147ba14")</f>
        <v>557058:ed1ddc66-d84d-405c-a815-0fcc6147ba14</v>
      </c>
      <c r="G1322" s="26" t="str">
        <f>IFERROR(__xludf.DUMMYFUNCTION("""COMPUTED_VALUE"""),"Mark Corrigan")</f>
        <v>Mark Corrigan</v>
      </c>
      <c r="H1322" s="26" t="b">
        <v>0</v>
      </c>
    </row>
    <row r="1323">
      <c r="A1323" s="26" t="str">
        <f>VLOOKUP(B1323,'2020 SRED (JIRA) - Issues and l'!$B:$C,2,FALSE)</f>
        <v>insite-workflow-SRED</v>
      </c>
      <c r="B1323" s="27" t="str">
        <f>IFERROR(__xludf.DUMMYFUNCTION("""COMPUTED_VALUE"""),"APPS-526")</f>
        <v>APPS-526</v>
      </c>
      <c r="C1323" s="26" t="str">
        <f>IFERROR(__xludf.DUMMYFUNCTION("""COMPUTED_VALUE"""),"Error with new custom requirements and add-ons/reductions not being added to cost fields in details view")</f>
        <v>Error with new custom requirements and add-ons/reductions not being added to cost fields in details view</v>
      </c>
      <c r="D1323" s="28">
        <f>IFERROR(__xludf.DUMMYFUNCTION("""COMPUTED_VALUE"""),0.25)</f>
        <v>0.25</v>
      </c>
      <c r="E1323" s="29">
        <f>IFERROR(__xludf.DUMMYFUNCTION("""COMPUTED_VALUE"""),44146.41666666667)</f>
        <v>44146.41667</v>
      </c>
      <c r="F1323" s="26" t="str">
        <f>IFERROR(__xludf.DUMMYFUNCTION("""COMPUTED_VALUE"""),"557058:ed1ddc66-d84d-405c-a815-0fcc6147ba14")</f>
        <v>557058:ed1ddc66-d84d-405c-a815-0fcc6147ba14</v>
      </c>
      <c r="G1323" s="26" t="str">
        <f>IFERROR(__xludf.DUMMYFUNCTION("""COMPUTED_VALUE"""),"Mark Corrigan")</f>
        <v>Mark Corrigan</v>
      </c>
      <c r="H1323" s="26" t="b">
        <v>0</v>
      </c>
    </row>
    <row r="1324" hidden="1">
      <c r="A1324" s="26" t="str">
        <f>VLOOKUP(B1324,'2020 SRED (JIRA) - Issues and l'!$B:$C,2,FALSE)</f>
        <v>insite-workflow-SRED</v>
      </c>
      <c r="B1324" s="27" t="str">
        <f>IFERROR(__xludf.DUMMYFUNCTION("""COMPUTED_VALUE"""),"APPS-510")</f>
        <v>APPS-510</v>
      </c>
      <c r="C1324" s="26" t="str">
        <f>IFERROR(__xludf.DUMMYFUNCTION("""COMPUTED_VALUE"""),"Improvements to internal review request email")</f>
        <v>Improvements to internal review request email</v>
      </c>
      <c r="D1324" s="28">
        <f>IFERROR(__xludf.DUMMYFUNCTION("""COMPUTED_VALUE"""),2.0)</f>
        <v>2</v>
      </c>
      <c r="E1324" s="29">
        <f>IFERROR(__xludf.DUMMYFUNCTION("""COMPUTED_VALUE"""),44146.41666666667)</f>
        <v>44146.41667</v>
      </c>
      <c r="F1324" s="26" t="str">
        <f>IFERROR(__xludf.DUMMYFUNCTION("""COMPUTED_VALUE"""),"5ee7b6ce868ce30ac49e2521")</f>
        <v>5ee7b6ce868ce30ac49e2521</v>
      </c>
      <c r="G1324" s="26" t="str">
        <f>IFERROR(__xludf.DUMMYFUNCTION("""COMPUTED_VALUE"""),"Bryan Le")</f>
        <v>Bryan Le</v>
      </c>
      <c r="H1324" s="26" t="b">
        <v>0</v>
      </c>
    </row>
    <row r="1325">
      <c r="A1325" s="26" t="str">
        <f>VLOOKUP(B1325,'2020 SRED (JIRA) - Issues and l'!$B:$C,2,FALSE)</f>
        <v>insite-workflow-SRED</v>
      </c>
      <c r="B1325" s="27" t="str">
        <f>IFERROR(__xludf.DUMMYFUNCTION("""COMPUTED_VALUE"""),"APPS-266")</f>
        <v>APPS-266</v>
      </c>
      <c r="C1325" s="26" t="str">
        <f>IFERROR(__xludf.DUMMYFUNCTION("""COMPUTED_VALUE"""),"Data migration for contacts, orgs, sales opportunities, prospective clients, salesperson profiles, etc.")</f>
        <v>Data migration for contacts, orgs, sales opportunities, prospective clients, salesperson profiles, etc.</v>
      </c>
      <c r="D1325" s="28">
        <f>IFERROR(__xludf.DUMMYFUNCTION("""COMPUTED_VALUE"""),0.25)</f>
        <v>0.25</v>
      </c>
      <c r="E1325" s="29">
        <f>IFERROR(__xludf.DUMMYFUNCTION("""COMPUTED_VALUE"""),44146.53125)</f>
        <v>44146.53125</v>
      </c>
      <c r="F1325" s="26" t="str">
        <f>IFERROR(__xludf.DUMMYFUNCTION("""COMPUTED_VALUE"""),"557058:ed1ddc66-d84d-405c-a815-0fcc6147ba14")</f>
        <v>557058:ed1ddc66-d84d-405c-a815-0fcc6147ba14</v>
      </c>
      <c r="G1325" s="26" t="str">
        <f>IFERROR(__xludf.DUMMYFUNCTION("""COMPUTED_VALUE"""),"Mark Corrigan")</f>
        <v>Mark Corrigan</v>
      </c>
      <c r="H1325" s="26" t="b">
        <v>0</v>
      </c>
    </row>
    <row r="1326">
      <c r="A1326" s="26" t="str">
        <f>VLOOKUP(B1326,'2020 SRED (JIRA) - Issues and l'!$B:$C,2,FALSE)</f>
        <v>insite-workflow-SRED</v>
      </c>
      <c r="B1326" s="27" t="str">
        <f>IFERROR(__xludf.DUMMYFUNCTION("""COMPUTED_VALUE"""),"APPS-448")</f>
        <v>APPS-448</v>
      </c>
      <c r="C1326" s="26" t="str">
        <f>IFERROR(__xludf.DUMMYFUNCTION("""COMPUTED_VALUE"""),"Project totals and org discount table")</f>
        <v>Project totals and org discount table</v>
      </c>
      <c r="D1326" s="28">
        <f>IFERROR(__xludf.DUMMYFUNCTION("""COMPUTED_VALUE"""),0.25)</f>
        <v>0.25</v>
      </c>
      <c r="E1326" s="29">
        <f>IFERROR(__xludf.DUMMYFUNCTION("""COMPUTED_VALUE"""),44146.54166666667)</f>
        <v>44146.54167</v>
      </c>
      <c r="F1326" s="26" t="str">
        <f>IFERROR(__xludf.DUMMYFUNCTION("""COMPUTED_VALUE"""),"557058:ed1ddc66-d84d-405c-a815-0fcc6147ba14")</f>
        <v>557058:ed1ddc66-d84d-405c-a815-0fcc6147ba14</v>
      </c>
      <c r="G1326" s="26" t="str">
        <f>IFERROR(__xludf.DUMMYFUNCTION("""COMPUTED_VALUE"""),"Mark Corrigan")</f>
        <v>Mark Corrigan</v>
      </c>
      <c r="H1326" s="26" t="b">
        <v>0</v>
      </c>
    </row>
    <row r="1327" hidden="1">
      <c r="A1327" s="26" t="str">
        <f>VLOOKUP(B1327,'2020 SRED (JIRA) - Issues and l'!$B:$C,2,FALSE)</f>
        <v>insite-workflow-SRED</v>
      </c>
      <c r="B1327" s="27" t="str">
        <f>IFERROR(__xludf.DUMMYFUNCTION("""COMPUTED_VALUE"""),"APPS-533")</f>
        <v>APPS-533</v>
      </c>
      <c r="C1327" s="26" t="str">
        <f>IFERROR(__xludf.DUMMYFUNCTION("""COMPUTED_VALUE"""),"Migrate 50 real records from ""Bryan's copy"" to AppSheet for testing")</f>
        <v>Migrate 50 real records from "Bryan's copy" to AppSheet for testing</v>
      </c>
      <c r="D1327" s="28">
        <f>IFERROR(__xludf.DUMMYFUNCTION("""COMPUTED_VALUE"""),2.0)</f>
        <v>2</v>
      </c>
      <c r="E1327" s="29">
        <f>IFERROR(__xludf.DUMMYFUNCTION("""COMPUTED_VALUE"""),44146.54166666667)</f>
        <v>44146.54167</v>
      </c>
      <c r="F1327" s="26" t="str">
        <f>IFERROR(__xludf.DUMMYFUNCTION("""COMPUTED_VALUE"""),"5ee7b6ce868ce30ac49e2521")</f>
        <v>5ee7b6ce868ce30ac49e2521</v>
      </c>
      <c r="G1327" s="26" t="str">
        <f>IFERROR(__xludf.DUMMYFUNCTION("""COMPUTED_VALUE"""),"Bryan Le")</f>
        <v>Bryan Le</v>
      </c>
      <c r="H1327" s="26" t="b">
        <v>0</v>
      </c>
    </row>
    <row r="1328">
      <c r="A1328" s="26" t="str">
        <f>VLOOKUP(B1328,'2020 SRED (JIRA) - Issues and l'!$B:$C,2,FALSE)</f>
        <v>insite-workflow-SRED</v>
      </c>
      <c r="B1328" s="27" t="str">
        <f>IFERROR(__xludf.DUMMYFUNCTION("""COMPUTED_VALUE"""),"APPS-505")</f>
        <v>APPS-505</v>
      </c>
      <c r="C1328" s="26" t="str">
        <f>IFERROR(__xludf.DUMMYFUNCTION("""COMPUTED_VALUE"""),"As a salesperson, I can specify portal hosting duration for each proposal")</f>
        <v>As a salesperson, I can specify portal hosting duration for each proposal</v>
      </c>
      <c r="D1328" s="28">
        <f>IFERROR(__xludf.DUMMYFUNCTION("""COMPUTED_VALUE"""),0.25)</f>
        <v>0.25</v>
      </c>
      <c r="E1328" s="29">
        <f>IFERROR(__xludf.DUMMYFUNCTION("""COMPUTED_VALUE"""),44146.5625)</f>
        <v>44146.5625</v>
      </c>
      <c r="F1328" s="26" t="str">
        <f>IFERROR(__xludf.DUMMYFUNCTION("""COMPUTED_VALUE"""),"557058:ed1ddc66-d84d-405c-a815-0fcc6147ba14")</f>
        <v>557058:ed1ddc66-d84d-405c-a815-0fcc6147ba14</v>
      </c>
      <c r="G1328" s="26" t="str">
        <f>IFERROR(__xludf.DUMMYFUNCTION("""COMPUTED_VALUE"""),"Mark Corrigan")</f>
        <v>Mark Corrigan</v>
      </c>
      <c r="H1328" s="26" t="b">
        <v>0</v>
      </c>
    </row>
    <row r="1329" hidden="1">
      <c r="A1329" s="26" t="str">
        <f>VLOOKUP(B1329,'2020 SRED (JIRA) - Issues and l'!$B:$C,2,FALSE)</f>
        <v>insite-workflow-SRED</v>
      </c>
      <c r="B1329" s="27" t="str">
        <f>IFERROR(__xludf.DUMMYFUNCTION("""COMPUTED_VALUE"""),"APPS-536")</f>
        <v>APPS-536</v>
      </c>
      <c r="C1329" s="26" t="str">
        <f>IFERROR(__xludf.DUMMYFUNCTION("""COMPUTED_VALUE"""),"As a salesperson, I can initiate key Sales Pipeline actions from Gmail")</f>
        <v>As a salesperson, I can initiate key Sales Pipeline actions from Gmail</v>
      </c>
      <c r="D1329" s="28">
        <f>IFERROR(__xludf.DUMMYFUNCTION("""COMPUTED_VALUE"""),2.0)</f>
        <v>2</v>
      </c>
      <c r="E1329" s="29">
        <f>IFERROR(__xludf.DUMMYFUNCTION("""COMPUTED_VALUE"""),44147.33333333333)</f>
        <v>44147.33333</v>
      </c>
      <c r="F1329" s="26" t="str">
        <f>IFERROR(__xludf.DUMMYFUNCTION("""COMPUTED_VALUE"""),"5ee7b6ce868ce30ac49e2521")</f>
        <v>5ee7b6ce868ce30ac49e2521</v>
      </c>
      <c r="G1329" s="26" t="str">
        <f>IFERROR(__xludf.DUMMYFUNCTION("""COMPUTED_VALUE"""),"Bryan Le")</f>
        <v>Bryan Le</v>
      </c>
      <c r="H1329" s="26" t="b">
        <v>0</v>
      </c>
    </row>
    <row r="1330" hidden="1">
      <c r="A1330" s="26" t="str">
        <f>VLOOKUP(B1330,'2020 SRED (JIRA) - Issues and l'!$B:$C,2,FALSE)</f>
        <v>insite-workflow-SRED</v>
      </c>
      <c r="B1330" s="27" t="str">
        <f>IFERROR(__xludf.DUMMYFUNCTION("""COMPUTED_VALUE"""),"APPS-505")</f>
        <v>APPS-505</v>
      </c>
      <c r="C1330" s="26" t="str">
        <f>IFERROR(__xludf.DUMMYFUNCTION("""COMPUTED_VALUE"""),"As a salesperson, I can specify portal hosting duration for each proposal")</f>
        <v>As a salesperson, I can specify portal hosting duration for each proposal</v>
      </c>
      <c r="D1330" s="28">
        <f>IFERROR(__xludf.DUMMYFUNCTION("""COMPUTED_VALUE"""),7.0)</f>
        <v>7</v>
      </c>
      <c r="E1330" s="29">
        <f>IFERROR(__xludf.DUMMYFUNCTION("""COMPUTED_VALUE"""),44147.33333333333)</f>
        <v>44147.33333</v>
      </c>
      <c r="F1330" s="26" t="str">
        <f>IFERROR(__xludf.DUMMYFUNCTION("""COMPUTED_VALUE"""),"5ee7b6cf02b4400ac4b65399")</f>
        <v>5ee7b6cf02b4400ac4b65399</v>
      </c>
      <c r="G1330" s="26" t="str">
        <f>IFERROR(__xludf.DUMMYFUNCTION("""COMPUTED_VALUE"""),"Jessica Obando")</f>
        <v>Jessica Obando</v>
      </c>
      <c r="H1330" s="26" t="b">
        <v>0</v>
      </c>
    </row>
    <row r="1331">
      <c r="A1331" s="26" t="str">
        <f>VLOOKUP(B1331,'2020 SRED (JIRA) - Issues and l'!$B:$C,2,FALSE)</f>
        <v>insite-workflow-SRED</v>
      </c>
      <c r="B1331" s="27" t="str">
        <f>IFERROR(__xludf.DUMMYFUNCTION("""COMPUTED_VALUE"""),"APPS-510")</f>
        <v>APPS-510</v>
      </c>
      <c r="C1331" s="26" t="str">
        <f>IFERROR(__xludf.DUMMYFUNCTION("""COMPUTED_VALUE"""),"Improvements to internal review request email")</f>
        <v>Improvements to internal review request email</v>
      </c>
      <c r="D1331" s="28">
        <f>IFERROR(__xludf.DUMMYFUNCTION("""COMPUTED_VALUE"""),0.5)</f>
        <v>0.5</v>
      </c>
      <c r="E1331" s="29">
        <f>IFERROR(__xludf.DUMMYFUNCTION("""COMPUTED_VALUE"""),44147.36458333333)</f>
        <v>44147.36458</v>
      </c>
      <c r="F1331" s="26" t="str">
        <f>IFERROR(__xludf.DUMMYFUNCTION("""COMPUTED_VALUE"""),"557058:ed1ddc66-d84d-405c-a815-0fcc6147ba14")</f>
        <v>557058:ed1ddc66-d84d-405c-a815-0fcc6147ba14</v>
      </c>
      <c r="G1331" s="26" t="str">
        <f>IFERROR(__xludf.DUMMYFUNCTION("""COMPUTED_VALUE"""),"Mark Corrigan")</f>
        <v>Mark Corrigan</v>
      </c>
      <c r="H1331" s="26" t="b">
        <v>0</v>
      </c>
    </row>
    <row r="1332">
      <c r="A1332" s="26" t="str">
        <f>VLOOKUP(B1332,'2020 SRED (JIRA) - Issues and l'!$B:$C,2,FALSE)</f>
        <v>insite-mapping-SRED</v>
      </c>
      <c r="B1332" s="27" t="str">
        <f>IFERROR(__xludf.DUMMYFUNCTION("""COMPUTED_VALUE"""),"IM-516")</f>
        <v>IM-516</v>
      </c>
      <c r="C1332" s="26" t="str">
        <f>IFERROR(__xludf.DUMMYFUNCTION("""COMPUTED_VALUE"""),"New Space for InSite Mapping™")</f>
        <v>New Space for InSite Mapping™</v>
      </c>
      <c r="D1332" s="28">
        <f>IFERROR(__xludf.DUMMYFUNCTION("""COMPUTED_VALUE"""),0.25)</f>
        <v>0.25</v>
      </c>
      <c r="E1332" s="29">
        <f>IFERROR(__xludf.DUMMYFUNCTION("""COMPUTED_VALUE"""),44147.39583333333)</f>
        <v>44147.39583</v>
      </c>
      <c r="F1332" s="26" t="str">
        <f>IFERROR(__xludf.DUMMYFUNCTION("""COMPUTED_VALUE"""),"557058:ed1ddc66-d84d-405c-a815-0fcc6147ba14")</f>
        <v>557058:ed1ddc66-d84d-405c-a815-0fcc6147ba14</v>
      </c>
      <c r="G1332" s="26" t="str">
        <f>IFERROR(__xludf.DUMMYFUNCTION("""COMPUTED_VALUE"""),"Mark Corrigan")</f>
        <v>Mark Corrigan</v>
      </c>
      <c r="H1332" s="26" t="b">
        <v>0</v>
      </c>
    </row>
    <row r="1333">
      <c r="A1333" s="26" t="str">
        <f>VLOOKUP(B1333,'2020 SRED (JIRA) - Issues and l'!$B:$C,2,FALSE)</f>
        <v>insite-workflow-SRED</v>
      </c>
      <c r="B1333" s="27" t="str">
        <f>IFERROR(__xludf.DUMMYFUNCTION("""COMPUTED_VALUE"""),"APPS-526")</f>
        <v>APPS-526</v>
      </c>
      <c r="C1333" s="26" t="str">
        <f>IFERROR(__xludf.DUMMYFUNCTION("""COMPUTED_VALUE"""),"Error with new custom requirements and add-ons/reductions not being added to cost fields in details view")</f>
        <v>Error with new custom requirements and add-ons/reductions not being added to cost fields in details view</v>
      </c>
      <c r="D1333" s="28">
        <f>IFERROR(__xludf.DUMMYFUNCTION("""COMPUTED_VALUE"""),0.25)</f>
        <v>0.25</v>
      </c>
      <c r="E1333" s="29">
        <f>IFERROR(__xludf.DUMMYFUNCTION("""COMPUTED_VALUE"""),44147.40625)</f>
        <v>44147.40625</v>
      </c>
      <c r="F1333" s="26" t="str">
        <f>IFERROR(__xludf.DUMMYFUNCTION("""COMPUTED_VALUE"""),"557058:ed1ddc66-d84d-405c-a815-0fcc6147ba14")</f>
        <v>557058:ed1ddc66-d84d-405c-a815-0fcc6147ba14</v>
      </c>
      <c r="G1333" s="26" t="str">
        <f>IFERROR(__xludf.DUMMYFUNCTION("""COMPUTED_VALUE"""),"Mark Corrigan")</f>
        <v>Mark Corrigan</v>
      </c>
      <c r="H1333" s="26" t="b">
        <v>0</v>
      </c>
    </row>
    <row r="1334" hidden="1">
      <c r="A1334" s="26" t="str">
        <f>VLOOKUP(B1334,'2020 SRED (JIRA) - Issues and l'!$B:$C,2,FALSE)</f>
        <v>insite-workflow-SRED</v>
      </c>
      <c r="B1334" s="27" t="str">
        <f>IFERROR(__xludf.DUMMYFUNCTION("""COMPUTED_VALUE"""),"APPS-531")</f>
        <v>APPS-531</v>
      </c>
      <c r="C1334" s="26" t="str">
        <f>IFERROR(__xludf.DUMMYFUNCTION("""COMPUTED_VALUE"""),"Warning for events scheduled on weekends and holidays")</f>
        <v>Warning for events scheduled on weekends and holidays</v>
      </c>
      <c r="D1334" s="28">
        <f>IFERROR(__xludf.DUMMYFUNCTION("""COMPUTED_VALUE"""),2.0)</f>
        <v>2</v>
      </c>
      <c r="E1334" s="29">
        <f>IFERROR(__xludf.DUMMYFUNCTION("""COMPUTED_VALUE"""),44147.41666666667)</f>
        <v>44147.41667</v>
      </c>
      <c r="F1334" s="26" t="str">
        <f>IFERROR(__xludf.DUMMYFUNCTION("""COMPUTED_VALUE"""),"5ee7b6ce868ce30ac49e2521")</f>
        <v>5ee7b6ce868ce30ac49e2521</v>
      </c>
      <c r="G1334" s="26" t="str">
        <f>IFERROR(__xludf.DUMMYFUNCTION("""COMPUTED_VALUE"""),"Bryan Le")</f>
        <v>Bryan Le</v>
      </c>
      <c r="H1334" s="26" t="b">
        <v>0</v>
      </c>
    </row>
    <row r="1335">
      <c r="A1335" s="26" t="str">
        <f>VLOOKUP(B1335,'2020 SRED (JIRA) - Issues and l'!$B:$C,2,FALSE)</f>
        <v>insite-workflow-SRED</v>
      </c>
      <c r="B1335" s="27" t="str">
        <f>IFERROR(__xludf.DUMMYFUNCTION("""COMPUTED_VALUE"""),"APPS-10")</f>
        <v>APPS-10</v>
      </c>
      <c r="C1335" s="26" t="str">
        <f>IFERROR(__xludf.DUMMYFUNCTION("""COMPUTED_VALUE"""),"Sales Pipeline app (v1)")</f>
        <v>Sales Pipeline app (v1)</v>
      </c>
      <c r="D1335" s="28">
        <f>IFERROR(__xludf.DUMMYFUNCTION("""COMPUTED_VALUE"""),1.0)</f>
        <v>1</v>
      </c>
      <c r="E1335" s="29">
        <f>IFERROR(__xludf.DUMMYFUNCTION("""COMPUTED_VALUE"""),44147.42708333333)</f>
        <v>44147.42708</v>
      </c>
      <c r="F1335" s="26" t="str">
        <f>IFERROR(__xludf.DUMMYFUNCTION("""COMPUTED_VALUE"""),"557058:ed1ddc66-d84d-405c-a815-0fcc6147ba14")</f>
        <v>557058:ed1ddc66-d84d-405c-a815-0fcc6147ba14</v>
      </c>
      <c r="G1335" s="26" t="str">
        <f>IFERROR(__xludf.DUMMYFUNCTION("""COMPUTED_VALUE"""),"Mark Corrigan")</f>
        <v>Mark Corrigan</v>
      </c>
      <c r="H1335" s="26" t="b">
        <v>0</v>
      </c>
    </row>
    <row r="1336">
      <c r="A1336" s="26" t="str">
        <f>VLOOKUP(B1336,'2020 SRED (JIRA) - Issues and l'!$B:$C,2,FALSE)</f>
        <v>insite-workflow-SRED</v>
      </c>
      <c r="B1336" s="27" t="str">
        <f>IFERROR(__xludf.DUMMYFUNCTION("""COMPUTED_VALUE"""),"APPS-448")</f>
        <v>APPS-448</v>
      </c>
      <c r="C1336" s="26" t="str">
        <f>IFERROR(__xludf.DUMMYFUNCTION("""COMPUTED_VALUE"""),"Project totals and org discount table")</f>
        <v>Project totals and org discount table</v>
      </c>
      <c r="D1336" s="28">
        <f>IFERROR(__xludf.DUMMYFUNCTION("""COMPUTED_VALUE"""),0.5)</f>
        <v>0.5</v>
      </c>
      <c r="E1336" s="29">
        <f>IFERROR(__xludf.DUMMYFUNCTION("""COMPUTED_VALUE"""),44147.475694444445)</f>
        <v>44147.47569</v>
      </c>
      <c r="F1336" s="26" t="str">
        <f>IFERROR(__xludf.DUMMYFUNCTION("""COMPUTED_VALUE"""),"557058:ed1ddc66-d84d-405c-a815-0fcc6147ba14")</f>
        <v>557058:ed1ddc66-d84d-405c-a815-0fcc6147ba14</v>
      </c>
      <c r="G1336" s="26" t="str">
        <f>IFERROR(__xludf.DUMMYFUNCTION("""COMPUTED_VALUE"""),"Mark Corrigan")</f>
        <v>Mark Corrigan</v>
      </c>
      <c r="H1336" s="26" t="b">
        <v>0</v>
      </c>
    </row>
    <row r="1337">
      <c r="A1337" s="26" t="str">
        <f>VLOOKUP(B1337,'2020 SRED (JIRA) - Issues and l'!$B:$C,2,FALSE)</f>
        <v>insite-workflow-SRED</v>
      </c>
      <c r="B1337" s="27" t="str">
        <f>IFERROR(__xludf.DUMMYFUNCTION("""COMPUTED_VALUE"""),"APPS-536")</f>
        <v>APPS-536</v>
      </c>
      <c r="C1337" s="26" t="str">
        <f>IFERROR(__xludf.DUMMYFUNCTION("""COMPUTED_VALUE"""),"As a salesperson, I can initiate key Sales Pipeline actions from Gmail")</f>
        <v>As a salesperson, I can initiate key Sales Pipeline actions from Gmail</v>
      </c>
      <c r="D1337" s="28">
        <f>IFERROR(__xludf.DUMMYFUNCTION("""COMPUTED_VALUE"""),0.5)</f>
        <v>0.5</v>
      </c>
      <c r="E1337" s="29">
        <f>IFERROR(__xludf.DUMMYFUNCTION("""COMPUTED_VALUE"""),44147.49652777778)</f>
        <v>44147.49653</v>
      </c>
      <c r="F1337" s="26" t="str">
        <f>IFERROR(__xludf.DUMMYFUNCTION("""COMPUTED_VALUE"""),"557058:ed1ddc66-d84d-405c-a815-0fcc6147ba14")</f>
        <v>557058:ed1ddc66-d84d-405c-a815-0fcc6147ba14</v>
      </c>
      <c r="G1337" s="26" t="str">
        <f>IFERROR(__xludf.DUMMYFUNCTION("""COMPUTED_VALUE"""),"Mark Corrigan")</f>
        <v>Mark Corrigan</v>
      </c>
      <c r="H1337" s="26" t="b">
        <v>0</v>
      </c>
    </row>
    <row r="1338" hidden="1">
      <c r="A1338" s="26" t="str">
        <f>VLOOKUP(B1338,'2020 SRED (JIRA) - Issues and l'!$B:$C,2,FALSE)</f>
        <v>insite-workflow-SRED</v>
      </c>
      <c r="B1338" s="27" t="str">
        <f>IFERROR(__xludf.DUMMYFUNCTION("""COMPUTED_VALUE"""),"APPS-536")</f>
        <v>APPS-536</v>
      </c>
      <c r="C1338" s="26" t="str">
        <f>IFERROR(__xludf.DUMMYFUNCTION("""COMPUTED_VALUE"""),"As a salesperson, I can initiate key Sales Pipeline actions from Gmail")</f>
        <v>As a salesperson, I can initiate key Sales Pipeline actions from Gmail</v>
      </c>
      <c r="D1338" s="28">
        <f>IFERROR(__xludf.DUMMYFUNCTION("""COMPUTED_VALUE"""),3.0)</f>
        <v>3</v>
      </c>
      <c r="E1338" s="29">
        <f>IFERROR(__xludf.DUMMYFUNCTION("""COMPUTED_VALUE"""),44147.5)</f>
        <v>44147.5</v>
      </c>
      <c r="F1338" s="26" t="str">
        <f>IFERROR(__xludf.DUMMYFUNCTION("""COMPUTED_VALUE"""),"5ee7b6ce868ce30ac49e2521")</f>
        <v>5ee7b6ce868ce30ac49e2521</v>
      </c>
      <c r="G1338" s="26" t="str">
        <f>IFERROR(__xludf.DUMMYFUNCTION("""COMPUTED_VALUE"""),"Bryan Le")</f>
        <v>Bryan Le</v>
      </c>
      <c r="H1338" s="26" t="b">
        <v>0</v>
      </c>
    </row>
    <row r="1339" hidden="1">
      <c r="A1339" s="26" t="str">
        <f>VLOOKUP(B1339,'2020 SRED (JIRA) - Issues and l'!$B:$C,2,FALSE)</f>
        <v>insite-workflow-SRED</v>
      </c>
      <c r="B1339" s="27" t="str">
        <f>IFERROR(__xludf.DUMMYFUNCTION("""COMPUTED_VALUE"""),"APPS-526")</f>
        <v>APPS-526</v>
      </c>
      <c r="C1339" s="26" t="str">
        <f>IFERROR(__xludf.DUMMYFUNCTION("""COMPUTED_VALUE"""),"Error with new custom requirements and add-ons/reductions not being added to cost fields in details view")</f>
        <v>Error with new custom requirements and add-ons/reductions not being added to cost fields in details view</v>
      </c>
      <c r="D1339" s="28">
        <f>IFERROR(__xludf.DUMMYFUNCTION("""COMPUTED_VALUE"""),7.0)</f>
        <v>7</v>
      </c>
      <c r="E1339" s="29">
        <f>IFERROR(__xludf.DUMMYFUNCTION("""COMPUTED_VALUE"""),44148.33333333333)</f>
        <v>44148.33333</v>
      </c>
      <c r="F1339" s="26" t="str">
        <f>IFERROR(__xludf.DUMMYFUNCTION("""COMPUTED_VALUE"""),"5ee7b6cf02b4400ac4b65399")</f>
        <v>5ee7b6cf02b4400ac4b65399</v>
      </c>
      <c r="G1339" s="26" t="str">
        <f>IFERROR(__xludf.DUMMYFUNCTION("""COMPUTED_VALUE"""),"Jessica Obando")</f>
        <v>Jessica Obando</v>
      </c>
      <c r="H1339" s="26" t="b">
        <v>0</v>
      </c>
    </row>
    <row r="1340">
      <c r="A1340" s="26" t="str">
        <f>VLOOKUP(B1340,'2020 SRED (JIRA) - Issues and l'!$B:$C,2,FALSE)</f>
        <v>insite-workflow-SRED</v>
      </c>
      <c r="B1340" s="27" t="str">
        <f>IFERROR(__xludf.DUMMYFUNCTION("""COMPUTED_VALUE"""),"APPS-510")</f>
        <v>APPS-510</v>
      </c>
      <c r="C1340" s="26" t="str">
        <f>IFERROR(__xludf.DUMMYFUNCTION("""COMPUTED_VALUE"""),"Improvements to internal review request email")</f>
        <v>Improvements to internal review request email</v>
      </c>
      <c r="D1340" s="28">
        <f>IFERROR(__xludf.DUMMYFUNCTION("""COMPUTED_VALUE"""),0.5)</f>
        <v>0.5</v>
      </c>
      <c r="E1340" s="29">
        <f>IFERROR(__xludf.DUMMYFUNCTION("""COMPUTED_VALUE"""),44148.35416666667)</f>
        <v>44148.35417</v>
      </c>
      <c r="F1340" s="26" t="str">
        <f>IFERROR(__xludf.DUMMYFUNCTION("""COMPUTED_VALUE"""),"557058:ed1ddc66-d84d-405c-a815-0fcc6147ba14")</f>
        <v>557058:ed1ddc66-d84d-405c-a815-0fcc6147ba14</v>
      </c>
      <c r="G1340" s="26" t="str">
        <f>IFERROR(__xludf.DUMMYFUNCTION("""COMPUTED_VALUE"""),"Mark Corrigan")</f>
        <v>Mark Corrigan</v>
      </c>
      <c r="H1340" s="26" t="b">
        <v>0</v>
      </c>
    </row>
    <row r="1341">
      <c r="A1341" s="26" t="str">
        <f>VLOOKUP(B1341,'2020 SRED (JIRA) - Issues and l'!$B:$C,2,FALSE)</f>
        <v>insite-workflow-SRED</v>
      </c>
      <c r="B1341" s="27" t="str">
        <f>IFERROR(__xludf.DUMMYFUNCTION("""COMPUTED_VALUE"""),"APPS-536")</f>
        <v>APPS-536</v>
      </c>
      <c r="C1341" s="26" t="str">
        <f>IFERROR(__xludf.DUMMYFUNCTION("""COMPUTED_VALUE"""),"As a salesperson, I can initiate key Sales Pipeline actions from Gmail")</f>
        <v>As a salesperson, I can initiate key Sales Pipeline actions from Gmail</v>
      </c>
      <c r="D1341" s="28">
        <f>IFERROR(__xludf.DUMMYFUNCTION("""COMPUTED_VALUE"""),0.5)</f>
        <v>0.5</v>
      </c>
      <c r="E1341" s="29">
        <f>IFERROR(__xludf.DUMMYFUNCTION("""COMPUTED_VALUE"""),44148.375)</f>
        <v>44148.375</v>
      </c>
      <c r="F1341" s="26" t="str">
        <f>IFERROR(__xludf.DUMMYFUNCTION("""COMPUTED_VALUE"""),"557058:ed1ddc66-d84d-405c-a815-0fcc6147ba14")</f>
        <v>557058:ed1ddc66-d84d-405c-a815-0fcc6147ba14</v>
      </c>
      <c r="G1341" s="26" t="str">
        <f>IFERROR(__xludf.DUMMYFUNCTION("""COMPUTED_VALUE"""),"Mark Corrigan")</f>
        <v>Mark Corrigan</v>
      </c>
      <c r="H1341" s="26" t="b">
        <v>0</v>
      </c>
    </row>
    <row r="1342">
      <c r="A1342" s="26" t="str">
        <f>VLOOKUP(B1342,'2020 SRED (JIRA) - Issues and l'!$B:$C,2,FALSE)</f>
        <v>insite-workflow-SRED</v>
      </c>
      <c r="B1342" s="27" t="str">
        <f>IFERROR(__xludf.DUMMYFUNCTION("""COMPUTED_VALUE"""),"APPS-10")</f>
        <v>APPS-10</v>
      </c>
      <c r="C1342" s="26" t="str">
        <f>IFERROR(__xludf.DUMMYFUNCTION("""COMPUTED_VALUE"""),"Sales Pipeline app (v1)")</f>
        <v>Sales Pipeline app (v1)</v>
      </c>
      <c r="D1342" s="28">
        <f>IFERROR(__xludf.DUMMYFUNCTION("""COMPUTED_VALUE"""),1.0)</f>
        <v>1</v>
      </c>
      <c r="E1342" s="29">
        <f>IFERROR(__xludf.DUMMYFUNCTION("""COMPUTED_VALUE"""),44148.39583333333)</f>
        <v>44148.39583</v>
      </c>
      <c r="F1342" s="26" t="str">
        <f>IFERROR(__xludf.DUMMYFUNCTION("""COMPUTED_VALUE"""),"557058:ed1ddc66-d84d-405c-a815-0fcc6147ba14")</f>
        <v>557058:ed1ddc66-d84d-405c-a815-0fcc6147ba14</v>
      </c>
      <c r="G1342" s="26" t="str">
        <f>IFERROR(__xludf.DUMMYFUNCTION("""COMPUTED_VALUE"""),"Mark Corrigan")</f>
        <v>Mark Corrigan</v>
      </c>
      <c r="H1342" s="26" t="b">
        <v>0</v>
      </c>
    </row>
    <row r="1343" hidden="1">
      <c r="A1343" s="26" t="str">
        <f>VLOOKUP(B1343,'2020 SRED (JIRA) - Issues and l'!$B:$C,2,FALSE)</f>
        <v>insite-workflow-SRED</v>
      </c>
      <c r="B1343" s="27" t="str">
        <f>IFERROR(__xludf.DUMMYFUNCTION("""COMPUTED_VALUE"""),"APPS-510")</f>
        <v>APPS-510</v>
      </c>
      <c r="C1343" s="26" t="str">
        <f>IFERROR(__xludf.DUMMYFUNCTION("""COMPUTED_VALUE"""),"Improvements to internal review request email")</f>
        <v>Improvements to internal review request email</v>
      </c>
      <c r="D1343" s="28">
        <f>IFERROR(__xludf.DUMMYFUNCTION("""COMPUTED_VALUE"""),2.0)</f>
        <v>2</v>
      </c>
      <c r="E1343" s="29">
        <f>IFERROR(__xludf.DUMMYFUNCTION("""COMPUTED_VALUE"""),44148.41666666667)</f>
        <v>44148.41667</v>
      </c>
      <c r="F1343" s="26" t="str">
        <f>IFERROR(__xludf.DUMMYFUNCTION("""COMPUTED_VALUE"""),"5ee7b6ce868ce30ac49e2521")</f>
        <v>5ee7b6ce868ce30ac49e2521</v>
      </c>
      <c r="G1343" s="26" t="str">
        <f>IFERROR(__xludf.DUMMYFUNCTION("""COMPUTED_VALUE"""),"Bryan Le")</f>
        <v>Bryan Le</v>
      </c>
      <c r="H1343" s="26" t="b">
        <v>0</v>
      </c>
    </row>
    <row r="1344">
      <c r="A1344" s="26" t="str">
        <f>VLOOKUP(B1344,'2020 SRED (JIRA) - Issues and l'!$B:$C,2,FALSE)</f>
        <v>insite-workflow-SRED</v>
      </c>
      <c r="B1344" s="27" t="str">
        <f>IFERROR(__xludf.DUMMYFUNCTION("""COMPUTED_VALUE"""),"APPS-535")</f>
        <v>APPS-535</v>
      </c>
      <c r="C1344" s="26" t="str">
        <f>IFERROR(__xludf.DUMMYFUNCTION("""COMPUTED_VALUE"""),"Update rollout processes for new products/service inclusions/pricing")</f>
        <v>Update rollout processes for new products/service inclusions/pricing</v>
      </c>
      <c r="D1344" s="28">
        <f>IFERROR(__xludf.DUMMYFUNCTION("""COMPUTED_VALUE"""),0.25)</f>
        <v>0.25</v>
      </c>
      <c r="E1344" s="29">
        <f>IFERROR(__xludf.DUMMYFUNCTION("""COMPUTED_VALUE"""),44148.4375)</f>
        <v>44148.4375</v>
      </c>
      <c r="F1344" s="26" t="str">
        <f>IFERROR(__xludf.DUMMYFUNCTION("""COMPUTED_VALUE"""),"557058:ed1ddc66-d84d-405c-a815-0fcc6147ba14")</f>
        <v>557058:ed1ddc66-d84d-405c-a815-0fcc6147ba14</v>
      </c>
      <c r="G1344" s="26" t="str">
        <f>IFERROR(__xludf.DUMMYFUNCTION("""COMPUTED_VALUE"""),"Mark Corrigan")</f>
        <v>Mark Corrigan</v>
      </c>
      <c r="H1344" s="26" t="b">
        <v>0</v>
      </c>
    </row>
    <row r="1345">
      <c r="A1345" s="26" t="str">
        <f>VLOOKUP(B1345,'2020 SRED (JIRA) - Issues and l'!$B:$C,2,FALSE)</f>
        <v>insite-workflow-SRED</v>
      </c>
      <c r="B1345" s="27" t="str">
        <f>IFERROR(__xludf.DUMMYFUNCTION("""COMPUTED_VALUE"""),"APPS-63")</f>
        <v>APPS-63</v>
      </c>
      <c r="C1345" s="26" t="str">
        <f>IFERROR(__xludf.DUMMYFUNCTION("""COMPUTED_VALUE"""),"Impetus Gmail add-on")</f>
        <v>Impetus Gmail add-on</v>
      </c>
      <c r="D1345" s="28">
        <f>IFERROR(__xludf.DUMMYFUNCTION("""COMPUTED_VALUE"""),1.0)</f>
        <v>1</v>
      </c>
      <c r="E1345" s="29">
        <f>IFERROR(__xludf.DUMMYFUNCTION("""COMPUTED_VALUE"""),44148.5)</f>
        <v>44148.5</v>
      </c>
      <c r="F1345" s="26" t="str">
        <f>IFERROR(__xludf.DUMMYFUNCTION("""COMPUTED_VALUE"""),"557058:ed1ddc66-d84d-405c-a815-0fcc6147ba14")</f>
        <v>557058:ed1ddc66-d84d-405c-a815-0fcc6147ba14</v>
      </c>
      <c r="G1345" s="26" t="str">
        <f>IFERROR(__xludf.DUMMYFUNCTION("""COMPUTED_VALUE"""),"Mark Corrigan")</f>
        <v>Mark Corrigan</v>
      </c>
      <c r="H1345" s="26" t="b">
        <v>0</v>
      </c>
    </row>
    <row r="1346" hidden="1">
      <c r="A1346" s="26" t="str">
        <f>VLOOKUP(B1346,'2020 SRED (JIRA) - Issues and l'!$B:$C,2,FALSE)</f>
        <v>insite-workflow-SRED</v>
      </c>
      <c r="B1346" s="27" t="str">
        <f>IFERROR(__xludf.DUMMYFUNCTION("""COMPUTED_VALUE"""),"APPS-526")</f>
        <v>APPS-526</v>
      </c>
      <c r="C1346" s="26" t="str">
        <f>IFERROR(__xludf.DUMMYFUNCTION("""COMPUTED_VALUE"""),"Error with new custom requirements and add-ons/reductions not being added to cost fields in details view")</f>
        <v>Error with new custom requirements and add-ons/reductions not being added to cost fields in details view</v>
      </c>
      <c r="D1346" s="28">
        <f>IFERROR(__xludf.DUMMYFUNCTION("""COMPUTED_VALUE"""),3.0)</f>
        <v>3</v>
      </c>
      <c r="E1346" s="29">
        <f>IFERROR(__xludf.DUMMYFUNCTION("""COMPUTED_VALUE"""),44148.5)</f>
        <v>44148.5</v>
      </c>
      <c r="F1346" s="26" t="str">
        <f>IFERROR(__xludf.DUMMYFUNCTION("""COMPUTED_VALUE"""),"5ee7b6ce868ce30ac49e2521")</f>
        <v>5ee7b6ce868ce30ac49e2521</v>
      </c>
      <c r="G1346" s="26" t="str">
        <f>IFERROR(__xludf.DUMMYFUNCTION("""COMPUTED_VALUE"""),"Bryan Le")</f>
        <v>Bryan Le</v>
      </c>
      <c r="H1346" s="26" t="b">
        <v>0</v>
      </c>
    </row>
    <row r="1347">
      <c r="A1347" s="26" t="str">
        <f>VLOOKUP(B1347,'2020 SRED (JIRA) - Issues and l'!$B:$C,2,FALSE)</f>
        <v>insite-workflow-SRED</v>
      </c>
      <c r="B1347" s="27" t="str">
        <f>IFERROR(__xludf.DUMMYFUNCTION("""COMPUTED_VALUE"""),"APPS-540")</f>
        <v>APPS-540</v>
      </c>
      <c r="C1347" s="26" t="str">
        <f>IFERROR(__xludf.DUMMYFUNCTION("""COMPUTED_VALUE"""),"Sample proposal test calculations")</f>
        <v>Sample proposal test calculations</v>
      </c>
      <c r="D1347" s="28">
        <f>IFERROR(__xludf.DUMMYFUNCTION("""COMPUTED_VALUE"""),0.25)</f>
        <v>0.25</v>
      </c>
      <c r="E1347" s="29">
        <f>IFERROR(__xludf.DUMMYFUNCTION("""COMPUTED_VALUE"""),44148.54166666667)</f>
        <v>44148.54167</v>
      </c>
      <c r="F1347" s="26" t="str">
        <f>IFERROR(__xludf.DUMMYFUNCTION("""COMPUTED_VALUE"""),"557058:ed1ddc66-d84d-405c-a815-0fcc6147ba14")</f>
        <v>557058:ed1ddc66-d84d-405c-a815-0fcc6147ba14</v>
      </c>
      <c r="G1347" s="26" t="str">
        <f>IFERROR(__xludf.DUMMYFUNCTION("""COMPUTED_VALUE"""),"Mark Corrigan")</f>
        <v>Mark Corrigan</v>
      </c>
      <c r="H1347" s="26" t="b">
        <v>0</v>
      </c>
    </row>
    <row r="1348">
      <c r="A1348" s="26" t="str">
        <f>VLOOKUP(B1348,'2020 SRED (JIRA) - Issues and l'!$B:$C,2,FALSE)</f>
        <v>insite-workflow-SRED</v>
      </c>
      <c r="B1348" s="27" t="str">
        <f>IFERROR(__xludf.DUMMYFUNCTION("""COMPUTED_VALUE"""),"APPS-388")</f>
        <v>APPS-388</v>
      </c>
      <c r="C1348" s="26" t="str">
        <f>IFERROR(__xludf.DUMMYFUNCTION("""COMPUTED_VALUE"""),"Cleanup tasks")</f>
        <v>Cleanup tasks</v>
      </c>
      <c r="D1348" s="28">
        <f>IFERROR(__xludf.DUMMYFUNCTION("""COMPUTED_VALUE"""),0.5)</f>
        <v>0.5</v>
      </c>
      <c r="E1348" s="29">
        <f>IFERROR(__xludf.DUMMYFUNCTION("""COMPUTED_VALUE"""),44148.63541666667)</f>
        <v>44148.63542</v>
      </c>
      <c r="F1348" s="26" t="str">
        <f>IFERROR(__xludf.DUMMYFUNCTION("""COMPUTED_VALUE"""),"557058:ed1ddc66-d84d-405c-a815-0fcc6147ba14")</f>
        <v>557058:ed1ddc66-d84d-405c-a815-0fcc6147ba14</v>
      </c>
      <c r="G1348" s="26" t="str">
        <f>IFERROR(__xludf.DUMMYFUNCTION("""COMPUTED_VALUE"""),"Mark Corrigan")</f>
        <v>Mark Corrigan</v>
      </c>
      <c r="H1348" s="26" t="b">
        <v>0</v>
      </c>
    </row>
    <row r="1349">
      <c r="A1349" s="26" t="str">
        <f>VLOOKUP(B1349,'2020 SRED (JIRA) - Issues and l'!$B:$C,2,FALSE)</f>
        <v>insite-workflow-SRED</v>
      </c>
      <c r="B1349" s="27" t="str">
        <f>IFERROR(__xludf.DUMMYFUNCTION("""COMPUTED_VALUE"""),"APPS-531")</f>
        <v>APPS-531</v>
      </c>
      <c r="C1349" s="26" t="str">
        <f>IFERROR(__xludf.DUMMYFUNCTION("""COMPUTED_VALUE"""),"Warning for events scheduled on weekends and holidays")</f>
        <v>Warning for events scheduled on weekends and holidays</v>
      </c>
      <c r="D1349" s="28">
        <f>IFERROR(__xludf.DUMMYFUNCTION("""COMPUTED_VALUE"""),0.25)</f>
        <v>0.25</v>
      </c>
      <c r="E1349" s="29">
        <f>IFERROR(__xludf.DUMMYFUNCTION("""COMPUTED_VALUE"""),44148.66666666667)</f>
        <v>44148.66667</v>
      </c>
      <c r="F1349" s="26" t="str">
        <f>IFERROR(__xludf.DUMMYFUNCTION("""COMPUTED_VALUE"""),"557058:ed1ddc66-d84d-405c-a815-0fcc6147ba14")</f>
        <v>557058:ed1ddc66-d84d-405c-a815-0fcc6147ba14</v>
      </c>
      <c r="G1349" s="26" t="str">
        <f>IFERROR(__xludf.DUMMYFUNCTION("""COMPUTED_VALUE"""),"Mark Corrigan")</f>
        <v>Mark Corrigan</v>
      </c>
      <c r="H1349" s="26" t="b">
        <v>0</v>
      </c>
    </row>
    <row r="1350" hidden="1">
      <c r="A1350" s="26" t="str">
        <f>VLOOKUP(B1350,'2020 SRED (JIRA) - Issues and l'!$B:$C,2,FALSE)</f>
        <v>insite-workflow-SRED</v>
      </c>
      <c r="B1350" s="27" t="str">
        <f>IFERROR(__xludf.DUMMYFUNCTION("""COMPUTED_VALUE"""),"APPS-536")</f>
        <v>APPS-536</v>
      </c>
      <c r="C1350" s="26" t="str">
        <f>IFERROR(__xludf.DUMMYFUNCTION("""COMPUTED_VALUE"""),"As a salesperson, I can initiate key Sales Pipeline actions from Gmail")</f>
        <v>As a salesperson, I can initiate key Sales Pipeline actions from Gmail</v>
      </c>
      <c r="D1350" s="28">
        <f>IFERROR(__xludf.DUMMYFUNCTION("""COMPUTED_VALUE"""),4.0)</f>
        <v>4</v>
      </c>
      <c r="E1350" s="29">
        <f>IFERROR(__xludf.DUMMYFUNCTION("""COMPUTED_VALUE"""),44151.33333333333)</f>
        <v>44151.33333</v>
      </c>
      <c r="F1350" s="26" t="str">
        <f>IFERROR(__xludf.DUMMYFUNCTION("""COMPUTED_VALUE"""),"5ee7b6ce868ce30ac49e2521")</f>
        <v>5ee7b6ce868ce30ac49e2521</v>
      </c>
      <c r="G1350" s="26" t="str">
        <f>IFERROR(__xludf.DUMMYFUNCTION("""COMPUTED_VALUE"""),"Bryan Le")</f>
        <v>Bryan Le</v>
      </c>
      <c r="H1350" s="26" t="b">
        <v>0</v>
      </c>
    </row>
    <row r="1351" hidden="1">
      <c r="A1351" s="26" t="str">
        <f>VLOOKUP(B1351,'2020 SRED (JIRA) - Issues and l'!$B:$C,2,FALSE)</f>
        <v>insite-workflow-SRED</v>
      </c>
      <c r="B1351" s="27" t="str">
        <f>IFERROR(__xludf.DUMMYFUNCTION("""COMPUTED_VALUE"""),"APPS-526")</f>
        <v>APPS-526</v>
      </c>
      <c r="C1351" s="26" t="str">
        <f>IFERROR(__xludf.DUMMYFUNCTION("""COMPUTED_VALUE"""),"Error with new custom requirements and add-ons/reductions not being added to cost fields in details view")</f>
        <v>Error with new custom requirements and add-ons/reductions not being added to cost fields in details view</v>
      </c>
      <c r="D1351" s="28">
        <f>IFERROR(__xludf.DUMMYFUNCTION("""COMPUTED_VALUE"""),7.0)</f>
        <v>7</v>
      </c>
      <c r="E1351" s="29">
        <f>IFERROR(__xludf.DUMMYFUNCTION("""COMPUTED_VALUE"""),44151.33333333333)</f>
        <v>44151.33333</v>
      </c>
      <c r="F1351" s="26" t="str">
        <f>IFERROR(__xludf.DUMMYFUNCTION("""COMPUTED_VALUE"""),"5ee7b6cf02b4400ac4b65399")</f>
        <v>5ee7b6cf02b4400ac4b65399</v>
      </c>
      <c r="G1351" s="26" t="str">
        <f>IFERROR(__xludf.DUMMYFUNCTION("""COMPUTED_VALUE"""),"Jessica Obando")</f>
        <v>Jessica Obando</v>
      </c>
      <c r="H1351" s="26" t="b">
        <v>0</v>
      </c>
    </row>
    <row r="1352">
      <c r="A1352" s="26" t="str">
        <f>VLOOKUP(B1352,'2020 SRED (JIRA) - Issues and l'!$B:$C,2,FALSE)</f>
        <v>insite-mapping-SRED</v>
      </c>
      <c r="B1352" s="27" t="str">
        <f>IFERROR(__xludf.DUMMYFUNCTION("""COMPUTED_VALUE"""),"IM-516")</f>
        <v>IM-516</v>
      </c>
      <c r="C1352" s="26" t="str">
        <f>IFERROR(__xludf.DUMMYFUNCTION("""COMPUTED_VALUE"""),"New Space for InSite Mapping™")</f>
        <v>New Space for InSite Mapping™</v>
      </c>
      <c r="D1352" s="28">
        <f>IFERROR(__xludf.DUMMYFUNCTION("""COMPUTED_VALUE"""),1.0)</f>
        <v>1</v>
      </c>
      <c r="E1352" s="29">
        <f>IFERROR(__xludf.DUMMYFUNCTION("""COMPUTED_VALUE"""),44151.38541666667)</f>
        <v>44151.38542</v>
      </c>
      <c r="F1352" s="26" t="str">
        <f>IFERROR(__xludf.DUMMYFUNCTION("""COMPUTED_VALUE"""),"557058:ed1ddc66-d84d-405c-a815-0fcc6147ba14")</f>
        <v>557058:ed1ddc66-d84d-405c-a815-0fcc6147ba14</v>
      </c>
      <c r="G1352" s="26" t="str">
        <f>IFERROR(__xludf.DUMMYFUNCTION("""COMPUTED_VALUE"""),"Mark Corrigan")</f>
        <v>Mark Corrigan</v>
      </c>
      <c r="H1352" s="26" t="b">
        <v>0</v>
      </c>
    </row>
    <row r="1353">
      <c r="A1353" s="26" t="str">
        <f>VLOOKUP(B1353,'2020 SRED (JIRA) - Issues and l'!$B:$C,2,FALSE)</f>
        <v>insite-workflow-SRED</v>
      </c>
      <c r="B1353" s="27" t="str">
        <f>IFERROR(__xludf.DUMMYFUNCTION("""COMPUTED_VALUE"""),"APPS-10")</f>
        <v>APPS-10</v>
      </c>
      <c r="C1353" s="26" t="str">
        <f>IFERROR(__xludf.DUMMYFUNCTION("""COMPUTED_VALUE"""),"Sales Pipeline app (v1)")</f>
        <v>Sales Pipeline app (v1)</v>
      </c>
      <c r="D1353" s="28">
        <f>IFERROR(__xludf.DUMMYFUNCTION("""COMPUTED_VALUE"""),2.5)</f>
        <v>2.5</v>
      </c>
      <c r="E1353" s="29">
        <f>IFERROR(__xludf.DUMMYFUNCTION("""COMPUTED_VALUE"""),44151.45833333333)</f>
        <v>44151.45833</v>
      </c>
      <c r="F1353" s="26" t="str">
        <f>IFERROR(__xludf.DUMMYFUNCTION("""COMPUTED_VALUE"""),"557058:ed1ddc66-d84d-405c-a815-0fcc6147ba14")</f>
        <v>557058:ed1ddc66-d84d-405c-a815-0fcc6147ba14</v>
      </c>
      <c r="G1353" s="26" t="str">
        <f>IFERROR(__xludf.DUMMYFUNCTION("""COMPUTED_VALUE"""),"Mark Corrigan")</f>
        <v>Mark Corrigan</v>
      </c>
      <c r="H1353" s="26" t="b">
        <v>0</v>
      </c>
    </row>
    <row r="1354" hidden="1">
      <c r="A1354" s="26" t="str">
        <f>VLOOKUP(B1354,'2020 SRED (JIRA) - Issues and l'!$B:$C,2,FALSE)</f>
        <v>insite-workflow-SRED</v>
      </c>
      <c r="B1354" s="27" t="str">
        <f>IFERROR(__xludf.DUMMYFUNCTION("""COMPUTED_VALUE"""),"APPS-526")</f>
        <v>APPS-526</v>
      </c>
      <c r="C1354" s="26" t="str">
        <f>IFERROR(__xludf.DUMMYFUNCTION("""COMPUTED_VALUE"""),"Error with new custom requirements and add-ons/reductions not being added to cost fields in details view")</f>
        <v>Error with new custom requirements and add-ons/reductions not being added to cost fields in details view</v>
      </c>
      <c r="D1354" s="28">
        <f>IFERROR(__xludf.DUMMYFUNCTION("""COMPUTED_VALUE"""),3.0)</f>
        <v>3</v>
      </c>
      <c r="E1354" s="29">
        <f>IFERROR(__xludf.DUMMYFUNCTION("""COMPUTED_VALUE"""),44151.5)</f>
        <v>44151.5</v>
      </c>
      <c r="F1354" s="26" t="str">
        <f>IFERROR(__xludf.DUMMYFUNCTION("""COMPUTED_VALUE"""),"5ee7b6ce868ce30ac49e2521")</f>
        <v>5ee7b6ce868ce30ac49e2521</v>
      </c>
      <c r="G1354" s="26" t="str">
        <f>IFERROR(__xludf.DUMMYFUNCTION("""COMPUTED_VALUE"""),"Bryan Le")</f>
        <v>Bryan Le</v>
      </c>
      <c r="H1354" s="26" t="b">
        <v>0</v>
      </c>
    </row>
    <row r="1355">
      <c r="A1355" s="26" t="str">
        <f>VLOOKUP(B1355,'2020 SRED (JIRA) - Issues and l'!$B:$C,2,FALSE)</f>
        <v>insite-workflow-SRED</v>
      </c>
      <c r="B1355" s="27" t="str">
        <f>IFERROR(__xludf.DUMMYFUNCTION("""COMPUTED_VALUE"""),"APPS-388")</f>
        <v>APPS-388</v>
      </c>
      <c r="C1355" s="26" t="str">
        <f>IFERROR(__xludf.DUMMYFUNCTION("""COMPUTED_VALUE"""),"Cleanup tasks")</f>
        <v>Cleanup tasks</v>
      </c>
      <c r="D1355" s="28">
        <f>IFERROR(__xludf.DUMMYFUNCTION("""COMPUTED_VALUE"""),0.5)</f>
        <v>0.5</v>
      </c>
      <c r="E1355" s="29">
        <f>IFERROR(__xludf.DUMMYFUNCTION("""COMPUTED_VALUE"""),44151.54166666667)</f>
        <v>44151.54167</v>
      </c>
      <c r="F1355" s="26" t="str">
        <f>IFERROR(__xludf.DUMMYFUNCTION("""COMPUTED_VALUE"""),"557058:ed1ddc66-d84d-405c-a815-0fcc6147ba14")</f>
        <v>557058:ed1ddc66-d84d-405c-a815-0fcc6147ba14</v>
      </c>
      <c r="G1355" s="26" t="str">
        <f>IFERROR(__xludf.DUMMYFUNCTION("""COMPUTED_VALUE"""),"Mark Corrigan")</f>
        <v>Mark Corrigan</v>
      </c>
      <c r="H1355" s="26" t="b">
        <v>0</v>
      </c>
    </row>
    <row r="1356" hidden="1">
      <c r="A1356" s="26" t="str">
        <f>VLOOKUP(B1356,'2020 SRED (JIRA) - Issues and l'!$B:$C,2,FALSE)</f>
        <v>portal-builder-SRED</v>
      </c>
      <c r="B1356" s="27" t="str">
        <f>IFERROR(__xludf.DUMMYFUNCTION("""COMPUTED_VALUE"""),"ITP-1877")</f>
        <v>ITP-1877</v>
      </c>
      <c r="C1356" s="26" t="str">
        <f>IFERROR(__xludf.DUMMYFUNCTION("""COMPUTED_VALUE"""),"TP builder makes pages with section titles longer than allowed character limit ")</f>
        <v>TP builder makes pages with section titles longer than allowed character limit </v>
      </c>
      <c r="D1356" s="28">
        <f>IFERROR(__xludf.DUMMYFUNCTION("""COMPUTED_VALUE"""),0.25)</f>
        <v>0.25</v>
      </c>
      <c r="E1356" s="29">
        <f>IFERROR(__xludf.DUMMYFUNCTION("""COMPUTED_VALUE"""),44151.66666666667)</f>
        <v>44151.66667</v>
      </c>
      <c r="F1356" s="26" t="str">
        <f>IFERROR(__xludf.DUMMYFUNCTION("""COMPUTED_VALUE"""),"557058:3124a1f0-e92a-405c-93f2-c1d4e621bc77")</f>
        <v>557058:3124a1f0-e92a-405c-93f2-c1d4e621bc77</v>
      </c>
      <c r="G1356" s="26" t="str">
        <f>IFERROR(__xludf.DUMMYFUNCTION("""COMPUTED_VALUE"""),"Trevor Coehoorn")</f>
        <v>Trevor Coehoorn</v>
      </c>
      <c r="H1356" s="26" t="b">
        <v>0</v>
      </c>
    </row>
    <row r="1357" hidden="1">
      <c r="A1357" s="26" t="str">
        <f>VLOOKUP(B1357,'2020 SRED (JIRA) - Issues and l'!$B:$C,2,FALSE)</f>
        <v>insite-workflow-SRED</v>
      </c>
      <c r="B1357" s="27" t="str">
        <f>IFERROR(__xludf.DUMMYFUNCTION("""COMPUTED_VALUE"""),"APPS-536")</f>
        <v>APPS-536</v>
      </c>
      <c r="C1357" s="26" t="str">
        <f>IFERROR(__xludf.DUMMYFUNCTION("""COMPUTED_VALUE"""),"As a salesperson, I can initiate key Sales Pipeline actions from Gmail")</f>
        <v>As a salesperson, I can initiate key Sales Pipeline actions from Gmail</v>
      </c>
      <c r="D1357" s="28">
        <f>IFERROR(__xludf.DUMMYFUNCTION("""COMPUTED_VALUE"""),6.0)</f>
        <v>6</v>
      </c>
      <c r="E1357" s="29">
        <f>IFERROR(__xludf.DUMMYFUNCTION("""COMPUTED_VALUE"""),44152.33333333333)</f>
        <v>44152.33333</v>
      </c>
      <c r="F1357" s="26" t="str">
        <f>IFERROR(__xludf.DUMMYFUNCTION("""COMPUTED_VALUE"""),"5ee7b6ce868ce30ac49e2521")</f>
        <v>5ee7b6ce868ce30ac49e2521</v>
      </c>
      <c r="G1357" s="26" t="str">
        <f>IFERROR(__xludf.DUMMYFUNCTION("""COMPUTED_VALUE"""),"Bryan Le")</f>
        <v>Bryan Le</v>
      </c>
      <c r="H1357" s="26" t="b">
        <v>0</v>
      </c>
    </row>
    <row r="1358" hidden="1">
      <c r="A1358" s="26" t="str">
        <f>VLOOKUP(B1358,'2020 SRED (JIRA) - Issues and l'!$B:$C,2,FALSE)</f>
        <v>insite-workflow-SRED</v>
      </c>
      <c r="B1358" s="27" t="str">
        <f>IFERROR(__xludf.DUMMYFUNCTION("""COMPUTED_VALUE"""),"APPS-541")</f>
        <v>APPS-541</v>
      </c>
      <c r="C1358" s="26" t="str">
        <f>IFERROR(__xludf.DUMMYFUNCTION("""COMPUTED_VALUE"""),"As a salesperson, I can increase the total cost of touchpoint service costs by a % rate")</f>
        <v>As a salesperson, I can increase the total cost of touchpoint service costs by a % rate</v>
      </c>
      <c r="D1358" s="28">
        <f>IFERROR(__xludf.DUMMYFUNCTION("""COMPUTED_VALUE"""),7.0)</f>
        <v>7</v>
      </c>
      <c r="E1358" s="29">
        <f>IFERROR(__xludf.DUMMYFUNCTION("""COMPUTED_VALUE"""),44152.33333333333)</f>
        <v>44152.33333</v>
      </c>
      <c r="F1358" s="26" t="str">
        <f>IFERROR(__xludf.DUMMYFUNCTION("""COMPUTED_VALUE"""),"5ee7b6cf02b4400ac4b65399")</f>
        <v>5ee7b6cf02b4400ac4b65399</v>
      </c>
      <c r="G1358" s="26" t="str">
        <f>IFERROR(__xludf.DUMMYFUNCTION("""COMPUTED_VALUE"""),"Jessica Obando")</f>
        <v>Jessica Obando</v>
      </c>
      <c r="H1358" s="26" t="b">
        <v>0</v>
      </c>
    </row>
    <row r="1359" hidden="1">
      <c r="A1359" s="26" t="str">
        <f>VLOOKUP(B1359,'2020 SRED (JIRA) - Issues and l'!$B:$C,2,FALSE)</f>
        <v>portal-builder-SRED</v>
      </c>
      <c r="B1359" s="27" t="str">
        <f>IFERROR(__xludf.DUMMYFUNCTION("""COMPUTED_VALUE"""),"ITP-1877")</f>
        <v>ITP-1877</v>
      </c>
      <c r="C1359" s="26" t="str">
        <f>IFERROR(__xludf.DUMMYFUNCTION("""COMPUTED_VALUE"""),"TP builder makes pages with section titles longer than allowed character limit ")</f>
        <v>TP builder makes pages with section titles longer than allowed character limit </v>
      </c>
      <c r="D1359" s="28">
        <f>IFERROR(__xludf.DUMMYFUNCTION("""COMPUTED_VALUE"""),0.25)</f>
        <v>0.25</v>
      </c>
      <c r="E1359" s="29">
        <f>IFERROR(__xludf.DUMMYFUNCTION("""COMPUTED_VALUE"""),44152.35416666667)</f>
        <v>44152.35417</v>
      </c>
      <c r="F1359" s="26" t="str">
        <f>IFERROR(__xludf.DUMMYFUNCTION("""COMPUTED_VALUE"""),"5f5125a6333edb00434bffaf")</f>
        <v>5f5125a6333edb00434bffaf</v>
      </c>
      <c r="G1359" s="26" t="str">
        <f>IFERROR(__xludf.DUMMYFUNCTION("""COMPUTED_VALUE"""),"Terry Waldner")</f>
        <v>Terry Waldner</v>
      </c>
      <c r="H1359" s="26" t="b">
        <v>0</v>
      </c>
    </row>
    <row r="1360">
      <c r="A1360" s="26" t="str">
        <f>VLOOKUP(B1360,'2020 SRED (JIRA) - Issues and l'!$B:$C,2,FALSE)</f>
        <v>insite-workflow-SRED</v>
      </c>
      <c r="B1360" s="27" t="str">
        <f>IFERROR(__xludf.DUMMYFUNCTION("""COMPUTED_VALUE"""),"APPS-176")</f>
        <v>APPS-176</v>
      </c>
      <c r="C1360" s="26" t="str">
        <f>IFERROR(__xludf.DUMMYFUNCTION("""COMPUTED_VALUE"""),"Sales Pipeline app (v2)")</f>
        <v>Sales Pipeline app (v2)</v>
      </c>
      <c r="D1360" s="28">
        <f>IFERROR(__xludf.DUMMYFUNCTION("""COMPUTED_VALUE"""),0.25)</f>
        <v>0.25</v>
      </c>
      <c r="E1360" s="29">
        <f>IFERROR(__xludf.DUMMYFUNCTION("""COMPUTED_VALUE"""),44152.375)</f>
        <v>44152.375</v>
      </c>
      <c r="F1360" s="26" t="str">
        <f>IFERROR(__xludf.DUMMYFUNCTION("""COMPUTED_VALUE"""),"557058:ed1ddc66-d84d-405c-a815-0fcc6147ba14")</f>
        <v>557058:ed1ddc66-d84d-405c-a815-0fcc6147ba14</v>
      </c>
      <c r="G1360" s="26" t="str">
        <f>IFERROR(__xludf.DUMMYFUNCTION("""COMPUTED_VALUE"""),"Mark Corrigan")</f>
        <v>Mark Corrigan</v>
      </c>
      <c r="H1360" s="26" t="b">
        <v>0</v>
      </c>
    </row>
    <row r="1361">
      <c r="A1361" s="26" t="str">
        <f>VLOOKUP(B1361,'2020 SRED (JIRA) - Issues and l'!$B:$C,2,FALSE)</f>
        <v>insite-mapping-SRED</v>
      </c>
      <c r="B1361" s="27" t="str">
        <f>IFERROR(__xludf.DUMMYFUNCTION("""COMPUTED_VALUE"""),"IM-516")</f>
        <v>IM-516</v>
      </c>
      <c r="C1361" s="26" t="str">
        <f>IFERROR(__xludf.DUMMYFUNCTION("""COMPUTED_VALUE"""),"New Space for InSite Mapping™")</f>
        <v>New Space for InSite Mapping™</v>
      </c>
      <c r="D1361" s="28">
        <f>IFERROR(__xludf.DUMMYFUNCTION("""COMPUTED_VALUE"""),0.25)</f>
        <v>0.25</v>
      </c>
      <c r="E1361" s="29">
        <f>IFERROR(__xludf.DUMMYFUNCTION("""COMPUTED_VALUE"""),44152.4375)</f>
        <v>44152.4375</v>
      </c>
      <c r="F1361" s="26" t="str">
        <f>IFERROR(__xludf.DUMMYFUNCTION("""COMPUTED_VALUE"""),"557058:ed1ddc66-d84d-405c-a815-0fcc6147ba14")</f>
        <v>557058:ed1ddc66-d84d-405c-a815-0fcc6147ba14</v>
      </c>
      <c r="G1361" s="26" t="str">
        <f>IFERROR(__xludf.DUMMYFUNCTION("""COMPUTED_VALUE"""),"Mark Corrigan")</f>
        <v>Mark Corrigan</v>
      </c>
      <c r="H1361" s="26" t="b">
        <v>0</v>
      </c>
    </row>
    <row r="1362">
      <c r="A1362" s="26" t="str">
        <f>VLOOKUP(B1362,'2020 SRED (JIRA) - Issues and l'!$B:$C,2,FALSE)</f>
        <v>insite-workflow-SRED</v>
      </c>
      <c r="B1362" s="27" t="str">
        <f>IFERROR(__xludf.DUMMYFUNCTION("""COMPUTED_VALUE"""),"APPS-63")</f>
        <v>APPS-63</v>
      </c>
      <c r="C1362" s="26" t="str">
        <f>IFERROR(__xludf.DUMMYFUNCTION("""COMPUTED_VALUE"""),"Impetus Gmail add-on")</f>
        <v>Impetus Gmail add-on</v>
      </c>
      <c r="D1362" s="28">
        <f>IFERROR(__xludf.DUMMYFUNCTION("""COMPUTED_VALUE"""),0.5)</f>
        <v>0.5</v>
      </c>
      <c r="E1362" s="29">
        <f>IFERROR(__xludf.DUMMYFUNCTION("""COMPUTED_VALUE"""),44152.46875)</f>
        <v>44152.46875</v>
      </c>
      <c r="F1362" s="26" t="str">
        <f>IFERROR(__xludf.DUMMYFUNCTION("""COMPUTED_VALUE"""),"557058:ed1ddc66-d84d-405c-a815-0fcc6147ba14")</f>
        <v>557058:ed1ddc66-d84d-405c-a815-0fcc6147ba14</v>
      </c>
      <c r="G1362" s="26" t="str">
        <f>IFERROR(__xludf.DUMMYFUNCTION("""COMPUTED_VALUE"""),"Mark Corrigan")</f>
        <v>Mark Corrigan</v>
      </c>
      <c r="H1362" s="26" t="b">
        <v>0</v>
      </c>
    </row>
    <row r="1363">
      <c r="A1363" s="26" t="str">
        <f>VLOOKUP(B1363,'2020 SRED (JIRA) - Issues and l'!$B:$C,2,FALSE)</f>
        <v>insite-workflow-SRED</v>
      </c>
      <c r="B1363" s="27" t="str">
        <f>IFERROR(__xludf.DUMMYFUNCTION("""COMPUTED_VALUE"""),"APPS-505")</f>
        <v>APPS-505</v>
      </c>
      <c r="C1363" s="26" t="str">
        <f>IFERROR(__xludf.DUMMYFUNCTION("""COMPUTED_VALUE"""),"As a salesperson, I can specify portal hosting duration for each proposal")</f>
        <v>As a salesperson, I can specify portal hosting duration for each proposal</v>
      </c>
      <c r="D1363" s="28">
        <f>IFERROR(__xludf.DUMMYFUNCTION("""COMPUTED_VALUE"""),0.5)</f>
        <v>0.5</v>
      </c>
      <c r="E1363" s="29">
        <f>IFERROR(__xludf.DUMMYFUNCTION("""COMPUTED_VALUE"""),44152.52083333333)</f>
        <v>44152.52083</v>
      </c>
      <c r="F1363" s="26" t="str">
        <f>IFERROR(__xludf.DUMMYFUNCTION("""COMPUTED_VALUE"""),"557058:ed1ddc66-d84d-405c-a815-0fcc6147ba14")</f>
        <v>557058:ed1ddc66-d84d-405c-a815-0fcc6147ba14</v>
      </c>
      <c r="G1363" s="26" t="str">
        <f>IFERROR(__xludf.DUMMYFUNCTION("""COMPUTED_VALUE"""),"Mark Corrigan")</f>
        <v>Mark Corrigan</v>
      </c>
      <c r="H1363" s="26" t="b">
        <v>0</v>
      </c>
    </row>
    <row r="1364">
      <c r="A1364" s="26" t="str">
        <f>VLOOKUP(B1364,'2020 SRED (JIRA) - Issues and l'!$B:$C,2,FALSE)</f>
        <v>insite-workflow-SRED</v>
      </c>
      <c r="B1364" s="27" t="str">
        <f>IFERROR(__xludf.DUMMYFUNCTION("""COMPUTED_VALUE"""),"APPS-531")</f>
        <v>APPS-531</v>
      </c>
      <c r="C1364" s="26" t="str">
        <f>IFERROR(__xludf.DUMMYFUNCTION("""COMPUTED_VALUE"""),"Warning for events scheduled on weekends and holidays")</f>
        <v>Warning for events scheduled on weekends and holidays</v>
      </c>
      <c r="D1364" s="28">
        <f>IFERROR(__xludf.DUMMYFUNCTION("""COMPUTED_VALUE"""),0.25)</f>
        <v>0.25</v>
      </c>
      <c r="E1364" s="29">
        <f>IFERROR(__xludf.DUMMYFUNCTION("""COMPUTED_VALUE"""),44152.54166666667)</f>
        <v>44152.54167</v>
      </c>
      <c r="F1364" s="26" t="str">
        <f>IFERROR(__xludf.DUMMYFUNCTION("""COMPUTED_VALUE"""),"557058:ed1ddc66-d84d-405c-a815-0fcc6147ba14")</f>
        <v>557058:ed1ddc66-d84d-405c-a815-0fcc6147ba14</v>
      </c>
      <c r="G1364" s="26" t="str">
        <f>IFERROR(__xludf.DUMMYFUNCTION("""COMPUTED_VALUE"""),"Mark Corrigan")</f>
        <v>Mark Corrigan</v>
      </c>
      <c r="H1364" s="26" t="b">
        <v>0</v>
      </c>
    </row>
    <row r="1365">
      <c r="A1365" s="26" t="str">
        <f>VLOOKUP(B1365,'2020 SRED (JIRA) - Issues and l'!$B:$C,2,FALSE)</f>
        <v>insite-workflow-SRED</v>
      </c>
      <c r="B1365" s="27" t="str">
        <f>IFERROR(__xludf.DUMMYFUNCTION("""COMPUTED_VALUE"""),"APPS-10")</f>
        <v>APPS-10</v>
      </c>
      <c r="C1365" s="26" t="str">
        <f>IFERROR(__xludf.DUMMYFUNCTION("""COMPUTED_VALUE"""),"Sales Pipeline app (v1)")</f>
        <v>Sales Pipeline app (v1)</v>
      </c>
      <c r="D1365" s="28">
        <f>IFERROR(__xludf.DUMMYFUNCTION("""COMPUTED_VALUE"""),3.0)</f>
        <v>3</v>
      </c>
      <c r="E1365" s="29">
        <f>IFERROR(__xludf.DUMMYFUNCTION("""COMPUTED_VALUE"""),44152.60416666667)</f>
        <v>44152.60417</v>
      </c>
      <c r="F1365" s="26" t="str">
        <f>IFERROR(__xludf.DUMMYFUNCTION("""COMPUTED_VALUE"""),"557058:ed1ddc66-d84d-405c-a815-0fcc6147ba14")</f>
        <v>557058:ed1ddc66-d84d-405c-a815-0fcc6147ba14</v>
      </c>
      <c r="G1365" s="26" t="str">
        <f>IFERROR(__xludf.DUMMYFUNCTION("""COMPUTED_VALUE"""),"Mark Corrigan")</f>
        <v>Mark Corrigan</v>
      </c>
      <c r="H1365" s="26" t="b">
        <v>0</v>
      </c>
    </row>
    <row r="1366" hidden="1">
      <c r="A1366" s="26" t="str">
        <f>VLOOKUP(B1366,'2020 SRED (JIRA) - Issues and l'!$B:$C,2,FALSE)</f>
        <v>insite-mapping-SRED</v>
      </c>
      <c r="B1366" s="27" t="str">
        <f>IFERROR(__xludf.DUMMYFUNCTION("""COMPUTED_VALUE"""),"IM-516")</f>
        <v>IM-516</v>
      </c>
      <c r="C1366" s="26" t="str">
        <f>IFERROR(__xludf.DUMMYFUNCTION("""COMPUTED_VALUE"""),"New Space for InSite Mapping™")</f>
        <v>New Space for InSite Mapping™</v>
      </c>
      <c r="D1366" s="28">
        <f>IFERROR(__xludf.DUMMYFUNCTION("""COMPUTED_VALUE"""),0.5)</f>
        <v>0.5</v>
      </c>
      <c r="E1366" s="29">
        <f>IFERROR(__xludf.DUMMYFUNCTION("""COMPUTED_VALUE"""),44152.6875)</f>
        <v>44152.6875</v>
      </c>
      <c r="F1366" s="26" t="str">
        <f>IFERROR(__xludf.DUMMYFUNCTION("""COMPUTED_VALUE"""),"5b8040c6cd0cc72a612ca6fd")</f>
        <v>5b8040c6cd0cc72a612ca6fd</v>
      </c>
      <c r="G1366" s="26" t="str">
        <f>IFERROR(__xludf.DUMMYFUNCTION("""COMPUTED_VALUE"""),"Cecilia Petrus")</f>
        <v>Cecilia Petrus</v>
      </c>
      <c r="H1366" s="26" t="b">
        <v>0</v>
      </c>
    </row>
    <row r="1367" hidden="1">
      <c r="A1367" s="26" t="str">
        <f>VLOOKUP(B1367,'2020 SRED (JIRA) - Issues and l'!$B:$C,2,FALSE)</f>
        <v>insite-workflow-SRED</v>
      </c>
      <c r="B1367" s="27" t="str">
        <f>IFERROR(__xludf.DUMMYFUNCTION("""COMPUTED_VALUE"""),"APPS-536")</f>
        <v>APPS-536</v>
      </c>
      <c r="C1367" s="26" t="str">
        <f>IFERROR(__xludf.DUMMYFUNCTION("""COMPUTED_VALUE"""),"As a salesperson, I can initiate key Sales Pipeline actions from Gmail")</f>
        <v>As a salesperson, I can initiate key Sales Pipeline actions from Gmail</v>
      </c>
      <c r="D1367" s="28">
        <f>IFERROR(__xludf.DUMMYFUNCTION("""COMPUTED_VALUE"""),4.0)</f>
        <v>4</v>
      </c>
      <c r="E1367" s="29">
        <f>IFERROR(__xludf.DUMMYFUNCTION("""COMPUTED_VALUE"""),44153.33333333333)</f>
        <v>44153.33333</v>
      </c>
      <c r="F1367" s="26" t="str">
        <f>IFERROR(__xludf.DUMMYFUNCTION("""COMPUTED_VALUE"""),"5ee7b6ce868ce30ac49e2521")</f>
        <v>5ee7b6ce868ce30ac49e2521</v>
      </c>
      <c r="G1367" s="26" t="str">
        <f>IFERROR(__xludf.DUMMYFUNCTION("""COMPUTED_VALUE"""),"Bryan Le")</f>
        <v>Bryan Le</v>
      </c>
      <c r="H1367" s="26" t="b">
        <v>0</v>
      </c>
    </row>
    <row r="1368" hidden="1">
      <c r="A1368" s="26" t="str">
        <f>VLOOKUP(B1368,'2020 SRED (JIRA) - Issues and l'!$B:$C,2,FALSE)</f>
        <v>insite-workflow-SRED</v>
      </c>
      <c r="B1368" s="27" t="str">
        <f>IFERROR(__xludf.DUMMYFUNCTION("""COMPUTED_VALUE"""),"APPS-510")</f>
        <v>APPS-510</v>
      </c>
      <c r="C1368" s="26" t="str">
        <f>IFERROR(__xludf.DUMMYFUNCTION("""COMPUTED_VALUE"""),"Improvements to internal review request email")</f>
        <v>Improvements to internal review request email</v>
      </c>
      <c r="D1368" s="28">
        <f>IFERROR(__xludf.DUMMYFUNCTION("""COMPUTED_VALUE"""),1.5)</f>
        <v>1.5</v>
      </c>
      <c r="E1368" s="29">
        <f>IFERROR(__xludf.DUMMYFUNCTION("""COMPUTED_VALUE"""),44153.33333333333)</f>
        <v>44153.33333</v>
      </c>
      <c r="F1368" s="26" t="str">
        <f>IFERROR(__xludf.DUMMYFUNCTION("""COMPUTED_VALUE"""),"5ee7b6ce868ce30ac49e2521")</f>
        <v>5ee7b6ce868ce30ac49e2521</v>
      </c>
      <c r="G1368" s="26" t="str">
        <f>IFERROR(__xludf.DUMMYFUNCTION("""COMPUTED_VALUE"""),"Bryan Le")</f>
        <v>Bryan Le</v>
      </c>
      <c r="H1368" s="26" t="b">
        <v>0</v>
      </c>
    </row>
    <row r="1369" hidden="1">
      <c r="A1369" s="26" t="str">
        <f>VLOOKUP(B1369,'2020 SRED (JIRA) - Issues and l'!$B:$C,2,FALSE)</f>
        <v>insite-workflow-SRED</v>
      </c>
      <c r="B1369" s="27" t="str">
        <f>IFERROR(__xludf.DUMMYFUNCTION("""COMPUTED_VALUE"""),"APPS-544")</f>
        <v>APPS-544</v>
      </c>
      <c r="C1369" s="26" t="str">
        <f>IFERROR(__xludf.DUMMYFUNCTION("""COMPUTED_VALUE"""),"Add ""Hosting duration"" value to placeholders sheet")</f>
        <v>Add "Hosting duration" value to placeholders sheet</v>
      </c>
      <c r="D1369" s="28">
        <f>IFERROR(__xludf.DUMMYFUNCTION("""COMPUTED_VALUE"""),7.0)</f>
        <v>7</v>
      </c>
      <c r="E1369" s="29">
        <f>IFERROR(__xludf.DUMMYFUNCTION("""COMPUTED_VALUE"""),44153.33333333333)</f>
        <v>44153.33333</v>
      </c>
      <c r="F1369" s="26" t="str">
        <f>IFERROR(__xludf.DUMMYFUNCTION("""COMPUTED_VALUE"""),"5ee7b6cf02b4400ac4b65399")</f>
        <v>5ee7b6cf02b4400ac4b65399</v>
      </c>
      <c r="G1369" s="26" t="str">
        <f>IFERROR(__xludf.DUMMYFUNCTION("""COMPUTED_VALUE"""),"Jessica Obando")</f>
        <v>Jessica Obando</v>
      </c>
      <c r="H1369" s="26" t="b">
        <v>0</v>
      </c>
    </row>
    <row r="1370" hidden="1">
      <c r="A1370" s="26" t="str">
        <f>VLOOKUP(B1370,'2020 SRED (JIRA) - Issues and l'!$B:$C,2,FALSE)</f>
        <v>insite-workflow-SRED</v>
      </c>
      <c r="B1370" s="27" t="str">
        <f>IFERROR(__xludf.DUMMYFUNCTION("""COMPUTED_VALUE"""),"APPS-544")</f>
        <v>APPS-544</v>
      </c>
      <c r="C1370" s="26" t="str">
        <f>IFERROR(__xludf.DUMMYFUNCTION("""COMPUTED_VALUE"""),"Add ""Hosting duration"" value to placeholders sheet")</f>
        <v>Add "Hosting duration" value to placeholders sheet</v>
      </c>
      <c r="D1370" s="28">
        <f>IFERROR(__xludf.DUMMYFUNCTION("""COMPUTED_VALUE"""),1.5)</f>
        <v>1.5</v>
      </c>
      <c r="E1370" s="29">
        <f>IFERROR(__xludf.DUMMYFUNCTION("""COMPUTED_VALUE"""),44153.39583333333)</f>
        <v>44153.39583</v>
      </c>
      <c r="F1370" s="26" t="str">
        <f>IFERROR(__xludf.DUMMYFUNCTION("""COMPUTED_VALUE"""),"5ee7b6ce868ce30ac49e2521")</f>
        <v>5ee7b6ce868ce30ac49e2521</v>
      </c>
      <c r="G1370" s="26" t="str">
        <f>IFERROR(__xludf.DUMMYFUNCTION("""COMPUTED_VALUE"""),"Bryan Le")</f>
        <v>Bryan Le</v>
      </c>
      <c r="H1370" s="26" t="b">
        <v>0</v>
      </c>
    </row>
    <row r="1371" hidden="1">
      <c r="A1371" s="26" t="str">
        <f>VLOOKUP(B1371,'2020 SRED (JIRA) - Issues and l'!$B:$C,2,FALSE)</f>
        <v>portal-builder-SRED</v>
      </c>
      <c r="B1371" s="27" t="str">
        <f>IFERROR(__xludf.DUMMYFUNCTION("""COMPUTED_VALUE"""),"ITP-1622")</f>
        <v>ITP-1622</v>
      </c>
      <c r="C1371" s="26" t="str">
        <f>IFERROR(__xludf.DUMMYFUNCTION("""COMPUTED_VALUE"""),"Clients are unable to download CV's from the activity tracker")</f>
        <v>Clients are unable to download CV's from the activity tracker</v>
      </c>
      <c r="D1371" s="28">
        <f>IFERROR(__xludf.DUMMYFUNCTION("""COMPUTED_VALUE"""),0.5)</f>
        <v>0.5</v>
      </c>
      <c r="E1371" s="29">
        <f>IFERROR(__xludf.DUMMYFUNCTION("""COMPUTED_VALUE"""),44153.4375)</f>
        <v>44153.4375</v>
      </c>
      <c r="F1371" s="26" t="str">
        <f>IFERROR(__xludf.DUMMYFUNCTION("""COMPUTED_VALUE"""),"557058:3124a1f0-e92a-405c-93f2-c1d4e621bc77")</f>
        <v>557058:3124a1f0-e92a-405c-93f2-c1d4e621bc77</v>
      </c>
      <c r="G1371" s="26" t="str">
        <f>IFERROR(__xludf.DUMMYFUNCTION("""COMPUTED_VALUE"""),"Trevor Coehoorn")</f>
        <v>Trevor Coehoorn</v>
      </c>
      <c r="H1371" s="26" t="b">
        <v>0</v>
      </c>
    </row>
    <row r="1372">
      <c r="A1372" s="26" t="str">
        <f>VLOOKUP(B1372,'2020 SRED (JIRA) - Issues and l'!$B:$C,2,FALSE)</f>
        <v>insite-workflow-SRED</v>
      </c>
      <c r="B1372" s="27" t="str">
        <f>IFERROR(__xludf.DUMMYFUNCTION("""COMPUTED_VALUE"""),"APPS-251")</f>
        <v>APPS-251</v>
      </c>
      <c r="C1372" s="26" t="str">
        <f>IFERROR(__xludf.DUMMYFUNCTION("""COMPUTED_VALUE"""),"Impetus HR/Compliance app")</f>
        <v>Impetus HR/Compliance app</v>
      </c>
      <c r="D1372" s="28">
        <f>IFERROR(__xludf.DUMMYFUNCTION("""COMPUTED_VALUE"""),0.25)</f>
        <v>0.25</v>
      </c>
      <c r="E1372" s="29">
        <f>IFERROR(__xludf.DUMMYFUNCTION("""COMPUTED_VALUE"""),44153.49652777778)</f>
        <v>44153.49653</v>
      </c>
      <c r="F1372" s="26" t="str">
        <f>IFERROR(__xludf.DUMMYFUNCTION("""COMPUTED_VALUE"""),"557058:ed1ddc66-d84d-405c-a815-0fcc6147ba14")</f>
        <v>557058:ed1ddc66-d84d-405c-a815-0fcc6147ba14</v>
      </c>
      <c r="G1372" s="26" t="str">
        <f>IFERROR(__xludf.DUMMYFUNCTION("""COMPUTED_VALUE"""),"Mark Corrigan")</f>
        <v>Mark Corrigan</v>
      </c>
      <c r="H1372" s="26" t="b">
        <v>0</v>
      </c>
    </row>
    <row r="1373">
      <c r="A1373" s="26" t="str">
        <f>VLOOKUP(B1373,'2020 SRED (JIRA) - Issues and l'!$B:$C,2,FALSE)</f>
        <v>insite-workflow-SRED</v>
      </c>
      <c r="B1373" s="27" t="str">
        <f>IFERROR(__xludf.DUMMYFUNCTION("""COMPUTED_VALUE"""),"APPS-267")</f>
        <v>APPS-267</v>
      </c>
      <c r="C1373" s="26" t="str">
        <f>IFERROR(__xludf.DUMMYFUNCTION("""COMPUTED_VALUE"""),"Final QA, deployment, and training")</f>
        <v>Final QA, deployment, and training</v>
      </c>
      <c r="D1373" s="28">
        <f>IFERROR(__xludf.DUMMYFUNCTION("""COMPUTED_VALUE"""),0.5)</f>
        <v>0.5</v>
      </c>
      <c r="E1373" s="29">
        <f>IFERROR(__xludf.DUMMYFUNCTION("""COMPUTED_VALUE"""),44153.59027777778)</f>
        <v>44153.59028</v>
      </c>
      <c r="F1373" s="26" t="str">
        <f>IFERROR(__xludf.DUMMYFUNCTION("""COMPUTED_VALUE"""),"557058:ed1ddc66-d84d-405c-a815-0fcc6147ba14")</f>
        <v>557058:ed1ddc66-d84d-405c-a815-0fcc6147ba14</v>
      </c>
      <c r="G1373" s="26" t="str">
        <f>IFERROR(__xludf.DUMMYFUNCTION("""COMPUTED_VALUE"""),"Mark Corrigan")</f>
        <v>Mark Corrigan</v>
      </c>
      <c r="H1373" s="26" t="b">
        <v>0</v>
      </c>
    </row>
    <row r="1374">
      <c r="A1374" s="26" t="str">
        <f>VLOOKUP(B1374,'2020 SRED (JIRA) - Issues and l'!$B:$C,2,FALSE)</f>
        <v>insite-workflow-SRED</v>
      </c>
      <c r="B1374" s="27" t="str">
        <f>IFERROR(__xludf.DUMMYFUNCTION("""COMPUTED_VALUE"""),"APPS-11")</f>
        <v>APPS-11</v>
      </c>
      <c r="C1374" s="26" t="str">
        <f>IFERROR(__xludf.DUMMYFUNCTION("""COMPUTED_VALUE"""),"Backlog/sort")</f>
        <v>Backlog/sort</v>
      </c>
      <c r="D1374" s="28">
        <f>IFERROR(__xludf.DUMMYFUNCTION("""COMPUTED_VALUE"""),0.25)</f>
        <v>0.25</v>
      </c>
      <c r="E1374" s="29">
        <f>IFERROR(__xludf.DUMMYFUNCTION("""COMPUTED_VALUE"""),44153.62152777778)</f>
        <v>44153.62153</v>
      </c>
      <c r="F1374" s="26" t="str">
        <f>IFERROR(__xludf.DUMMYFUNCTION("""COMPUTED_VALUE"""),"557058:ed1ddc66-d84d-405c-a815-0fcc6147ba14")</f>
        <v>557058:ed1ddc66-d84d-405c-a815-0fcc6147ba14</v>
      </c>
      <c r="G1374" s="26" t="str">
        <f>IFERROR(__xludf.DUMMYFUNCTION("""COMPUTED_VALUE"""),"Mark Corrigan")</f>
        <v>Mark Corrigan</v>
      </c>
      <c r="H1374" s="26" t="b">
        <v>0</v>
      </c>
    </row>
    <row r="1375">
      <c r="A1375" s="26" t="str">
        <f>VLOOKUP(B1375,'2020 SRED (JIRA) - Issues and l'!$B:$C,2,FALSE)</f>
        <v>insite-workflow-SRED</v>
      </c>
      <c r="B1375" s="27" t="str">
        <f>IFERROR(__xludf.DUMMYFUNCTION("""COMPUTED_VALUE"""),"APPS-539")</f>
        <v>APPS-539</v>
      </c>
      <c r="C1375" s="26" t="str">
        <f>IFERROR(__xludf.DUMMYFUNCTION("""COMPUTED_VALUE"""),"Anyone at Impetus can submit a product idea, IT request, or SAMS request from Gmail to Jira")</f>
        <v>Anyone at Impetus can submit a product idea, IT request, or SAMS request from Gmail to Jira</v>
      </c>
      <c r="D1375" s="28">
        <f>IFERROR(__xludf.DUMMYFUNCTION("""COMPUTED_VALUE"""),0.25)</f>
        <v>0.25</v>
      </c>
      <c r="E1375" s="29">
        <f>IFERROR(__xludf.DUMMYFUNCTION("""COMPUTED_VALUE"""),44153.631944444445)</f>
        <v>44153.63194</v>
      </c>
      <c r="F1375" s="26" t="str">
        <f>IFERROR(__xludf.DUMMYFUNCTION("""COMPUTED_VALUE"""),"557058:ed1ddc66-d84d-405c-a815-0fcc6147ba14")</f>
        <v>557058:ed1ddc66-d84d-405c-a815-0fcc6147ba14</v>
      </c>
      <c r="G1375" s="26" t="str">
        <f>IFERROR(__xludf.DUMMYFUNCTION("""COMPUTED_VALUE"""),"Mark Corrigan")</f>
        <v>Mark Corrigan</v>
      </c>
      <c r="H1375" s="26" t="b">
        <v>0</v>
      </c>
    </row>
    <row r="1376">
      <c r="A1376" s="26" t="str">
        <f>VLOOKUP(B1376,'2020 SRED (JIRA) - Issues and l'!$B:$C,2,FALSE)</f>
        <v>insite-workflow-SRED</v>
      </c>
      <c r="B1376" s="27" t="str">
        <f>IFERROR(__xludf.DUMMYFUNCTION("""COMPUTED_VALUE"""),"APPS-546")</f>
        <v>APPS-546</v>
      </c>
      <c r="C1376" s="26" t="str">
        <f>IFERROR(__xludf.DUMMYFUNCTION("""COMPUTED_VALUE"""),"Final review of proposal verbiage/content")</f>
        <v>Final review of proposal verbiage/content</v>
      </c>
      <c r="D1376" s="28">
        <f>IFERROR(__xludf.DUMMYFUNCTION("""COMPUTED_VALUE"""),0.25)</f>
        <v>0.25</v>
      </c>
      <c r="E1376" s="29">
        <f>IFERROR(__xludf.DUMMYFUNCTION("""COMPUTED_VALUE"""),44153.663194444445)</f>
        <v>44153.66319</v>
      </c>
      <c r="F1376" s="26" t="str">
        <f>IFERROR(__xludf.DUMMYFUNCTION("""COMPUTED_VALUE"""),"557058:ed1ddc66-d84d-405c-a815-0fcc6147ba14")</f>
        <v>557058:ed1ddc66-d84d-405c-a815-0fcc6147ba14</v>
      </c>
      <c r="G1376" s="26" t="str">
        <f>IFERROR(__xludf.DUMMYFUNCTION("""COMPUTED_VALUE"""),"Mark Corrigan")</f>
        <v>Mark Corrigan</v>
      </c>
      <c r="H1376" s="26" t="b">
        <v>0</v>
      </c>
    </row>
    <row r="1377" hidden="1">
      <c r="A1377" s="26" t="str">
        <f>VLOOKUP(B1377,'2020 SRED (JIRA) - Issues and l'!$B:$C,2,FALSE)</f>
        <v>portal-builder-SRED</v>
      </c>
      <c r="B1377" s="27" t="str">
        <f>IFERROR(__xludf.DUMMYFUNCTION("""COMPUTED_VALUE"""),"ITP-1877")</f>
        <v>ITP-1877</v>
      </c>
      <c r="C1377" s="26" t="str">
        <f>IFERROR(__xludf.DUMMYFUNCTION("""COMPUTED_VALUE"""),"TP builder makes pages with section titles longer than allowed character limit ")</f>
        <v>TP builder makes pages with section titles longer than allowed character limit </v>
      </c>
      <c r="D1377" s="28">
        <f>IFERROR(__xludf.DUMMYFUNCTION("""COMPUTED_VALUE"""),0.25)</f>
        <v>0.25</v>
      </c>
      <c r="E1377" s="29">
        <f>IFERROR(__xludf.DUMMYFUNCTION("""COMPUTED_VALUE"""),44153.85416666667)</f>
        <v>44153.85417</v>
      </c>
      <c r="F1377" s="26" t="str">
        <f>IFERROR(__xludf.DUMMYFUNCTION("""COMPUTED_VALUE"""),"5f4030c48d89e300467faa05")</f>
        <v>5f4030c48d89e300467faa05</v>
      </c>
      <c r="G1377" s="26" t="str">
        <f>IFERROR(__xludf.DUMMYFUNCTION("""COMPUTED_VALUE"""),"Natasha D'Alessandro")</f>
        <v>Natasha D'Alessandro</v>
      </c>
      <c r="H1377" s="26" t="b">
        <v>0</v>
      </c>
    </row>
    <row r="1378" hidden="1">
      <c r="A1378" s="26" t="str">
        <f>VLOOKUP(B1378,'2020 SRED (JIRA) - Issues and l'!$B:$C,2,FALSE)</f>
        <v>insite-workflow-SRED</v>
      </c>
      <c r="B1378" s="27" t="str">
        <f>IFERROR(__xludf.DUMMYFUNCTION("""COMPUTED_VALUE"""),"APPS-526")</f>
        <v>APPS-526</v>
      </c>
      <c r="C1378" s="26" t="str">
        <f>IFERROR(__xludf.DUMMYFUNCTION("""COMPUTED_VALUE"""),"Error with new custom requirements and add-ons/reductions not being added to cost fields in details view")</f>
        <v>Error with new custom requirements and add-ons/reductions not being added to cost fields in details view</v>
      </c>
      <c r="D1378" s="28">
        <f>IFERROR(__xludf.DUMMYFUNCTION("""COMPUTED_VALUE"""),8.0)</f>
        <v>8</v>
      </c>
      <c r="E1378" s="29">
        <f>IFERROR(__xludf.DUMMYFUNCTION("""COMPUTED_VALUE"""),44154.33333333333)</f>
        <v>44154.33333</v>
      </c>
      <c r="F1378" s="26" t="str">
        <f>IFERROR(__xludf.DUMMYFUNCTION("""COMPUTED_VALUE"""),"5ee7b6cf02b4400ac4b65399")</f>
        <v>5ee7b6cf02b4400ac4b65399</v>
      </c>
      <c r="G1378" s="26" t="str">
        <f>IFERROR(__xludf.DUMMYFUNCTION("""COMPUTED_VALUE"""),"Jessica Obando")</f>
        <v>Jessica Obando</v>
      </c>
      <c r="H1378" s="26" t="b">
        <v>0</v>
      </c>
    </row>
    <row r="1379" hidden="1">
      <c r="A1379" s="26" t="str">
        <f>VLOOKUP(B1379,'2020 SRED (JIRA) - Issues and l'!$B:$C,2,FALSE)</f>
        <v>insite-workflow-SRED</v>
      </c>
      <c r="B1379" s="27" t="str">
        <f>IFERROR(__xludf.DUMMYFUNCTION("""COMPUTED_VALUE"""),"APPS-541")</f>
        <v>APPS-541</v>
      </c>
      <c r="C1379" s="26" t="str">
        <f>IFERROR(__xludf.DUMMYFUNCTION("""COMPUTED_VALUE"""),"As a salesperson, I can increase the total cost of touchpoint service costs by a % rate")</f>
        <v>As a salesperson, I can increase the total cost of touchpoint service costs by a % rate</v>
      </c>
      <c r="D1379" s="28">
        <f>IFERROR(__xludf.DUMMYFUNCTION("""COMPUTED_VALUE"""),2.0)</f>
        <v>2</v>
      </c>
      <c r="E1379" s="29">
        <f>IFERROR(__xludf.DUMMYFUNCTION("""COMPUTED_VALUE"""),44154.35416666667)</f>
        <v>44154.35417</v>
      </c>
      <c r="F1379" s="26" t="str">
        <f>IFERROR(__xludf.DUMMYFUNCTION("""COMPUTED_VALUE"""),"5ee7b6ce868ce30ac49e2521")</f>
        <v>5ee7b6ce868ce30ac49e2521</v>
      </c>
      <c r="G1379" s="26" t="str">
        <f>IFERROR(__xludf.DUMMYFUNCTION("""COMPUTED_VALUE"""),"Bryan Le")</f>
        <v>Bryan Le</v>
      </c>
      <c r="H1379" s="26" t="b">
        <v>0</v>
      </c>
    </row>
    <row r="1380">
      <c r="A1380" s="26" t="str">
        <f>VLOOKUP(B1380,'2020 SRED (JIRA) - Issues and l'!$B:$C,2,FALSE)</f>
        <v>insite-workflow-SRED</v>
      </c>
      <c r="B1380" s="27" t="str">
        <f>IFERROR(__xludf.DUMMYFUNCTION("""COMPUTED_VALUE"""),"APPS-549")</f>
        <v>APPS-549</v>
      </c>
      <c r="C1380" s="26" t="str">
        <f>IFERROR(__xludf.DUMMYFUNCTION("""COMPUTED_VALUE"""),"Issue with displaying similar items on proposal doc")</f>
        <v>Issue with displaying similar items on proposal doc</v>
      </c>
      <c r="D1380" s="28">
        <f>IFERROR(__xludf.DUMMYFUNCTION("""COMPUTED_VALUE"""),0.25)</f>
        <v>0.25</v>
      </c>
      <c r="E1380" s="29">
        <f>IFERROR(__xludf.DUMMYFUNCTION("""COMPUTED_VALUE"""),44154.36458333333)</f>
        <v>44154.36458</v>
      </c>
      <c r="F1380" s="26" t="str">
        <f>IFERROR(__xludf.DUMMYFUNCTION("""COMPUTED_VALUE"""),"557058:ed1ddc66-d84d-405c-a815-0fcc6147ba14")</f>
        <v>557058:ed1ddc66-d84d-405c-a815-0fcc6147ba14</v>
      </c>
      <c r="G1380" s="26" t="str">
        <f>IFERROR(__xludf.DUMMYFUNCTION("""COMPUTED_VALUE"""),"Mark Corrigan")</f>
        <v>Mark Corrigan</v>
      </c>
      <c r="H1380" s="26" t="b">
        <v>0</v>
      </c>
    </row>
    <row r="1381">
      <c r="A1381" s="26" t="str">
        <f>VLOOKUP(B1381,'2020 SRED (JIRA) - Issues and l'!$B:$C,2,FALSE)</f>
        <v>insite-mapping-SRED</v>
      </c>
      <c r="B1381" s="27" t="str">
        <f>IFERROR(__xludf.DUMMYFUNCTION("""COMPUTED_VALUE"""),"IM-516")</f>
        <v>IM-516</v>
      </c>
      <c r="C1381" s="26" t="str">
        <f>IFERROR(__xludf.DUMMYFUNCTION("""COMPUTED_VALUE"""),"New Space for InSite Mapping™")</f>
        <v>New Space for InSite Mapping™</v>
      </c>
      <c r="D1381" s="28">
        <f>IFERROR(__xludf.DUMMYFUNCTION("""COMPUTED_VALUE"""),1.0)</f>
        <v>1</v>
      </c>
      <c r="E1381" s="29">
        <f>IFERROR(__xludf.DUMMYFUNCTION("""COMPUTED_VALUE"""),44154.375)</f>
        <v>44154.375</v>
      </c>
      <c r="F1381" s="26" t="str">
        <f>IFERROR(__xludf.DUMMYFUNCTION("""COMPUTED_VALUE"""),"557058:ed1ddc66-d84d-405c-a815-0fcc6147ba14")</f>
        <v>557058:ed1ddc66-d84d-405c-a815-0fcc6147ba14</v>
      </c>
      <c r="G1381" s="26" t="str">
        <f>IFERROR(__xludf.DUMMYFUNCTION("""COMPUTED_VALUE"""),"Mark Corrigan")</f>
        <v>Mark Corrigan</v>
      </c>
      <c r="H1381" s="26" t="b">
        <v>0</v>
      </c>
    </row>
    <row r="1382">
      <c r="A1382" s="26" t="str">
        <f>VLOOKUP(B1382,'2020 SRED (JIRA) - Issues and l'!$B:$C,2,FALSE)</f>
        <v>insite-workflow-SRED</v>
      </c>
      <c r="B1382" s="27" t="str">
        <f>IFERROR(__xludf.DUMMYFUNCTION("""COMPUTED_VALUE"""),"APPS-540")</f>
        <v>APPS-540</v>
      </c>
      <c r="C1382" s="26" t="str">
        <f>IFERROR(__xludf.DUMMYFUNCTION("""COMPUTED_VALUE"""),"Sample proposal test calculations")</f>
        <v>Sample proposal test calculations</v>
      </c>
      <c r="D1382" s="28">
        <f>IFERROR(__xludf.DUMMYFUNCTION("""COMPUTED_VALUE"""),0.25)</f>
        <v>0.25</v>
      </c>
      <c r="E1382" s="29">
        <f>IFERROR(__xludf.DUMMYFUNCTION("""COMPUTED_VALUE"""),44154.4375)</f>
        <v>44154.4375</v>
      </c>
      <c r="F1382" s="26" t="str">
        <f>IFERROR(__xludf.DUMMYFUNCTION("""COMPUTED_VALUE"""),"557058:ed1ddc66-d84d-405c-a815-0fcc6147ba14")</f>
        <v>557058:ed1ddc66-d84d-405c-a815-0fcc6147ba14</v>
      </c>
      <c r="G1382" s="26" t="str">
        <f>IFERROR(__xludf.DUMMYFUNCTION("""COMPUTED_VALUE"""),"Mark Corrigan")</f>
        <v>Mark Corrigan</v>
      </c>
      <c r="H1382" s="26" t="b">
        <v>0</v>
      </c>
    </row>
    <row r="1383" hidden="1">
      <c r="A1383" s="26" t="str">
        <f>VLOOKUP(B1383,'2020 SRED (JIRA) - Issues and l'!$B:$C,2,FALSE)</f>
        <v>insite-workflow-SRED</v>
      </c>
      <c r="B1383" s="27" t="str">
        <f>IFERROR(__xludf.DUMMYFUNCTION("""COMPUTED_VALUE"""),"APPS-536")</f>
        <v>APPS-536</v>
      </c>
      <c r="C1383" s="26" t="str">
        <f>IFERROR(__xludf.DUMMYFUNCTION("""COMPUTED_VALUE"""),"As a salesperson, I can initiate key Sales Pipeline actions from Gmail")</f>
        <v>As a salesperson, I can initiate key Sales Pipeline actions from Gmail</v>
      </c>
      <c r="D1383" s="28">
        <f>IFERROR(__xludf.DUMMYFUNCTION("""COMPUTED_VALUE"""),3.0)</f>
        <v>3</v>
      </c>
      <c r="E1383" s="29">
        <f>IFERROR(__xludf.DUMMYFUNCTION("""COMPUTED_VALUE"""),44154.4375)</f>
        <v>44154.4375</v>
      </c>
      <c r="F1383" s="26" t="str">
        <f>IFERROR(__xludf.DUMMYFUNCTION("""COMPUTED_VALUE"""),"5ee7b6ce868ce30ac49e2521")</f>
        <v>5ee7b6ce868ce30ac49e2521</v>
      </c>
      <c r="G1383" s="26" t="str">
        <f>IFERROR(__xludf.DUMMYFUNCTION("""COMPUTED_VALUE"""),"Bryan Le")</f>
        <v>Bryan Le</v>
      </c>
      <c r="H1383" s="26" t="b">
        <v>0</v>
      </c>
    </row>
    <row r="1384">
      <c r="A1384" s="26" t="str">
        <f>VLOOKUP(B1384,'2020 SRED (JIRA) - Issues and l'!$B:$C,2,FALSE)</f>
        <v>insite-workflow-SRED</v>
      </c>
      <c r="B1384" s="27" t="str">
        <f>IFERROR(__xludf.DUMMYFUNCTION("""COMPUTED_VALUE"""),"APPS-548")</f>
        <v>APPS-548</v>
      </c>
      <c r="C1384" s="26" t="str">
        <f>IFERROR(__xludf.DUMMYFUNCTION("""COMPUTED_VALUE"""),"Investigate SendGrid email verification API (integrate in Gmail/Mailchimp outreach processes) to improve open rates and reduce risk in getting flagged")</f>
        <v>Investigate SendGrid email verification API (integrate in Gmail/Mailchimp outreach processes) to improve open rates and reduce risk in getting flagged</v>
      </c>
      <c r="D1384" s="28">
        <f>IFERROR(__xludf.DUMMYFUNCTION("""COMPUTED_VALUE"""),0.5)</f>
        <v>0.5</v>
      </c>
      <c r="E1384" s="29">
        <f>IFERROR(__xludf.DUMMYFUNCTION("""COMPUTED_VALUE"""),44154.46875)</f>
        <v>44154.46875</v>
      </c>
      <c r="F1384" s="26" t="str">
        <f>IFERROR(__xludf.DUMMYFUNCTION("""COMPUTED_VALUE"""),"557058:ed1ddc66-d84d-405c-a815-0fcc6147ba14")</f>
        <v>557058:ed1ddc66-d84d-405c-a815-0fcc6147ba14</v>
      </c>
      <c r="G1384" s="26" t="str">
        <f>IFERROR(__xludf.DUMMYFUNCTION("""COMPUTED_VALUE"""),"Mark Corrigan")</f>
        <v>Mark Corrigan</v>
      </c>
      <c r="H1384" s="26" t="b">
        <v>0</v>
      </c>
    </row>
    <row r="1385">
      <c r="A1385" s="26" t="str">
        <f>VLOOKUP(B1385,'2020 SRED (JIRA) - Issues and l'!$B:$C,2,FALSE)</f>
        <v>insite-workflow-SRED</v>
      </c>
      <c r="B1385" s="27" t="str">
        <f>IFERROR(__xludf.DUMMYFUNCTION("""COMPUTED_VALUE"""),"APPS-541")</f>
        <v>APPS-541</v>
      </c>
      <c r="C1385" s="26" t="str">
        <f>IFERROR(__xludf.DUMMYFUNCTION("""COMPUTED_VALUE"""),"As a salesperson, I can increase the total cost of touchpoint service costs by a % rate")</f>
        <v>As a salesperson, I can increase the total cost of touchpoint service costs by a % rate</v>
      </c>
      <c r="D1385" s="28">
        <f>IFERROR(__xludf.DUMMYFUNCTION("""COMPUTED_VALUE"""),0.5)</f>
        <v>0.5</v>
      </c>
      <c r="E1385" s="29">
        <f>IFERROR(__xludf.DUMMYFUNCTION("""COMPUTED_VALUE"""),44154.5625)</f>
        <v>44154.5625</v>
      </c>
      <c r="F1385" s="26" t="str">
        <f>IFERROR(__xludf.DUMMYFUNCTION("""COMPUTED_VALUE"""),"557058:ed1ddc66-d84d-405c-a815-0fcc6147ba14")</f>
        <v>557058:ed1ddc66-d84d-405c-a815-0fcc6147ba14</v>
      </c>
      <c r="G1385" s="26" t="str">
        <f>IFERROR(__xludf.DUMMYFUNCTION("""COMPUTED_VALUE"""),"Mark Corrigan")</f>
        <v>Mark Corrigan</v>
      </c>
      <c r="H1385" s="26" t="b">
        <v>0</v>
      </c>
    </row>
    <row r="1386" hidden="1">
      <c r="A1386" s="26" t="str">
        <f>VLOOKUP(B1386,'2020 SRED (JIRA) - Issues and l'!$B:$C,2,FALSE)</f>
        <v>insite-workflow-SRED</v>
      </c>
      <c r="B1386" s="27" t="str">
        <f>IFERROR(__xludf.DUMMYFUNCTION("""COMPUTED_VALUE"""),"APPS-540")</f>
        <v>APPS-540</v>
      </c>
      <c r="C1386" s="26" t="str">
        <f>IFERROR(__xludf.DUMMYFUNCTION("""COMPUTED_VALUE"""),"Sample proposal test calculations")</f>
        <v>Sample proposal test calculations</v>
      </c>
      <c r="D1386" s="28">
        <f>IFERROR(__xludf.DUMMYFUNCTION("""COMPUTED_VALUE"""),1.5)</f>
        <v>1.5</v>
      </c>
      <c r="E1386" s="29">
        <f>IFERROR(__xludf.DUMMYFUNCTION("""COMPUTED_VALUE"""),44154.5625)</f>
        <v>44154.5625</v>
      </c>
      <c r="F1386" s="26" t="str">
        <f>IFERROR(__xludf.DUMMYFUNCTION("""COMPUTED_VALUE"""),"5ee7b6ce868ce30ac49e2521")</f>
        <v>5ee7b6ce868ce30ac49e2521</v>
      </c>
      <c r="G1386" s="26" t="str">
        <f>IFERROR(__xludf.DUMMYFUNCTION("""COMPUTED_VALUE"""),"Bryan Le")</f>
        <v>Bryan Le</v>
      </c>
      <c r="H1386" s="26" t="b">
        <v>0</v>
      </c>
    </row>
    <row r="1387">
      <c r="A1387" s="26" t="str">
        <f>VLOOKUP(B1387,'2020 SRED (JIRA) - Issues and l'!$B:$C,2,FALSE)</f>
        <v>insite-workflow-SRED</v>
      </c>
      <c r="B1387" s="27" t="str">
        <f>IFERROR(__xludf.DUMMYFUNCTION("""COMPUTED_VALUE"""),"APPS-526")</f>
        <v>APPS-526</v>
      </c>
      <c r="C1387" s="26" t="str">
        <f>IFERROR(__xludf.DUMMYFUNCTION("""COMPUTED_VALUE"""),"Error with new custom requirements and add-ons/reductions not being added to cost fields in details view")</f>
        <v>Error with new custom requirements and add-ons/reductions not being added to cost fields in details view</v>
      </c>
      <c r="D1387" s="28">
        <f>IFERROR(__xludf.DUMMYFUNCTION("""COMPUTED_VALUE"""),0.5)</f>
        <v>0.5</v>
      </c>
      <c r="E1387" s="29">
        <f>IFERROR(__xludf.DUMMYFUNCTION("""COMPUTED_VALUE"""),44154.58333333333)</f>
        <v>44154.58333</v>
      </c>
      <c r="F1387" s="26" t="str">
        <f>IFERROR(__xludf.DUMMYFUNCTION("""COMPUTED_VALUE"""),"557058:ed1ddc66-d84d-405c-a815-0fcc6147ba14")</f>
        <v>557058:ed1ddc66-d84d-405c-a815-0fcc6147ba14</v>
      </c>
      <c r="G1387" s="26" t="str">
        <f>IFERROR(__xludf.DUMMYFUNCTION("""COMPUTED_VALUE"""),"Mark Corrigan")</f>
        <v>Mark Corrigan</v>
      </c>
      <c r="H1387" s="26" t="b">
        <v>0</v>
      </c>
    </row>
    <row r="1388" hidden="1">
      <c r="A1388" s="26" t="str">
        <f>VLOOKUP(B1388,'2020 SRED (JIRA) - Issues and l'!$B:$C,2,FALSE)</f>
        <v>insite-workflow-SRED</v>
      </c>
      <c r="B1388" s="27" t="str">
        <f>IFERROR(__xludf.DUMMYFUNCTION("""COMPUTED_VALUE"""),"APPS-536")</f>
        <v>APPS-536</v>
      </c>
      <c r="C1388" s="26" t="str">
        <f>IFERROR(__xludf.DUMMYFUNCTION("""COMPUTED_VALUE"""),"As a salesperson, I can initiate key Sales Pipeline actions from Gmail")</f>
        <v>As a salesperson, I can initiate key Sales Pipeline actions from Gmail</v>
      </c>
      <c r="D1388" s="28">
        <f>IFERROR(__xludf.DUMMYFUNCTION("""COMPUTED_VALUE"""),3.5)</f>
        <v>3.5</v>
      </c>
      <c r="E1388" s="29">
        <f>IFERROR(__xludf.DUMMYFUNCTION("""COMPUTED_VALUE"""),44155.33333333333)</f>
        <v>44155.33333</v>
      </c>
      <c r="F1388" s="26" t="str">
        <f>IFERROR(__xludf.DUMMYFUNCTION("""COMPUTED_VALUE"""),"5ee7b6ce868ce30ac49e2521")</f>
        <v>5ee7b6ce868ce30ac49e2521</v>
      </c>
      <c r="G1388" s="26" t="str">
        <f>IFERROR(__xludf.DUMMYFUNCTION("""COMPUTED_VALUE"""),"Bryan Le")</f>
        <v>Bryan Le</v>
      </c>
      <c r="H1388" s="26" t="b">
        <v>0</v>
      </c>
    </row>
    <row r="1389">
      <c r="A1389" s="26" t="str">
        <f>VLOOKUP(B1389,'2020 SRED (JIRA) - Issues and l'!$B:$C,2,FALSE)</f>
        <v>insite-workflow-SRED</v>
      </c>
      <c r="B1389" s="27" t="str">
        <f>IFERROR(__xludf.DUMMYFUNCTION("""COMPUTED_VALUE"""),"APPS-546")</f>
        <v>APPS-546</v>
      </c>
      <c r="C1389" s="26" t="str">
        <f>IFERROR(__xludf.DUMMYFUNCTION("""COMPUTED_VALUE"""),"Final review of proposal verbiage/content")</f>
        <v>Final review of proposal verbiage/content</v>
      </c>
      <c r="D1389" s="28">
        <f>IFERROR(__xludf.DUMMYFUNCTION("""COMPUTED_VALUE"""),0.5)</f>
        <v>0.5</v>
      </c>
      <c r="E1389" s="29">
        <f>IFERROR(__xludf.DUMMYFUNCTION("""COMPUTED_VALUE"""),44155.375)</f>
        <v>44155.375</v>
      </c>
      <c r="F1389" s="26" t="str">
        <f>IFERROR(__xludf.DUMMYFUNCTION("""COMPUTED_VALUE"""),"557058:ed1ddc66-d84d-405c-a815-0fcc6147ba14")</f>
        <v>557058:ed1ddc66-d84d-405c-a815-0fcc6147ba14</v>
      </c>
      <c r="G1389" s="26" t="str">
        <f>IFERROR(__xludf.DUMMYFUNCTION("""COMPUTED_VALUE"""),"Mark Corrigan")</f>
        <v>Mark Corrigan</v>
      </c>
      <c r="H1389" s="26" t="b">
        <v>0</v>
      </c>
    </row>
    <row r="1390" hidden="1">
      <c r="A1390" s="26" t="str">
        <f>VLOOKUP(B1390,'2020 SRED (JIRA) - Issues and l'!$B:$C,2,FALSE)</f>
        <v>insite-workflow-SRED</v>
      </c>
      <c r="B1390" s="27" t="str">
        <f>IFERROR(__xludf.DUMMYFUNCTION("""COMPUTED_VALUE"""),"APPS-540")</f>
        <v>APPS-540</v>
      </c>
      <c r="C1390" s="26" t="str">
        <f>IFERROR(__xludf.DUMMYFUNCTION("""COMPUTED_VALUE"""),"Sample proposal test calculations")</f>
        <v>Sample proposal test calculations</v>
      </c>
      <c r="D1390" s="28">
        <f>IFERROR(__xludf.DUMMYFUNCTION("""COMPUTED_VALUE"""),3.0)</f>
        <v>3</v>
      </c>
      <c r="E1390" s="29">
        <f>IFERROR(__xludf.DUMMYFUNCTION("""COMPUTED_VALUE"""),44155.45833333333)</f>
        <v>44155.45833</v>
      </c>
      <c r="F1390" s="26" t="str">
        <f>IFERROR(__xludf.DUMMYFUNCTION("""COMPUTED_VALUE"""),"5ee7b6ce868ce30ac49e2521")</f>
        <v>5ee7b6ce868ce30ac49e2521</v>
      </c>
      <c r="G1390" s="26" t="str">
        <f>IFERROR(__xludf.DUMMYFUNCTION("""COMPUTED_VALUE"""),"Bryan Le")</f>
        <v>Bryan Le</v>
      </c>
      <c r="H1390" s="26" t="b">
        <v>0</v>
      </c>
    </row>
    <row r="1391">
      <c r="A1391" s="26" t="str">
        <f>VLOOKUP(B1391,'2020 SRED (JIRA) - Issues and l'!$B:$C,2,FALSE)</f>
        <v>insite-workflow-SRED</v>
      </c>
      <c r="B1391" s="27" t="str">
        <f>IFERROR(__xludf.DUMMYFUNCTION("""COMPUTED_VALUE"""),"APPS-551")</f>
        <v>APPS-551</v>
      </c>
      <c r="C1391" s="26" t="str">
        <f>IFERROR(__xludf.DUMMYFUNCTION("""COMPUTED_VALUE"""),"Show a warning in the contacts form if the email has already been saved in another contact")</f>
        <v>Show a warning in the contacts form if the email has already been saved in another contact</v>
      </c>
      <c r="D1391" s="28">
        <f>IFERROR(__xludf.DUMMYFUNCTION("""COMPUTED_VALUE"""),0.25)</f>
        <v>0.25</v>
      </c>
      <c r="E1391" s="29">
        <f>IFERROR(__xludf.DUMMYFUNCTION("""COMPUTED_VALUE"""),44155.53125)</f>
        <v>44155.53125</v>
      </c>
      <c r="F1391" s="26" t="str">
        <f>IFERROR(__xludf.DUMMYFUNCTION("""COMPUTED_VALUE"""),"557058:ed1ddc66-d84d-405c-a815-0fcc6147ba14")</f>
        <v>557058:ed1ddc66-d84d-405c-a815-0fcc6147ba14</v>
      </c>
      <c r="G1391" s="26" t="str">
        <f>IFERROR(__xludf.DUMMYFUNCTION("""COMPUTED_VALUE"""),"Mark Corrigan")</f>
        <v>Mark Corrigan</v>
      </c>
      <c r="H1391" s="26" t="b">
        <v>0</v>
      </c>
    </row>
    <row r="1392">
      <c r="A1392" s="26" t="str">
        <f>VLOOKUP(B1392,'2020 SRED (JIRA) - Issues and l'!$B:$C,2,FALSE)</f>
        <v>insite-workflow-SRED</v>
      </c>
      <c r="B1392" s="27" t="str">
        <f>IFERROR(__xludf.DUMMYFUNCTION("""COMPUTED_VALUE"""),"APPS-550")</f>
        <v>APPS-550</v>
      </c>
      <c r="C1392" s="26" t="str">
        <f>IFERROR(__xludf.DUMMYFUNCTION("""COMPUTED_VALUE"""),"Show text + link to service inclusions on touchpoint form")</f>
        <v>Show text + link to service inclusions on touchpoint form</v>
      </c>
      <c r="D1392" s="28">
        <f>IFERROR(__xludf.DUMMYFUNCTION("""COMPUTED_VALUE"""),0.25)</f>
        <v>0.25</v>
      </c>
      <c r="E1392" s="29">
        <f>IFERROR(__xludf.DUMMYFUNCTION("""COMPUTED_VALUE"""),44155.54166666667)</f>
        <v>44155.54167</v>
      </c>
      <c r="F1392" s="26" t="str">
        <f>IFERROR(__xludf.DUMMYFUNCTION("""COMPUTED_VALUE"""),"557058:ed1ddc66-d84d-405c-a815-0fcc6147ba14")</f>
        <v>557058:ed1ddc66-d84d-405c-a815-0fcc6147ba14</v>
      </c>
      <c r="G1392" s="26" t="str">
        <f>IFERROR(__xludf.DUMMYFUNCTION("""COMPUTED_VALUE"""),"Mark Corrigan")</f>
        <v>Mark Corrigan</v>
      </c>
      <c r="H1392" s="26" t="b">
        <v>0</v>
      </c>
    </row>
    <row r="1393">
      <c r="A1393" s="26" t="str">
        <f>VLOOKUP(B1393,'2020 SRED (JIRA) - Issues and l'!$B:$C,2,FALSE)</f>
        <v>insite-workflow-SRED</v>
      </c>
      <c r="B1393" s="27" t="str">
        <f>IFERROR(__xludf.DUMMYFUNCTION("""COMPUTED_VALUE"""),"APPS-536")</f>
        <v>APPS-536</v>
      </c>
      <c r="C1393" s="26" t="str">
        <f>IFERROR(__xludf.DUMMYFUNCTION("""COMPUTED_VALUE"""),"As a salesperson, I can initiate key Sales Pipeline actions from Gmail")</f>
        <v>As a salesperson, I can initiate key Sales Pipeline actions from Gmail</v>
      </c>
      <c r="D1393" s="28">
        <f>IFERROR(__xludf.DUMMYFUNCTION("""COMPUTED_VALUE"""),0.25)</f>
        <v>0.25</v>
      </c>
      <c r="E1393" s="29">
        <f>IFERROR(__xludf.DUMMYFUNCTION("""COMPUTED_VALUE"""),44155.55208333333)</f>
        <v>44155.55208</v>
      </c>
      <c r="F1393" s="26" t="str">
        <f>IFERROR(__xludf.DUMMYFUNCTION("""COMPUTED_VALUE"""),"557058:ed1ddc66-d84d-405c-a815-0fcc6147ba14")</f>
        <v>557058:ed1ddc66-d84d-405c-a815-0fcc6147ba14</v>
      </c>
      <c r="G1393" s="26" t="str">
        <f>IFERROR(__xludf.DUMMYFUNCTION("""COMPUTED_VALUE"""),"Mark Corrigan")</f>
        <v>Mark Corrigan</v>
      </c>
      <c r="H1393" s="26" t="b">
        <v>0</v>
      </c>
    </row>
    <row r="1394">
      <c r="A1394" s="26" t="str">
        <f>VLOOKUP(B1394,'2020 SRED (JIRA) - Issues and l'!$B:$C,2,FALSE)</f>
        <v>insite-workflow-SRED</v>
      </c>
      <c r="B1394" s="27" t="str">
        <f>IFERROR(__xludf.DUMMYFUNCTION("""COMPUTED_VALUE"""),"APPS-546")</f>
        <v>APPS-546</v>
      </c>
      <c r="C1394" s="26" t="str">
        <f>IFERROR(__xludf.DUMMYFUNCTION("""COMPUTED_VALUE"""),"Final review of proposal verbiage/content")</f>
        <v>Final review of proposal verbiage/content</v>
      </c>
      <c r="D1394" s="28">
        <f>IFERROR(__xludf.DUMMYFUNCTION("""COMPUTED_VALUE"""),0.25)</f>
        <v>0.25</v>
      </c>
      <c r="E1394" s="29">
        <f>IFERROR(__xludf.DUMMYFUNCTION("""COMPUTED_VALUE"""),44155.5625)</f>
        <v>44155.5625</v>
      </c>
      <c r="F1394" s="26" t="str">
        <f>IFERROR(__xludf.DUMMYFUNCTION("""COMPUTED_VALUE"""),"557058:ed1ddc66-d84d-405c-a815-0fcc6147ba14")</f>
        <v>557058:ed1ddc66-d84d-405c-a815-0fcc6147ba14</v>
      </c>
      <c r="G1394" s="26" t="str">
        <f>IFERROR(__xludf.DUMMYFUNCTION("""COMPUTED_VALUE"""),"Mark Corrigan")</f>
        <v>Mark Corrigan</v>
      </c>
      <c r="H1394" s="26" t="b">
        <v>0</v>
      </c>
    </row>
    <row r="1395">
      <c r="A1395" s="26" t="str">
        <f>VLOOKUP(B1395,'2020 SRED (JIRA) - Issues and l'!$B:$C,2,FALSE)</f>
        <v>insite-workflow-SRED</v>
      </c>
      <c r="B1395" s="27" t="str">
        <f>IFERROR(__xludf.DUMMYFUNCTION("""COMPUTED_VALUE"""),"APPS-505")</f>
        <v>APPS-505</v>
      </c>
      <c r="C1395" s="26" t="str">
        <f>IFERROR(__xludf.DUMMYFUNCTION("""COMPUTED_VALUE"""),"As a salesperson, I can specify portal hosting duration for each proposal")</f>
        <v>As a salesperson, I can specify portal hosting duration for each proposal</v>
      </c>
      <c r="D1395" s="28">
        <f>IFERROR(__xludf.DUMMYFUNCTION("""COMPUTED_VALUE"""),0.25)</f>
        <v>0.25</v>
      </c>
      <c r="E1395" s="29">
        <f>IFERROR(__xludf.DUMMYFUNCTION("""COMPUTED_VALUE"""),44155.57291666667)</f>
        <v>44155.57292</v>
      </c>
      <c r="F1395" s="26" t="str">
        <f>IFERROR(__xludf.DUMMYFUNCTION("""COMPUTED_VALUE"""),"557058:ed1ddc66-d84d-405c-a815-0fcc6147ba14")</f>
        <v>557058:ed1ddc66-d84d-405c-a815-0fcc6147ba14</v>
      </c>
      <c r="G1395" s="26" t="str">
        <f>IFERROR(__xludf.DUMMYFUNCTION("""COMPUTED_VALUE"""),"Mark Corrigan")</f>
        <v>Mark Corrigan</v>
      </c>
      <c r="H1395" s="26" t="b">
        <v>0</v>
      </c>
    </row>
    <row r="1396" hidden="1">
      <c r="A1396" s="26" t="str">
        <f>VLOOKUP(B1396,'2020 SRED (JIRA) - Issues and l'!$B:$C,2,FALSE)</f>
        <v>insite-workflow-SRED</v>
      </c>
      <c r="B1396" s="27" t="str">
        <f>IFERROR(__xludf.DUMMYFUNCTION("""COMPUTED_VALUE"""),"APPS-549")</f>
        <v>APPS-549</v>
      </c>
      <c r="C1396" s="26" t="str">
        <f>IFERROR(__xludf.DUMMYFUNCTION("""COMPUTED_VALUE"""),"Issue with displaying similar items on proposal doc")</f>
        <v>Issue with displaying similar items on proposal doc</v>
      </c>
      <c r="D1396" s="28">
        <f>IFERROR(__xludf.DUMMYFUNCTION("""COMPUTED_VALUE"""),0.5)</f>
        <v>0.5</v>
      </c>
      <c r="E1396" s="29">
        <f>IFERROR(__xludf.DUMMYFUNCTION("""COMPUTED_VALUE"""),44155.58333333333)</f>
        <v>44155.58333</v>
      </c>
      <c r="F1396" s="26" t="str">
        <f>IFERROR(__xludf.DUMMYFUNCTION("""COMPUTED_VALUE"""),"5ee7b6ce868ce30ac49e2521")</f>
        <v>5ee7b6ce868ce30ac49e2521</v>
      </c>
      <c r="G1396" s="26" t="str">
        <f>IFERROR(__xludf.DUMMYFUNCTION("""COMPUTED_VALUE"""),"Bryan Le")</f>
        <v>Bryan Le</v>
      </c>
      <c r="H1396" s="26" t="b">
        <v>0</v>
      </c>
    </row>
    <row r="1397" hidden="1">
      <c r="A1397" s="26" t="str">
        <f>VLOOKUP(B1397,'2020 SRED (JIRA) - Issues and l'!$B:$C,2,FALSE)</f>
        <v>insite-workflow-SRED</v>
      </c>
      <c r="B1397" s="27" t="str">
        <f>IFERROR(__xludf.DUMMYFUNCTION("""COMPUTED_VALUE"""),"APPS-549")</f>
        <v>APPS-549</v>
      </c>
      <c r="C1397" s="26" t="str">
        <f>IFERROR(__xludf.DUMMYFUNCTION("""COMPUTED_VALUE"""),"Issue with displaying similar items on proposal doc")</f>
        <v>Issue with displaying similar items on proposal doc</v>
      </c>
      <c r="D1397" s="28">
        <f>IFERROR(__xludf.DUMMYFUNCTION("""COMPUTED_VALUE"""),0.75)</f>
        <v>0.75</v>
      </c>
      <c r="E1397" s="29">
        <f>IFERROR(__xludf.DUMMYFUNCTION("""COMPUTED_VALUE"""),44158.33333333333)</f>
        <v>44158.33333</v>
      </c>
      <c r="F1397" s="26" t="str">
        <f>IFERROR(__xludf.DUMMYFUNCTION("""COMPUTED_VALUE"""),"5ee7b6ce868ce30ac49e2521")</f>
        <v>5ee7b6ce868ce30ac49e2521</v>
      </c>
      <c r="G1397" s="26" t="str">
        <f>IFERROR(__xludf.DUMMYFUNCTION("""COMPUTED_VALUE"""),"Bryan Le")</f>
        <v>Bryan Le</v>
      </c>
      <c r="H1397" s="26" t="b">
        <v>0</v>
      </c>
    </row>
    <row r="1398">
      <c r="A1398" s="26" t="str">
        <f>VLOOKUP(B1398,'2020 SRED (JIRA) - Issues and l'!$B:$C,2,FALSE)</f>
        <v>insite-workflow-SRED</v>
      </c>
      <c r="B1398" s="27" t="str">
        <f>IFERROR(__xludf.DUMMYFUNCTION("""COMPUTED_VALUE"""),"APPS-510")</f>
        <v>APPS-510</v>
      </c>
      <c r="C1398" s="26" t="str">
        <f>IFERROR(__xludf.DUMMYFUNCTION("""COMPUTED_VALUE"""),"Improvements to internal review request email")</f>
        <v>Improvements to internal review request email</v>
      </c>
      <c r="D1398" s="28">
        <f>IFERROR(__xludf.DUMMYFUNCTION("""COMPUTED_VALUE"""),0.25)</f>
        <v>0.25</v>
      </c>
      <c r="E1398" s="29">
        <f>IFERROR(__xludf.DUMMYFUNCTION("""COMPUTED_VALUE"""),44158.36111111111)</f>
        <v>44158.36111</v>
      </c>
      <c r="F1398" s="26" t="str">
        <f>IFERROR(__xludf.DUMMYFUNCTION("""COMPUTED_VALUE"""),"557058:ed1ddc66-d84d-405c-a815-0fcc6147ba14")</f>
        <v>557058:ed1ddc66-d84d-405c-a815-0fcc6147ba14</v>
      </c>
      <c r="G1398" s="26" t="str">
        <f>IFERROR(__xludf.DUMMYFUNCTION("""COMPUTED_VALUE"""),"Mark Corrigan")</f>
        <v>Mark Corrigan</v>
      </c>
      <c r="H1398" s="26" t="b">
        <v>0</v>
      </c>
    </row>
    <row r="1399" hidden="1">
      <c r="A1399" s="26" t="str">
        <f>VLOOKUP(B1399,'2020 SRED (JIRA) - Issues and l'!$B:$C,2,FALSE)</f>
        <v>insite-workflow-SRED</v>
      </c>
      <c r="B1399" s="27" t="str">
        <f>IFERROR(__xludf.DUMMYFUNCTION("""COMPUTED_VALUE"""),"APPS-536")</f>
        <v>APPS-536</v>
      </c>
      <c r="C1399" s="26" t="str">
        <f>IFERROR(__xludf.DUMMYFUNCTION("""COMPUTED_VALUE"""),"As a salesperson, I can initiate key Sales Pipeline actions from Gmail")</f>
        <v>As a salesperson, I can initiate key Sales Pipeline actions from Gmail</v>
      </c>
      <c r="D1399" s="28">
        <f>IFERROR(__xludf.DUMMYFUNCTION("""COMPUTED_VALUE"""),4.25)</f>
        <v>4.25</v>
      </c>
      <c r="E1399" s="29">
        <f>IFERROR(__xludf.DUMMYFUNCTION("""COMPUTED_VALUE"""),44158.36458333333)</f>
        <v>44158.36458</v>
      </c>
      <c r="F1399" s="26" t="str">
        <f>IFERROR(__xludf.DUMMYFUNCTION("""COMPUTED_VALUE"""),"5ee7b6ce868ce30ac49e2521")</f>
        <v>5ee7b6ce868ce30ac49e2521</v>
      </c>
      <c r="G1399" s="26" t="str">
        <f>IFERROR(__xludf.DUMMYFUNCTION("""COMPUTED_VALUE"""),"Bryan Le")</f>
        <v>Bryan Le</v>
      </c>
      <c r="H1399" s="26" t="b">
        <v>0</v>
      </c>
    </row>
    <row r="1400">
      <c r="A1400" s="26" t="str">
        <f>VLOOKUP(B1400,'2020 SRED (JIRA) - Issues and l'!$B:$C,2,FALSE)</f>
        <v>insite-workflow-SRED</v>
      </c>
      <c r="B1400" s="27" t="str">
        <f>IFERROR(__xludf.DUMMYFUNCTION("""COMPUTED_VALUE"""),"APPS-526")</f>
        <v>APPS-526</v>
      </c>
      <c r="C1400" s="26" t="str">
        <f>IFERROR(__xludf.DUMMYFUNCTION("""COMPUTED_VALUE"""),"Error with new custom requirements and add-ons/reductions not being added to cost fields in details view")</f>
        <v>Error with new custom requirements and add-ons/reductions not being added to cost fields in details view</v>
      </c>
      <c r="D1400" s="28">
        <f>IFERROR(__xludf.DUMMYFUNCTION("""COMPUTED_VALUE"""),0.5)</f>
        <v>0.5</v>
      </c>
      <c r="E1400" s="29">
        <f>IFERROR(__xludf.DUMMYFUNCTION("""COMPUTED_VALUE"""),44158.37152777778)</f>
        <v>44158.37153</v>
      </c>
      <c r="F1400" s="26" t="str">
        <f>IFERROR(__xludf.DUMMYFUNCTION("""COMPUTED_VALUE"""),"557058:ed1ddc66-d84d-405c-a815-0fcc6147ba14")</f>
        <v>557058:ed1ddc66-d84d-405c-a815-0fcc6147ba14</v>
      </c>
      <c r="G1400" s="26" t="str">
        <f>IFERROR(__xludf.DUMMYFUNCTION("""COMPUTED_VALUE"""),"Mark Corrigan")</f>
        <v>Mark Corrigan</v>
      </c>
      <c r="H1400" s="26" t="b">
        <v>0</v>
      </c>
    </row>
    <row r="1401">
      <c r="A1401" s="26" t="str">
        <f>VLOOKUP(B1401,'2020 SRED (JIRA) - Issues and l'!$B:$C,2,FALSE)</f>
        <v>insite-mapping-SRED</v>
      </c>
      <c r="B1401" s="27" t="str">
        <f>IFERROR(__xludf.DUMMYFUNCTION("""COMPUTED_VALUE"""),"IM-516")</f>
        <v>IM-516</v>
      </c>
      <c r="C1401" s="26" t="str">
        <f>IFERROR(__xludf.DUMMYFUNCTION("""COMPUTED_VALUE"""),"New Space for InSite Mapping™")</f>
        <v>New Space for InSite Mapping™</v>
      </c>
      <c r="D1401" s="28">
        <f>IFERROR(__xludf.DUMMYFUNCTION("""COMPUTED_VALUE"""),0.5)</f>
        <v>0.5</v>
      </c>
      <c r="E1401" s="29">
        <f>IFERROR(__xludf.DUMMYFUNCTION("""COMPUTED_VALUE"""),44158.39236111111)</f>
        <v>44158.39236</v>
      </c>
      <c r="F1401" s="26" t="str">
        <f>IFERROR(__xludf.DUMMYFUNCTION("""COMPUTED_VALUE"""),"557058:ed1ddc66-d84d-405c-a815-0fcc6147ba14")</f>
        <v>557058:ed1ddc66-d84d-405c-a815-0fcc6147ba14</v>
      </c>
      <c r="G1401" s="26" t="str">
        <f>IFERROR(__xludf.DUMMYFUNCTION("""COMPUTED_VALUE"""),"Mark Corrigan")</f>
        <v>Mark Corrigan</v>
      </c>
      <c r="H1401" s="26" t="b">
        <v>0</v>
      </c>
    </row>
    <row r="1402">
      <c r="A1402" s="26" t="str">
        <f>VLOOKUP(B1402,'2020 SRED (JIRA) - Issues and l'!$B:$C,2,FALSE)</f>
        <v>insite-workflow-SRED</v>
      </c>
      <c r="B1402" s="27" t="str">
        <f>IFERROR(__xludf.DUMMYFUNCTION("""COMPUTED_VALUE"""),"APPS-536")</f>
        <v>APPS-536</v>
      </c>
      <c r="C1402" s="26" t="str">
        <f>IFERROR(__xludf.DUMMYFUNCTION("""COMPUTED_VALUE"""),"As a salesperson, I can initiate key Sales Pipeline actions from Gmail")</f>
        <v>As a salesperson, I can initiate key Sales Pipeline actions from Gmail</v>
      </c>
      <c r="D1402" s="28">
        <f>IFERROR(__xludf.DUMMYFUNCTION("""COMPUTED_VALUE"""),0.25)</f>
        <v>0.25</v>
      </c>
      <c r="E1402" s="29">
        <f>IFERROR(__xludf.DUMMYFUNCTION("""COMPUTED_VALUE"""),44158.413194444445)</f>
        <v>44158.41319</v>
      </c>
      <c r="F1402" s="26" t="str">
        <f>IFERROR(__xludf.DUMMYFUNCTION("""COMPUTED_VALUE"""),"557058:ed1ddc66-d84d-405c-a815-0fcc6147ba14")</f>
        <v>557058:ed1ddc66-d84d-405c-a815-0fcc6147ba14</v>
      </c>
      <c r="G1402" s="26" t="str">
        <f>IFERROR(__xludf.DUMMYFUNCTION("""COMPUTED_VALUE"""),"Mark Corrigan")</f>
        <v>Mark Corrigan</v>
      </c>
      <c r="H1402" s="26" t="b">
        <v>0</v>
      </c>
    </row>
    <row r="1403">
      <c r="A1403" s="26" t="str">
        <f>VLOOKUP(B1403,'2020 SRED (JIRA) - Issues and l'!$B:$C,2,FALSE)</f>
        <v>insite-workflow-SRED</v>
      </c>
      <c r="B1403" s="27" t="str">
        <f>IFERROR(__xludf.DUMMYFUNCTION("""COMPUTED_VALUE"""),"APPS-267")</f>
        <v>APPS-267</v>
      </c>
      <c r="C1403" s="26" t="str">
        <f>IFERROR(__xludf.DUMMYFUNCTION("""COMPUTED_VALUE"""),"Final QA, deployment, and training")</f>
        <v>Final QA, deployment, and training</v>
      </c>
      <c r="D1403" s="28">
        <f>IFERROR(__xludf.DUMMYFUNCTION("""COMPUTED_VALUE"""),0.25)</f>
        <v>0.25</v>
      </c>
      <c r="E1403" s="29">
        <f>IFERROR(__xludf.DUMMYFUNCTION("""COMPUTED_VALUE"""),44158.42361111111)</f>
        <v>44158.42361</v>
      </c>
      <c r="F1403" s="26" t="str">
        <f>IFERROR(__xludf.DUMMYFUNCTION("""COMPUTED_VALUE"""),"557058:ed1ddc66-d84d-405c-a815-0fcc6147ba14")</f>
        <v>557058:ed1ddc66-d84d-405c-a815-0fcc6147ba14</v>
      </c>
      <c r="G1403" s="26" t="str">
        <f>IFERROR(__xludf.DUMMYFUNCTION("""COMPUTED_VALUE"""),"Mark Corrigan")</f>
        <v>Mark Corrigan</v>
      </c>
      <c r="H1403" s="26" t="b">
        <v>0</v>
      </c>
    </row>
    <row r="1404">
      <c r="A1404" s="26" t="str">
        <f>VLOOKUP(B1404,'2020 SRED (JIRA) - Issues and l'!$B:$C,2,FALSE)</f>
        <v>insite-workflow-SRED</v>
      </c>
      <c r="B1404" s="27" t="str">
        <f>IFERROR(__xludf.DUMMYFUNCTION("""COMPUTED_VALUE"""),"APPS-505")</f>
        <v>APPS-505</v>
      </c>
      <c r="C1404" s="26" t="str">
        <f>IFERROR(__xludf.DUMMYFUNCTION("""COMPUTED_VALUE"""),"As a salesperson, I can specify portal hosting duration for each proposal")</f>
        <v>As a salesperson, I can specify portal hosting duration for each proposal</v>
      </c>
      <c r="D1404" s="28">
        <f>IFERROR(__xludf.DUMMYFUNCTION("""COMPUTED_VALUE"""),0.25)</f>
        <v>0.25</v>
      </c>
      <c r="E1404" s="29">
        <f>IFERROR(__xludf.DUMMYFUNCTION("""COMPUTED_VALUE"""),44158.43402777778)</f>
        <v>44158.43403</v>
      </c>
      <c r="F1404" s="26" t="str">
        <f>IFERROR(__xludf.DUMMYFUNCTION("""COMPUTED_VALUE"""),"557058:ed1ddc66-d84d-405c-a815-0fcc6147ba14")</f>
        <v>557058:ed1ddc66-d84d-405c-a815-0fcc6147ba14</v>
      </c>
      <c r="G1404" s="26" t="str">
        <f>IFERROR(__xludf.DUMMYFUNCTION("""COMPUTED_VALUE"""),"Mark Corrigan")</f>
        <v>Mark Corrigan</v>
      </c>
      <c r="H1404" s="26" t="b">
        <v>0</v>
      </c>
    </row>
    <row r="1405">
      <c r="A1405" s="26" t="str">
        <f>VLOOKUP(B1405,'2020 SRED (JIRA) - Issues and l'!$B:$C,2,FALSE)</f>
        <v>insite-workflow-SRED</v>
      </c>
      <c r="B1405" s="27" t="str">
        <f>IFERROR(__xludf.DUMMYFUNCTION("""COMPUTED_VALUE"""),"APPS-541")</f>
        <v>APPS-541</v>
      </c>
      <c r="C1405" s="26" t="str">
        <f>IFERROR(__xludf.DUMMYFUNCTION("""COMPUTED_VALUE"""),"As a salesperson, I can increase the total cost of touchpoint service costs by a % rate")</f>
        <v>As a salesperson, I can increase the total cost of touchpoint service costs by a % rate</v>
      </c>
      <c r="D1405" s="28">
        <f>IFERROR(__xludf.DUMMYFUNCTION("""COMPUTED_VALUE"""),0.25)</f>
        <v>0.25</v>
      </c>
      <c r="E1405" s="29">
        <f>IFERROR(__xludf.DUMMYFUNCTION("""COMPUTED_VALUE"""),44158.46527777778)</f>
        <v>44158.46528</v>
      </c>
      <c r="F1405" s="26" t="str">
        <f>IFERROR(__xludf.DUMMYFUNCTION("""COMPUTED_VALUE"""),"557058:ed1ddc66-d84d-405c-a815-0fcc6147ba14")</f>
        <v>557058:ed1ddc66-d84d-405c-a815-0fcc6147ba14</v>
      </c>
      <c r="G1405" s="26" t="str">
        <f>IFERROR(__xludf.DUMMYFUNCTION("""COMPUTED_VALUE"""),"Mark Corrigan")</f>
        <v>Mark Corrigan</v>
      </c>
      <c r="H1405" s="26" t="b">
        <v>0</v>
      </c>
    </row>
    <row r="1406" hidden="1">
      <c r="A1406" s="26" t="str">
        <f>VLOOKUP(B1406,'2020 SRED (JIRA) - Issues and l'!$B:$C,2,FALSE)</f>
        <v>insite-workflow-SRED</v>
      </c>
      <c r="B1406" s="27" t="str">
        <f>IFERROR(__xludf.DUMMYFUNCTION("""COMPUTED_VALUE"""),"APPS-544")</f>
        <v>APPS-544</v>
      </c>
      <c r="C1406" s="26" t="str">
        <f>IFERROR(__xludf.DUMMYFUNCTION("""COMPUTED_VALUE"""),"Add ""Hosting duration"" value to placeholders sheet")</f>
        <v>Add "Hosting duration" value to placeholders sheet</v>
      </c>
      <c r="D1406" s="28">
        <f>IFERROR(__xludf.DUMMYFUNCTION("""COMPUTED_VALUE"""),1.5)</f>
        <v>1.5</v>
      </c>
      <c r="E1406" s="29">
        <f>IFERROR(__xludf.DUMMYFUNCTION("""COMPUTED_VALUE"""),44158.53125)</f>
        <v>44158.53125</v>
      </c>
      <c r="F1406" s="26" t="str">
        <f>IFERROR(__xludf.DUMMYFUNCTION("""COMPUTED_VALUE"""),"5ee7b6ce868ce30ac49e2521")</f>
        <v>5ee7b6ce868ce30ac49e2521</v>
      </c>
      <c r="G1406" s="26" t="str">
        <f>IFERROR(__xludf.DUMMYFUNCTION("""COMPUTED_VALUE"""),"Bryan Le")</f>
        <v>Bryan Le</v>
      </c>
      <c r="H1406" s="26" t="b">
        <v>0</v>
      </c>
    </row>
    <row r="1407" hidden="1">
      <c r="A1407" s="26" t="str">
        <f>VLOOKUP(B1407,'2020 SRED (JIRA) - Issues and l'!$B:$C,2,FALSE)</f>
        <v>insite-mapping-SRED</v>
      </c>
      <c r="B1407" s="27" t="str">
        <f>IFERROR(__xludf.DUMMYFUNCTION("""COMPUTED_VALUE"""),"IM-516")</f>
        <v>IM-516</v>
      </c>
      <c r="C1407" s="26" t="str">
        <f>IFERROR(__xludf.DUMMYFUNCTION("""COMPUTED_VALUE"""),"New Space for InSite Mapping™")</f>
        <v>New Space for InSite Mapping™</v>
      </c>
      <c r="D1407" s="28">
        <f>IFERROR(__xludf.DUMMYFUNCTION("""COMPUTED_VALUE"""),1.25)</f>
        <v>1.25</v>
      </c>
      <c r="E1407" s="29">
        <f>IFERROR(__xludf.DUMMYFUNCTION("""COMPUTED_VALUE"""),44158.5625)</f>
        <v>44158.5625</v>
      </c>
      <c r="F1407" s="26" t="str">
        <f>IFERROR(__xludf.DUMMYFUNCTION("""COMPUTED_VALUE"""),"5b8040c6cd0cc72a612ca6fd")</f>
        <v>5b8040c6cd0cc72a612ca6fd</v>
      </c>
      <c r="G1407" s="26" t="str">
        <f>IFERROR(__xludf.DUMMYFUNCTION("""COMPUTED_VALUE"""),"Cecilia Petrus")</f>
        <v>Cecilia Petrus</v>
      </c>
      <c r="H1407" s="26" t="b">
        <v>0</v>
      </c>
    </row>
    <row r="1408" hidden="1">
      <c r="A1408" s="26" t="str">
        <f>VLOOKUP(B1408,'2020 SRED (JIRA) - Issues and l'!$B:$C,2,FALSE)</f>
        <v>insite-workflow-SRED</v>
      </c>
      <c r="B1408" s="27" t="str">
        <f>IFERROR(__xludf.DUMMYFUNCTION("""COMPUTED_VALUE"""),"APPS-510")</f>
        <v>APPS-510</v>
      </c>
      <c r="C1408" s="26" t="str">
        <f>IFERROR(__xludf.DUMMYFUNCTION("""COMPUTED_VALUE"""),"Improvements to internal review request email")</f>
        <v>Improvements to internal review request email</v>
      </c>
      <c r="D1408" s="28">
        <f>IFERROR(__xludf.DUMMYFUNCTION("""COMPUTED_VALUE"""),0.5)</f>
        <v>0.5</v>
      </c>
      <c r="E1408" s="29">
        <f>IFERROR(__xludf.DUMMYFUNCTION("""COMPUTED_VALUE"""),44158.59375)</f>
        <v>44158.59375</v>
      </c>
      <c r="F1408" s="26" t="str">
        <f>IFERROR(__xludf.DUMMYFUNCTION("""COMPUTED_VALUE"""),"5ee7b6ce868ce30ac49e2521")</f>
        <v>5ee7b6ce868ce30ac49e2521</v>
      </c>
      <c r="G1408" s="26" t="str">
        <f>IFERROR(__xludf.DUMMYFUNCTION("""COMPUTED_VALUE"""),"Bryan Le")</f>
        <v>Bryan Le</v>
      </c>
      <c r="H1408" s="26" t="b">
        <v>0</v>
      </c>
    </row>
    <row r="1409" hidden="1">
      <c r="A1409" s="26" t="str">
        <f>VLOOKUP(B1409,'2020 SRED (JIRA) - Issues and l'!$B:$C,2,FALSE)</f>
        <v>insite-workflow-SRED</v>
      </c>
      <c r="B1409" s="27" t="str">
        <f>IFERROR(__xludf.DUMMYFUNCTION("""COMPUTED_VALUE"""),"APPS-536")</f>
        <v>APPS-536</v>
      </c>
      <c r="C1409" s="26" t="str">
        <f>IFERROR(__xludf.DUMMYFUNCTION("""COMPUTED_VALUE"""),"As a salesperson, I can initiate key Sales Pipeline actions from Gmail")</f>
        <v>As a salesperson, I can initiate key Sales Pipeline actions from Gmail</v>
      </c>
      <c r="D1409" s="28">
        <f>IFERROR(__xludf.DUMMYFUNCTION("""COMPUTED_VALUE"""),3.0)</f>
        <v>3</v>
      </c>
      <c r="E1409" s="29">
        <f>IFERROR(__xludf.DUMMYFUNCTION("""COMPUTED_VALUE"""),44159.33333333333)</f>
        <v>44159.33333</v>
      </c>
      <c r="F1409" s="26" t="str">
        <f>IFERROR(__xludf.DUMMYFUNCTION("""COMPUTED_VALUE"""),"5ee7b6ce868ce30ac49e2521")</f>
        <v>5ee7b6ce868ce30ac49e2521</v>
      </c>
      <c r="G1409" s="26" t="str">
        <f>IFERROR(__xludf.DUMMYFUNCTION("""COMPUTED_VALUE"""),"Bryan Le")</f>
        <v>Bryan Le</v>
      </c>
      <c r="H1409" s="26" t="b">
        <v>0</v>
      </c>
    </row>
    <row r="1410" hidden="1">
      <c r="A1410" s="26" t="str">
        <f>VLOOKUP(B1410,'2020 SRED (JIRA) - Issues and l'!$B:$C,2,FALSE)</f>
        <v>insite-workflow-SRED</v>
      </c>
      <c r="B1410" s="27" t="str">
        <f>IFERROR(__xludf.DUMMYFUNCTION("""COMPUTED_VALUE"""),"APPS-541")</f>
        <v>APPS-541</v>
      </c>
      <c r="C1410" s="26" t="str">
        <f>IFERROR(__xludf.DUMMYFUNCTION("""COMPUTED_VALUE"""),"As a salesperson, I can increase the total cost of touchpoint service costs by a % rate")</f>
        <v>As a salesperson, I can increase the total cost of touchpoint service costs by a % rate</v>
      </c>
      <c r="D1410" s="28">
        <f>IFERROR(__xludf.DUMMYFUNCTION("""COMPUTED_VALUE"""),7.0)</f>
        <v>7</v>
      </c>
      <c r="E1410" s="29">
        <f>IFERROR(__xludf.DUMMYFUNCTION("""COMPUTED_VALUE"""),44159.33333333333)</f>
        <v>44159.33333</v>
      </c>
      <c r="F1410" s="26" t="str">
        <f>IFERROR(__xludf.DUMMYFUNCTION("""COMPUTED_VALUE"""),"5ee7b6cf02b4400ac4b65399")</f>
        <v>5ee7b6cf02b4400ac4b65399</v>
      </c>
      <c r="G1410" s="26" t="str">
        <f>IFERROR(__xludf.DUMMYFUNCTION("""COMPUTED_VALUE"""),"Jessica Obando")</f>
        <v>Jessica Obando</v>
      </c>
      <c r="H1410" s="26" t="b">
        <v>0</v>
      </c>
    </row>
    <row r="1411">
      <c r="A1411" s="26" t="str">
        <f>VLOOKUP(B1411,'2020 SRED (JIRA) - Issues and l'!$B:$C,2,FALSE)</f>
        <v>insite-event-SRED</v>
      </c>
      <c r="B1411" s="27" t="str">
        <f>IFERROR(__xludf.DUMMYFUNCTION("""COMPUTED_VALUE"""),"PDP-242")</f>
        <v>PDP-242</v>
      </c>
      <c r="C1411" s="26" t="str">
        <f>IFERROR(__xludf.DUMMYFUNCTION("""COMPUTED_VALUE"""),"Research webform component options for tags")</f>
        <v>Research webform component options for tags</v>
      </c>
      <c r="D1411" s="28">
        <f>IFERROR(__xludf.DUMMYFUNCTION("""COMPUTED_VALUE"""),0.25)</f>
        <v>0.25</v>
      </c>
      <c r="E1411" s="29">
        <f>IFERROR(__xludf.DUMMYFUNCTION("""COMPUTED_VALUE"""),44159.38541666667)</f>
        <v>44159.38542</v>
      </c>
      <c r="F1411" s="26" t="str">
        <f>IFERROR(__xludf.DUMMYFUNCTION("""COMPUTED_VALUE"""),"557058:ed1ddc66-d84d-405c-a815-0fcc6147ba14")</f>
        <v>557058:ed1ddc66-d84d-405c-a815-0fcc6147ba14</v>
      </c>
      <c r="G1411" s="26" t="str">
        <f>IFERROR(__xludf.DUMMYFUNCTION("""COMPUTED_VALUE"""),"Mark Corrigan")</f>
        <v>Mark Corrigan</v>
      </c>
      <c r="H1411" s="26" t="b">
        <v>0</v>
      </c>
    </row>
    <row r="1412">
      <c r="A1412" s="26" t="str">
        <f>VLOOKUP(B1412,'2020 SRED (JIRA) - Issues and l'!$B:$C,2,FALSE)</f>
        <v>insite-workflow-SRED</v>
      </c>
      <c r="B1412" s="27" t="str">
        <f>IFERROR(__xludf.DUMMYFUNCTION("""COMPUTED_VALUE"""),"APPS-69")</f>
        <v>APPS-69</v>
      </c>
      <c r="C1412" s="26" t="str">
        <f>IFERROR(__xludf.DUMMYFUNCTION("""COMPUTED_VALUE"""),"As a salesperson, I can search and insert customer stories into prospect emails")</f>
        <v>As a salesperson, I can search and insert customer stories into prospect emails</v>
      </c>
      <c r="D1412" s="28">
        <f>IFERROR(__xludf.DUMMYFUNCTION("""COMPUTED_VALUE"""),1.0)</f>
        <v>1</v>
      </c>
      <c r="E1412" s="29">
        <f>IFERROR(__xludf.DUMMYFUNCTION("""COMPUTED_VALUE"""),44159.39583333333)</f>
        <v>44159.39583</v>
      </c>
      <c r="F1412" s="26" t="str">
        <f>IFERROR(__xludf.DUMMYFUNCTION("""COMPUTED_VALUE"""),"557058:ed1ddc66-d84d-405c-a815-0fcc6147ba14")</f>
        <v>557058:ed1ddc66-d84d-405c-a815-0fcc6147ba14</v>
      </c>
      <c r="G1412" s="26" t="str">
        <f>IFERROR(__xludf.DUMMYFUNCTION("""COMPUTED_VALUE"""),"Mark Corrigan")</f>
        <v>Mark Corrigan</v>
      </c>
      <c r="H1412" s="26" t="b">
        <v>0</v>
      </c>
    </row>
    <row r="1413">
      <c r="A1413" s="26" t="str">
        <f>VLOOKUP(B1413,'2020 SRED (JIRA) - Issues and l'!$B:$C,2,FALSE)</f>
        <v>insite-workflow-SRED</v>
      </c>
      <c r="B1413" s="27" t="str">
        <f>IFERROR(__xludf.DUMMYFUNCTION("""COMPUTED_VALUE"""),"APPS-536")</f>
        <v>APPS-536</v>
      </c>
      <c r="C1413" s="26" t="str">
        <f>IFERROR(__xludf.DUMMYFUNCTION("""COMPUTED_VALUE"""),"As a salesperson, I can initiate key Sales Pipeline actions from Gmail")</f>
        <v>As a salesperson, I can initiate key Sales Pipeline actions from Gmail</v>
      </c>
      <c r="D1413" s="28">
        <f>IFERROR(__xludf.DUMMYFUNCTION("""COMPUTED_VALUE"""),1.0)</f>
        <v>1</v>
      </c>
      <c r="E1413" s="29">
        <f>IFERROR(__xludf.DUMMYFUNCTION("""COMPUTED_VALUE"""),44159.4375)</f>
        <v>44159.4375</v>
      </c>
      <c r="F1413" s="26" t="str">
        <f>IFERROR(__xludf.DUMMYFUNCTION("""COMPUTED_VALUE"""),"557058:ed1ddc66-d84d-405c-a815-0fcc6147ba14")</f>
        <v>557058:ed1ddc66-d84d-405c-a815-0fcc6147ba14</v>
      </c>
      <c r="G1413" s="26" t="str">
        <f>IFERROR(__xludf.DUMMYFUNCTION("""COMPUTED_VALUE"""),"Mark Corrigan")</f>
        <v>Mark Corrigan</v>
      </c>
      <c r="H1413" s="26" t="b">
        <v>0</v>
      </c>
    </row>
    <row r="1414" hidden="1">
      <c r="A1414" s="26" t="str">
        <f>VLOOKUP(B1414,'2020 SRED (JIRA) - Issues and l'!$B:$C,2,FALSE)</f>
        <v>insite-workflow-SRED</v>
      </c>
      <c r="B1414" s="27" t="str">
        <f>IFERROR(__xludf.DUMMYFUNCTION("""COMPUTED_VALUE"""),"APPS-69")</f>
        <v>APPS-69</v>
      </c>
      <c r="C1414" s="26" t="str">
        <f>IFERROR(__xludf.DUMMYFUNCTION("""COMPUTED_VALUE"""),"As a salesperson, I can search and insert customer stories into prospect emails")</f>
        <v>As a salesperson, I can search and insert customer stories into prospect emails</v>
      </c>
      <c r="D1414" s="28">
        <f>IFERROR(__xludf.DUMMYFUNCTION("""COMPUTED_VALUE"""),4.0)</f>
        <v>4</v>
      </c>
      <c r="E1414" s="29">
        <f>IFERROR(__xludf.DUMMYFUNCTION("""COMPUTED_VALUE"""),44159.45833333333)</f>
        <v>44159.45833</v>
      </c>
      <c r="F1414" s="26" t="str">
        <f>IFERROR(__xludf.DUMMYFUNCTION("""COMPUTED_VALUE"""),"5ee7b6ce868ce30ac49e2521")</f>
        <v>5ee7b6ce868ce30ac49e2521</v>
      </c>
      <c r="G1414" s="26" t="str">
        <f>IFERROR(__xludf.DUMMYFUNCTION("""COMPUTED_VALUE"""),"Bryan Le")</f>
        <v>Bryan Le</v>
      </c>
      <c r="H1414" s="26" t="b">
        <v>0</v>
      </c>
    </row>
    <row r="1415">
      <c r="A1415" s="26" t="str">
        <f>VLOOKUP(B1415,'2020 SRED (JIRA) - Issues and l'!$B:$C,2,FALSE)</f>
        <v>insite-workflow-SRED</v>
      </c>
      <c r="B1415" s="27" t="str">
        <f>IFERROR(__xludf.DUMMYFUNCTION("""COMPUTED_VALUE"""),"APPS-80")</f>
        <v>APPS-80</v>
      </c>
      <c r="C1415" s="26" t="str">
        <f>IFERROR(__xludf.DUMMYFUNCTION("""COMPUTED_VALUE"""),"Projects app (v1)")</f>
        <v>Projects app (v1)</v>
      </c>
      <c r="D1415" s="28">
        <f>IFERROR(__xludf.DUMMYFUNCTION("""COMPUTED_VALUE"""),0.5)</f>
        <v>0.5</v>
      </c>
      <c r="E1415" s="29">
        <f>IFERROR(__xludf.DUMMYFUNCTION("""COMPUTED_VALUE"""),44159.47916666667)</f>
        <v>44159.47917</v>
      </c>
      <c r="F1415" s="26" t="str">
        <f>IFERROR(__xludf.DUMMYFUNCTION("""COMPUTED_VALUE"""),"557058:ed1ddc66-d84d-405c-a815-0fcc6147ba14")</f>
        <v>557058:ed1ddc66-d84d-405c-a815-0fcc6147ba14</v>
      </c>
      <c r="G1415" s="26" t="str">
        <f>IFERROR(__xludf.DUMMYFUNCTION("""COMPUTED_VALUE"""),"Mark Corrigan")</f>
        <v>Mark Corrigan</v>
      </c>
      <c r="H1415" s="26" t="b">
        <v>0</v>
      </c>
    </row>
    <row r="1416">
      <c r="A1416" s="26" t="str">
        <f>VLOOKUP(B1416,'2020 SRED (JIRA) - Issues and l'!$B:$C,2,FALSE)</f>
        <v>insite-workflow-SRED</v>
      </c>
      <c r="B1416" s="27" t="str">
        <f>IFERROR(__xludf.DUMMYFUNCTION("""COMPUTED_VALUE"""),"APPS-541")</f>
        <v>APPS-541</v>
      </c>
      <c r="C1416" s="26" t="str">
        <f>IFERROR(__xludf.DUMMYFUNCTION("""COMPUTED_VALUE"""),"As a salesperson, I can increase the total cost of touchpoint service costs by a % rate")</f>
        <v>As a salesperson, I can increase the total cost of touchpoint service costs by a % rate</v>
      </c>
      <c r="D1416" s="28">
        <f>IFERROR(__xludf.DUMMYFUNCTION("""COMPUTED_VALUE"""),0.25)</f>
        <v>0.25</v>
      </c>
      <c r="E1416" s="29">
        <f>IFERROR(__xludf.DUMMYFUNCTION("""COMPUTED_VALUE"""),44159.52083333333)</f>
        <v>44159.52083</v>
      </c>
      <c r="F1416" s="26" t="str">
        <f>IFERROR(__xludf.DUMMYFUNCTION("""COMPUTED_VALUE"""),"557058:ed1ddc66-d84d-405c-a815-0fcc6147ba14")</f>
        <v>557058:ed1ddc66-d84d-405c-a815-0fcc6147ba14</v>
      </c>
      <c r="G1416" s="26" t="str">
        <f>IFERROR(__xludf.DUMMYFUNCTION("""COMPUTED_VALUE"""),"Mark Corrigan")</f>
        <v>Mark Corrigan</v>
      </c>
      <c r="H1416" s="26" t="b">
        <v>0</v>
      </c>
    </row>
    <row r="1417">
      <c r="A1417" s="26" t="str">
        <f>VLOOKUP(B1417,'2020 SRED (JIRA) - Issues and l'!$B:$C,2,FALSE)</f>
        <v>insite-workflow-SRED</v>
      </c>
      <c r="B1417" s="27" t="str">
        <f>IFERROR(__xludf.DUMMYFUNCTION("""COMPUTED_VALUE"""),"APPS-526")</f>
        <v>APPS-526</v>
      </c>
      <c r="C1417" s="26" t="str">
        <f>IFERROR(__xludf.DUMMYFUNCTION("""COMPUTED_VALUE"""),"Error with new custom requirements and add-ons/reductions not being added to cost fields in details view")</f>
        <v>Error with new custom requirements and add-ons/reductions not being added to cost fields in details view</v>
      </c>
      <c r="D1417" s="28">
        <f>IFERROR(__xludf.DUMMYFUNCTION("""COMPUTED_VALUE"""),0.25)</f>
        <v>0.25</v>
      </c>
      <c r="E1417" s="29">
        <f>IFERROR(__xludf.DUMMYFUNCTION("""COMPUTED_VALUE"""),44159.53125)</f>
        <v>44159.53125</v>
      </c>
      <c r="F1417" s="26" t="str">
        <f>IFERROR(__xludf.DUMMYFUNCTION("""COMPUTED_VALUE"""),"557058:ed1ddc66-d84d-405c-a815-0fcc6147ba14")</f>
        <v>557058:ed1ddc66-d84d-405c-a815-0fcc6147ba14</v>
      </c>
      <c r="G1417" s="26" t="str">
        <f>IFERROR(__xludf.DUMMYFUNCTION("""COMPUTED_VALUE"""),"Mark Corrigan")</f>
        <v>Mark Corrigan</v>
      </c>
      <c r="H1417" s="26" t="b">
        <v>0</v>
      </c>
    </row>
    <row r="1418" hidden="1">
      <c r="A1418" s="26" t="str">
        <f>VLOOKUP(B1418,'2020 SRED (JIRA) - Issues and l'!$B:$C,2,FALSE)</f>
        <v>insite-workflow-SRED</v>
      </c>
      <c r="B1418" s="27" t="str">
        <f>IFERROR(__xludf.DUMMYFUNCTION("""COMPUTED_VALUE"""),"APPS-69")</f>
        <v>APPS-69</v>
      </c>
      <c r="C1418" s="26" t="str">
        <f>IFERROR(__xludf.DUMMYFUNCTION("""COMPUTED_VALUE"""),"As a salesperson, I can search and insert customer stories into prospect emails")</f>
        <v>As a salesperson, I can search and insert customer stories into prospect emails</v>
      </c>
      <c r="D1418" s="28">
        <f>IFERROR(__xludf.DUMMYFUNCTION("""COMPUTED_VALUE"""),3.0)</f>
        <v>3</v>
      </c>
      <c r="E1418" s="29">
        <f>IFERROR(__xludf.DUMMYFUNCTION("""COMPUTED_VALUE"""),44160.33333333333)</f>
        <v>44160.33333</v>
      </c>
      <c r="F1418" s="26" t="str">
        <f>IFERROR(__xludf.DUMMYFUNCTION("""COMPUTED_VALUE"""),"5ee7b6ce868ce30ac49e2521")</f>
        <v>5ee7b6ce868ce30ac49e2521</v>
      </c>
      <c r="G1418" s="26" t="str">
        <f>IFERROR(__xludf.DUMMYFUNCTION("""COMPUTED_VALUE"""),"Bryan Le")</f>
        <v>Bryan Le</v>
      </c>
      <c r="H1418" s="26" t="b">
        <v>0</v>
      </c>
    </row>
    <row r="1419" hidden="1">
      <c r="A1419" s="26" t="str">
        <f>VLOOKUP(B1419,'2020 SRED (JIRA) - Issues and l'!$B:$C,2,FALSE)</f>
        <v>insite-workflow-SRED</v>
      </c>
      <c r="B1419" s="27" t="str">
        <f>IFERROR(__xludf.DUMMYFUNCTION("""COMPUTED_VALUE"""),"APPS-510")</f>
        <v>APPS-510</v>
      </c>
      <c r="C1419" s="26" t="str">
        <f>IFERROR(__xludf.DUMMYFUNCTION("""COMPUTED_VALUE"""),"Improvements to internal review request email")</f>
        <v>Improvements to internal review request email</v>
      </c>
      <c r="D1419" s="28">
        <f>IFERROR(__xludf.DUMMYFUNCTION("""COMPUTED_VALUE"""),7.0)</f>
        <v>7</v>
      </c>
      <c r="E1419" s="29">
        <f>IFERROR(__xludf.DUMMYFUNCTION("""COMPUTED_VALUE"""),44160.33333333333)</f>
        <v>44160.33333</v>
      </c>
      <c r="F1419" s="26" t="str">
        <f>IFERROR(__xludf.DUMMYFUNCTION("""COMPUTED_VALUE"""),"5ee7b6cf02b4400ac4b65399")</f>
        <v>5ee7b6cf02b4400ac4b65399</v>
      </c>
      <c r="G1419" s="26" t="str">
        <f>IFERROR(__xludf.DUMMYFUNCTION("""COMPUTED_VALUE"""),"Jessica Obando")</f>
        <v>Jessica Obando</v>
      </c>
      <c r="H1419" s="26" t="b">
        <v>0</v>
      </c>
    </row>
    <row r="1420">
      <c r="A1420" s="26" t="str">
        <f>VLOOKUP(B1420,'2020 SRED (JIRA) - Issues and l'!$B:$C,2,FALSE)</f>
        <v>insite-workflow-SRED</v>
      </c>
      <c r="B1420" s="27" t="str">
        <f>IFERROR(__xludf.DUMMYFUNCTION("""COMPUTED_VALUE"""),"APPS-553")</f>
        <v>APPS-553</v>
      </c>
      <c r="C1420" s="26" t="str">
        <f>IFERROR(__xludf.DUMMYFUNCTION("""COMPUTED_VALUE"""),"Investigate permissions error")</f>
        <v>Investigate permissions error</v>
      </c>
      <c r="D1420" s="28">
        <f>IFERROR(__xludf.DUMMYFUNCTION("""COMPUTED_VALUE"""),0.5)</f>
        <v>0.5</v>
      </c>
      <c r="E1420" s="29">
        <f>IFERROR(__xludf.DUMMYFUNCTION("""COMPUTED_VALUE"""),44160.35416666667)</f>
        <v>44160.35417</v>
      </c>
      <c r="F1420" s="26" t="str">
        <f>IFERROR(__xludf.DUMMYFUNCTION("""COMPUTED_VALUE"""),"557058:ed1ddc66-d84d-405c-a815-0fcc6147ba14")</f>
        <v>557058:ed1ddc66-d84d-405c-a815-0fcc6147ba14</v>
      </c>
      <c r="G1420" s="26" t="str">
        <f>IFERROR(__xludf.DUMMYFUNCTION("""COMPUTED_VALUE"""),"Mark Corrigan")</f>
        <v>Mark Corrigan</v>
      </c>
      <c r="H1420" s="26" t="b">
        <v>0</v>
      </c>
    </row>
    <row r="1421">
      <c r="A1421" s="26" t="str">
        <f>VLOOKUP(B1421,'2020 SRED (JIRA) - Issues and l'!$B:$C,2,FALSE)</f>
        <v>insite-workflow-SRED</v>
      </c>
      <c r="B1421" s="27" t="str">
        <f>IFERROR(__xludf.DUMMYFUNCTION("""COMPUTED_VALUE"""),"APPS-267")</f>
        <v>APPS-267</v>
      </c>
      <c r="C1421" s="26" t="str">
        <f>IFERROR(__xludf.DUMMYFUNCTION("""COMPUTED_VALUE"""),"Final QA, deployment, and training")</f>
        <v>Final QA, deployment, and training</v>
      </c>
      <c r="D1421" s="28">
        <f>IFERROR(__xludf.DUMMYFUNCTION("""COMPUTED_VALUE"""),0.5)</f>
        <v>0.5</v>
      </c>
      <c r="E1421" s="29">
        <f>IFERROR(__xludf.DUMMYFUNCTION("""COMPUTED_VALUE"""),44160.42708333333)</f>
        <v>44160.42708</v>
      </c>
      <c r="F1421" s="26" t="str">
        <f>IFERROR(__xludf.DUMMYFUNCTION("""COMPUTED_VALUE"""),"557058:ed1ddc66-d84d-405c-a815-0fcc6147ba14")</f>
        <v>557058:ed1ddc66-d84d-405c-a815-0fcc6147ba14</v>
      </c>
      <c r="G1421" s="26" t="str">
        <f>IFERROR(__xludf.DUMMYFUNCTION("""COMPUTED_VALUE"""),"Mark Corrigan")</f>
        <v>Mark Corrigan</v>
      </c>
      <c r="H1421" s="26" t="b">
        <v>0</v>
      </c>
    </row>
    <row r="1422">
      <c r="A1422" s="26" t="str">
        <f>VLOOKUP(B1422,'2020 SRED (JIRA) - Issues and l'!$B:$C,2,FALSE)</f>
        <v>insite-workflow-SRED</v>
      </c>
      <c r="B1422" s="27" t="str">
        <f>IFERROR(__xludf.DUMMYFUNCTION("""COMPUTED_VALUE"""),"APPS-69")</f>
        <v>APPS-69</v>
      </c>
      <c r="C1422" s="26" t="str">
        <f>IFERROR(__xludf.DUMMYFUNCTION("""COMPUTED_VALUE"""),"As a salesperson, I can search and insert customer stories into prospect emails")</f>
        <v>As a salesperson, I can search and insert customer stories into prospect emails</v>
      </c>
      <c r="D1422" s="28">
        <f>IFERROR(__xludf.DUMMYFUNCTION("""COMPUTED_VALUE"""),0.25)</f>
        <v>0.25</v>
      </c>
      <c r="E1422" s="29">
        <f>IFERROR(__xludf.DUMMYFUNCTION("""COMPUTED_VALUE"""),44160.44791666667)</f>
        <v>44160.44792</v>
      </c>
      <c r="F1422" s="26" t="str">
        <f>IFERROR(__xludf.DUMMYFUNCTION("""COMPUTED_VALUE"""),"557058:ed1ddc66-d84d-405c-a815-0fcc6147ba14")</f>
        <v>557058:ed1ddc66-d84d-405c-a815-0fcc6147ba14</v>
      </c>
      <c r="G1422" s="26" t="str">
        <f>IFERROR(__xludf.DUMMYFUNCTION("""COMPUTED_VALUE"""),"Mark Corrigan")</f>
        <v>Mark Corrigan</v>
      </c>
      <c r="H1422" s="26" t="b">
        <v>0</v>
      </c>
    </row>
    <row r="1423" hidden="1">
      <c r="A1423" s="26" t="str">
        <f>VLOOKUP(B1423,'2020 SRED (JIRA) - Issues and l'!$B:$C,2,FALSE)</f>
        <v>insite-workflow-SRED</v>
      </c>
      <c r="B1423" s="27" t="str">
        <f>IFERROR(__xludf.DUMMYFUNCTION("""COMPUTED_VALUE"""),"APPS-69")</f>
        <v>APPS-69</v>
      </c>
      <c r="C1423" s="26" t="str">
        <f>IFERROR(__xludf.DUMMYFUNCTION("""COMPUTED_VALUE"""),"As a salesperson, I can search and insert customer stories into prospect emails")</f>
        <v>As a salesperson, I can search and insert customer stories into prospect emails</v>
      </c>
      <c r="D1423" s="28">
        <f>IFERROR(__xludf.DUMMYFUNCTION("""COMPUTED_VALUE"""),4.0)</f>
        <v>4</v>
      </c>
      <c r="E1423" s="29">
        <f>IFERROR(__xludf.DUMMYFUNCTION("""COMPUTED_VALUE"""),44160.45833333333)</f>
        <v>44160.45833</v>
      </c>
      <c r="F1423" s="26" t="str">
        <f>IFERROR(__xludf.DUMMYFUNCTION("""COMPUTED_VALUE"""),"5ee7b6ce868ce30ac49e2521")</f>
        <v>5ee7b6ce868ce30ac49e2521</v>
      </c>
      <c r="G1423" s="26" t="str">
        <f>IFERROR(__xludf.DUMMYFUNCTION("""COMPUTED_VALUE"""),"Bryan Le")</f>
        <v>Bryan Le</v>
      </c>
      <c r="H1423" s="26" t="b">
        <v>0</v>
      </c>
    </row>
    <row r="1424" hidden="1">
      <c r="A1424" s="26" t="str">
        <f>VLOOKUP(B1424,'2020 SRED (JIRA) - Issues and l'!$B:$C,2,FALSE)</f>
        <v>portal-builder-SRED</v>
      </c>
      <c r="B1424" s="27" t="str">
        <f>IFERROR(__xludf.DUMMYFUNCTION("""COMPUTED_VALUE"""),"ITP-1874")</f>
        <v>ITP-1874</v>
      </c>
      <c r="C1424" s="26" t="str">
        <f>IFERROR(__xludf.DUMMYFUNCTION("""COMPUTED_VALUE"""),"Multiple webform submission group conditions")</f>
        <v>Multiple webform submission group conditions</v>
      </c>
      <c r="D1424" s="28">
        <f>IFERROR(__xludf.DUMMYFUNCTION("""COMPUTED_VALUE"""),0.25)</f>
        <v>0.25</v>
      </c>
      <c r="E1424" s="29">
        <f>IFERROR(__xludf.DUMMYFUNCTION("""COMPUTED_VALUE"""),44161.30208333333)</f>
        <v>44161.30208</v>
      </c>
      <c r="F1424" s="26" t="str">
        <f>IFERROR(__xludf.DUMMYFUNCTION("""COMPUTED_VALUE"""),"5f5125a6333edb00434bffaf")</f>
        <v>5f5125a6333edb00434bffaf</v>
      </c>
      <c r="G1424" s="26" t="str">
        <f>IFERROR(__xludf.DUMMYFUNCTION("""COMPUTED_VALUE"""),"Terry Waldner")</f>
        <v>Terry Waldner</v>
      </c>
      <c r="H1424" s="26" t="b">
        <v>0</v>
      </c>
    </row>
    <row r="1425" hidden="1">
      <c r="A1425" s="26" t="str">
        <f>VLOOKUP(B1425,'2020 SRED (JIRA) - Issues and l'!$B:$C,2,FALSE)</f>
        <v>insite-workflow-SRED</v>
      </c>
      <c r="B1425" s="27" t="str">
        <f>IFERROR(__xludf.DUMMYFUNCTION("""COMPUTED_VALUE"""),"APPS-69")</f>
        <v>APPS-69</v>
      </c>
      <c r="C1425" s="26" t="str">
        <f>IFERROR(__xludf.DUMMYFUNCTION("""COMPUTED_VALUE"""),"As a salesperson, I can search and insert customer stories into prospect emails")</f>
        <v>As a salesperson, I can search and insert customer stories into prospect emails</v>
      </c>
      <c r="D1425" s="28">
        <f>IFERROR(__xludf.DUMMYFUNCTION("""COMPUTED_VALUE"""),5.0)</f>
        <v>5</v>
      </c>
      <c r="E1425" s="29">
        <f>IFERROR(__xludf.DUMMYFUNCTION("""COMPUTED_VALUE"""),44161.33333333333)</f>
        <v>44161.33333</v>
      </c>
      <c r="F1425" s="26" t="str">
        <f>IFERROR(__xludf.DUMMYFUNCTION("""COMPUTED_VALUE"""),"5ee7b6ce868ce30ac49e2521")</f>
        <v>5ee7b6ce868ce30ac49e2521</v>
      </c>
      <c r="G1425" s="26" t="str">
        <f>IFERROR(__xludf.DUMMYFUNCTION("""COMPUTED_VALUE"""),"Bryan Le")</f>
        <v>Bryan Le</v>
      </c>
      <c r="H1425" s="26" t="b">
        <v>0</v>
      </c>
    </row>
    <row r="1426" hidden="1">
      <c r="A1426" s="26" t="str">
        <f>VLOOKUP(B1426,'2020 SRED (JIRA) - Issues and l'!$B:$C,2,FALSE)</f>
        <v>insite-workflow-SRED</v>
      </c>
      <c r="B1426" s="27" t="str">
        <f>IFERROR(__xludf.DUMMYFUNCTION("""COMPUTED_VALUE"""),"APPS-554")</f>
        <v>APPS-554</v>
      </c>
      <c r="C1426" s="26" t="str">
        <f>IFERROR(__xludf.DUMMYFUNCTION("""COMPUTED_VALUE"""),"Add program objectives to proposal builder, show full objective")</f>
        <v>Add program objectives to proposal builder, show full objective</v>
      </c>
      <c r="D1426" s="28">
        <f>IFERROR(__xludf.DUMMYFUNCTION("""COMPUTED_VALUE"""),8.0)</f>
        <v>8</v>
      </c>
      <c r="E1426" s="29">
        <f>IFERROR(__xludf.DUMMYFUNCTION("""COMPUTED_VALUE"""),44161.33333333333)</f>
        <v>44161.33333</v>
      </c>
      <c r="F1426" s="26" t="str">
        <f>IFERROR(__xludf.DUMMYFUNCTION("""COMPUTED_VALUE"""),"5ee7b6cf02b4400ac4b65399")</f>
        <v>5ee7b6cf02b4400ac4b65399</v>
      </c>
      <c r="G1426" s="26" t="str">
        <f>IFERROR(__xludf.DUMMYFUNCTION("""COMPUTED_VALUE"""),"Jessica Obando")</f>
        <v>Jessica Obando</v>
      </c>
      <c r="H1426" s="26" t="b">
        <v>0</v>
      </c>
    </row>
    <row r="1427" hidden="1">
      <c r="A1427" s="26" t="str">
        <f>VLOOKUP(B1427,'2020 SRED (JIRA) - Issues and l'!$B:$C,2,FALSE)</f>
        <v>portal-builder-SRED</v>
      </c>
      <c r="B1427" s="27" t="str">
        <f>IFERROR(__xludf.DUMMYFUNCTION("""COMPUTED_VALUE"""),"ITP-1877")</f>
        <v>ITP-1877</v>
      </c>
      <c r="C1427" s="26" t="str">
        <f>IFERROR(__xludf.DUMMYFUNCTION("""COMPUTED_VALUE"""),"TP builder makes pages with section titles longer than allowed character limit ")</f>
        <v>TP builder makes pages with section titles longer than allowed character limit </v>
      </c>
      <c r="D1427" s="28">
        <f>IFERROR(__xludf.DUMMYFUNCTION("""COMPUTED_VALUE"""),0.5)</f>
        <v>0.5</v>
      </c>
      <c r="E1427" s="29">
        <f>IFERROR(__xludf.DUMMYFUNCTION("""COMPUTED_VALUE"""),44161.33333333333)</f>
        <v>44161.33333</v>
      </c>
      <c r="F1427" s="26" t="str">
        <f>IFERROR(__xludf.DUMMYFUNCTION("""COMPUTED_VALUE"""),"5f5125a6333edb00434bffaf")</f>
        <v>5f5125a6333edb00434bffaf</v>
      </c>
      <c r="G1427" s="26" t="str">
        <f>IFERROR(__xludf.DUMMYFUNCTION("""COMPUTED_VALUE"""),"Terry Waldner")</f>
        <v>Terry Waldner</v>
      </c>
      <c r="H1427" s="26" t="b">
        <v>0</v>
      </c>
    </row>
    <row r="1428">
      <c r="A1428" s="26" t="str">
        <f>VLOOKUP(B1428,'2020 SRED (JIRA) - Issues and l'!$B:$C,2,FALSE)</f>
        <v>insite-workflow-SRED</v>
      </c>
      <c r="B1428" s="27" t="str">
        <f>IFERROR(__xludf.DUMMYFUNCTION("""COMPUTED_VALUE"""),"APPS-69")</f>
        <v>APPS-69</v>
      </c>
      <c r="C1428" s="26" t="str">
        <f>IFERROR(__xludf.DUMMYFUNCTION("""COMPUTED_VALUE"""),"As a salesperson, I can search and insert customer stories into prospect emails")</f>
        <v>As a salesperson, I can search and insert customer stories into prospect emails</v>
      </c>
      <c r="D1428" s="28">
        <f>IFERROR(__xludf.DUMMYFUNCTION("""COMPUTED_VALUE"""),0.25)</f>
        <v>0.25</v>
      </c>
      <c r="E1428" s="29">
        <f>IFERROR(__xludf.DUMMYFUNCTION("""COMPUTED_VALUE"""),44161.35416666667)</f>
        <v>44161.35417</v>
      </c>
      <c r="F1428" s="26" t="str">
        <f>IFERROR(__xludf.DUMMYFUNCTION("""COMPUTED_VALUE"""),"557058:ed1ddc66-d84d-405c-a815-0fcc6147ba14")</f>
        <v>557058:ed1ddc66-d84d-405c-a815-0fcc6147ba14</v>
      </c>
      <c r="G1428" s="26" t="str">
        <f>IFERROR(__xludf.DUMMYFUNCTION("""COMPUTED_VALUE"""),"Mark Corrigan")</f>
        <v>Mark Corrigan</v>
      </c>
      <c r="H1428" s="26" t="b">
        <v>0</v>
      </c>
    </row>
    <row r="1429">
      <c r="A1429" s="26" t="str">
        <f>VLOOKUP(B1429,'2020 SRED (JIRA) - Issues and l'!$B:$C,2,FALSE)</f>
        <v>insite-workflow-SRED</v>
      </c>
      <c r="B1429" s="27" t="str">
        <f>IFERROR(__xludf.DUMMYFUNCTION("""COMPUTED_VALUE"""),"APPS-554")</f>
        <v>APPS-554</v>
      </c>
      <c r="C1429" s="26" t="str">
        <f>IFERROR(__xludf.DUMMYFUNCTION("""COMPUTED_VALUE"""),"Add program objectives to proposal builder, show full objective")</f>
        <v>Add program objectives to proposal builder, show full objective</v>
      </c>
      <c r="D1429" s="28">
        <f>IFERROR(__xludf.DUMMYFUNCTION("""COMPUTED_VALUE"""),0.5)</f>
        <v>0.5</v>
      </c>
      <c r="E1429" s="29">
        <f>IFERROR(__xludf.DUMMYFUNCTION("""COMPUTED_VALUE"""),44161.38541666667)</f>
        <v>44161.38542</v>
      </c>
      <c r="F1429" s="26" t="str">
        <f>IFERROR(__xludf.DUMMYFUNCTION("""COMPUTED_VALUE"""),"557058:ed1ddc66-d84d-405c-a815-0fcc6147ba14")</f>
        <v>557058:ed1ddc66-d84d-405c-a815-0fcc6147ba14</v>
      </c>
      <c r="G1429" s="26" t="str">
        <f>IFERROR(__xludf.DUMMYFUNCTION("""COMPUTED_VALUE"""),"Mark Corrigan")</f>
        <v>Mark Corrigan</v>
      </c>
      <c r="H1429" s="26" t="b">
        <v>0</v>
      </c>
    </row>
    <row r="1430">
      <c r="A1430" s="26" t="str">
        <f>VLOOKUP(B1430,'2020 SRED (JIRA) - Issues and l'!$B:$C,2,FALSE)</f>
        <v>insite-workflow-SRED</v>
      </c>
      <c r="B1430" s="27" t="str">
        <f>IFERROR(__xludf.DUMMYFUNCTION("""COMPUTED_VALUE"""),"APPS-388")</f>
        <v>APPS-388</v>
      </c>
      <c r="C1430" s="26" t="str">
        <f>IFERROR(__xludf.DUMMYFUNCTION("""COMPUTED_VALUE"""),"Cleanup tasks")</f>
        <v>Cleanup tasks</v>
      </c>
      <c r="D1430" s="28">
        <f>IFERROR(__xludf.DUMMYFUNCTION("""COMPUTED_VALUE"""),0.25)</f>
        <v>0.25</v>
      </c>
      <c r="E1430" s="29">
        <f>IFERROR(__xludf.DUMMYFUNCTION("""COMPUTED_VALUE"""),44161.40625)</f>
        <v>44161.40625</v>
      </c>
      <c r="F1430" s="26" t="str">
        <f>IFERROR(__xludf.DUMMYFUNCTION("""COMPUTED_VALUE"""),"557058:ed1ddc66-d84d-405c-a815-0fcc6147ba14")</f>
        <v>557058:ed1ddc66-d84d-405c-a815-0fcc6147ba14</v>
      </c>
      <c r="G1430" s="26" t="str">
        <f>IFERROR(__xludf.DUMMYFUNCTION("""COMPUTED_VALUE"""),"Mark Corrigan")</f>
        <v>Mark Corrigan</v>
      </c>
      <c r="H1430" s="26" t="b">
        <v>0</v>
      </c>
    </row>
    <row r="1431" hidden="1">
      <c r="A1431" s="26" t="str">
        <f>VLOOKUP(B1431,'2020 SRED (JIRA) - Issues and l'!$B:$C,2,FALSE)</f>
        <v>insite-workflow-SRED</v>
      </c>
      <c r="B1431" s="27" t="str">
        <f>IFERROR(__xludf.DUMMYFUNCTION("""COMPUTED_VALUE"""),"APPS-69")</f>
        <v>APPS-69</v>
      </c>
      <c r="C1431" s="26" t="str">
        <f>IFERROR(__xludf.DUMMYFUNCTION("""COMPUTED_VALUE"""),"As a salesperson, I can search and insert customer stories into prospect emails")</f>
        <v>As a salesperson, I can search and insert customer stories into prospect emails</v>
      </c>
      <c r="D1431" s="28">
        <f>IFERROR(__xludf.DUMMYFUNCTION("""COMPUTED_VALUE"""),2.0)</f>
        <v>2</v>
      </c>
      <c r="E1431" s="29">
        <f>IFERROR(__xludf.DUMMYFUNCTION("""COMPUTED_VALUE"""),44161.54166666667)</f>
        <v>44161.54167</v>
      </c>
      <c r="F1431" s="26" t="str">
        <f>IFERROR(__xludf.DUMMYFUNCTION("""COMPUTED_VALUE"""),"5ee7b6ce868ce30ac49e2521")</f>
        <v>5ee7b6ce868ce30ac49e2521</v>
      </c>
      <c r="G1431" s="26" t="str">
        <f>IFERROR(__xludf.DUMMYFUNCTION("""COMPUTED_VALUE"""),"Bryan Le")</f>
        <v>Bryan Le</v>
      </c>
      <c r="H1431" s="26" t="b">
        <v>0</v>
      </c>
    </row>
    <row r="1432" hidden="1">
      <c r="A1432" s="26" t="str">
        <f>VLOOKUP(B1432,'2020 SRED (JIRA) - Issues and l'!$B:$C,2,FALSE)</f>
        <v>insite-workflow-SRED</v>
      </c>
      <c r="B1432" s="27" t="str">
        <f>IFERROR(__xludf.DUMMYFUNCTION("""COMPUTED_VALUE"""),"APPS-69")</f>
        <v>APPS-69</v>
      </c>
      <c r="C1432" s="26" t="str">
        <f>IFERROR(__xludf.DUMMYFUNCTION("""COMPUTED_VALUE"""),"As a salesperson, I can search and insert customer stories into prospect emails")</f>
        <v>As a salesperson, I can search and insert customer stories into prospect emails</v>
      </c>
      <c r="D1432" s="28">
        <f>IFERROR(__xludf.DUMMYFUNCTION("""COMPUTED_VALUE"""),2.0)</f>
        <v>2</v>
      </c>
      <c r="E1432" s="29">
        <f>IFERROR(__xludf.DUMMYFUNCTION("""COMPUTED_VALUE"""),44162.33333333333)</f>
        <v>44162.33333</v>
      </c>
      <c r="F1432" s="26" t="str">
        <f>IFERROR(__xludf.DUMMYFUNCTION("""COMPUTED_VALUE"""),"5ee7b6ce868ce30ac49e2521")</f>
        <v>5ee7b6ce868ce30ac49e2521</v>
      </c>
      <c r="G1432" s="26" t="str">
        <f>IFERROR(__xludf.DUMMYFUNCTION("""COMPUTED_VALUE"""),"Bryan Le")</f>
        <v>Bryan Le</v>
      </c>
      <c r="H1432" s="26" t="b">
        <v>0</v>
      </c>
    </row>
    <row r="1433" hidden="1">
      <c r="A1433" s="26" t="str">
        <f>VLOOKUP(B1433,'2020 SRED (JIRA) - Issues and l'!$B:$C,2,FALSE)</f>
        <v>portal-builder-SRED</v>
      </c>
      <c r="B1433" s="27" t="str">
        <f>IFERROR(__xludf.DUMMYFUNCTION("""COMPUTED_VALUE"""),"ITP-1877")</f>
        <v>ITP-1877</v>
      </c>
      <c r="C1433" s="26" t="str">
        <f>IFERROR(__xludf.DUMMYFUNCTION("""COMPUTED_VALUE"""),"TP builder makes pages with section titles longer than allowed character limit ")</f>
        <v>TP builder makes pages with section titles longer than allowed character limit </v>
      </c>
      <c r="D1433" s="28">
        <f>IFERROR(__xludf.DUMMYFUNCTION("""COMPUTED_VALUE"""),0.25)</f>
        <v>0.25</v>
      </c>
      <c r="E1433" s="29">
        <f>IFERROR(__xludf.DUMMYFUNCTION("""COMPUTED_VALUE"""),44162.39583333333)</f>
        <v>44162.39583</v>
      </c>
      <c r="F1433" s="26" t="str">
        <f>IFERROR(__xludf.DUMMYFUNCTION("""COMPUTED_VALUE"""),"557058:3124a1f0-e92a-405c-93f2-c1d4e621bc77")</f>
        <v>557058:3124a1f0-e92a-405c-93f2-c1d4e621bc77</v>
      </c>
      <c r="G1433" s="26" t="str">
        <f>IFERROR(__xludf.DUMMYFUNCTION("""COMPUTED_VALUE"""),"Trevor Coehoorn")</f>
        <v>Trevor Coehoorn</v>
      </c>
      <c r="H1433" s="26" t="b">
        <v>0</v>
      </c>
    </row>
    <row r="1434">
      <c r="A1434" s="26" t="str">
        <f>VLOOKUP(B1434,'2020 SRED (JIRA) - Issues and l'!$B:$C,2,FALSE)</f>
        <v>insite-workflow-SRED</v>
      </c>
      <c r="B1434" s="27" t="str">
        <f>IFERROR(__xludf.DUMMYFUNCTION("""COMPUTED_VALUE"""),"APPS-553")</f>
        <v>APPS-553</v>
      </c>
      <c r="C1434" s="26" t="str">
        <f>IFERROR(__xludf.DUMMYFUNCTION("""COMPUTED_VALUE"""),"Investigate permissions error")</f>
        <v>Investigate permissions error</v>
      </c>
      <c r="D1434" s="28">
        <f>IFERROR(__xludf.DUMMYFUNCTION("""COMPUTED_VALUE"""),0.25)</f>
        <v>0.25</v>
      </c>
      <c r="E1434" s="29">
        <f>IFERROR(__xludf.DUMMYFUNCTION("""COMPUTED_VALUE"""),44162.39583333333)</f>
        <v>44162.39583</v>
      </c>
      <c r="F1434" s="26" t="str">
        <f>IFERROR(__xludf.DUMMYFUNCTION("""COMPUTED_VALUE"""),"557058:ed1ddc66-d84d-405c-a815-0fcc6147ba14")</f>
        <v>557058:ed1ddc66-d84d-405c-a815-0fcc6147ba14</v>
      </c>
      <c r="G1434" s="26" t="str">
        <f>IFERROR(__xludf.DUMMYFUNCTION("""COMPUTED_VALUE"""),"Mark Corrigan")</f>
        <v>Mark Corrigan</v>
      </c>
      <c r="H1434" s="26" t="b">
        <v>0</v>
      </c>
    </row>
    <row r="1435">
      <c r="A1435" s="26" t="str">
        <f>VLOOKUP(B1435,'2020 SRED (JIRA) - Issues and l'!$B:$C,2,FALSE)</f>
        <v>insite-workflow-SRED</v>
      </c>
      <c r="B1435" s="27" t="str">
        <f>IFERROR(__xludf.DUMMYFUNCTION("""COMPUTED_VALUE"""),"APPS-550")</f>
        <v>APPS-550</v>
      </c>
      <c r="C1435" s="26" t="str">
        <f>IFERROR(__xludf.DUMMYFUNCTION("""COMPUTED_VALUE"""),"Show text + link to service inclusions on touchpoint form")</f>
        <v>Show text + link to service inclusions on touchpoint form</v>
      </c>
      <c r="D1435" s="28">
        <f>IFERROR(__xludf.DUMMYFUNCTION("""COMPUTED_VALUE"""),0.25)</f>
        <v>0.25</v>
      </c>
      <c r="E1435" s="29">
        <f>IFERROR(__xludf.DUMMYFUNCTION("""COMPUTED_VALUE"""),44162.40625)</f>
        <v>44162.40625</v>
      </c>
      <c r="F1435" s="26" t="str">
        <f>IFERROR(__xludf.DUMMYFUNCTION("""COMPUTED_VALUE"""),"557058:ed1ddc66-d84d-405c-a815-0fcc6147ba14")</f>
        <v>557058:ed1ddc66-d84d-405c-a815-0fcc6147ba14</v>
      </c>
      <c r="G1435" s="26" t="str">
        <f>IFERROR(__xludf.DUMMYFUNCTION("""COMPUTED_VALUE"""),"Mark Corrigan")</f>
        <v>Mark Corrigan</v>
      </c>
      <c r="H1435" s="26" t="b">
        <v>0</v>
      </c>
    </row>
    <row r="1436" hidden="1">
      <c r="A1436" s="26" t="str">
        <f>VLOOKUP(B1436,'2020 SRED (JIRA) - Issues and l'!$B:$C,2,FALSE)</f>
        <v>insite-workflow-SRED</v>
      </c>
      <c r="B1436" s="27" t="str">
        <f>IFERROR(__xludf.DUMMYFUNCTION("""COMPUTED_VALUE"""),"APPS-69")</f>
        <v>APPS-69</v>
      </c>
      <c r="C1436" s="26" t="str">
        <f>IFERROR(__xludf.DUMMYFUNCTION("""COMPUTED_VALUE"""),"As a salesperson, I can search and insert customer stories into prospect emails")</f>
        <v>As a salesperson, I can search and insert customer stories into prospect emails</v>
      </c>
      <c r="D1436" s="28">
        <f>IFERROR(__xludf.DUMMYFUNCTION("""COMPUTED_VALUE"""),5.0)</f>
        <v>5</v>
      </c>
      <c r="E1436" s="29">
        <f>IFERROR(__xludf.DUMMYFUNCTION("""COMPUTED_VALUE"""),44162.41666666667)</f>
        <v>44162.41667</v>
      </c>
      <c r="F1436" s="26" t="str">
        <f>IFERROR(__xludf.DUMMYFUNCTION("""COMPUTED_VALUE"""),"5ee7b6ce868ce30ac49e2521")</f>
        <v>5ee7b6ce868ce30ac49e2521</v>
      </c>
      <c r="G1436" s="26" t="str">
        <f>IFERROR(__xludf.DUMMYFUNCTION("""COMPUTED_VALUE"""),"Bryan Le")</f>
        <v>Bryan Le</v>
      </c>
      <c r="H1436" s="26" t="b">
        <v>0</v>
      </c>
    </row>
    <row r="1437">
      <c r="A1437" s="26" t="str">
        <f>VLOOKUP(B1437,'2020 SRED (JIRA) - Issues and l'!$B:$C,2,FALSE)</f>
        <v>insite-workflow-SRED</v>
      </c>
      <c r="B1437" s="27" t="str">
        <f>IFERROR(__xludf.DUMMYFUNCTION("""COMPUTED_VALUE"""),"APPS-510")</f>
        <v>APPS-510</v>
      </c>
      <c r="C1437" s="26" t="str">
        <f>IFERROR(__xludf.DUMMYFUNCTION("""COMPUTED_VALUE"""),"Improvements to internal review request email")</f>
        <v>Improvements to internal review request email</v>
      </c>
      <c r="D1437" s="28">
        <f>IFERROR(__xludf.DUMMYFUNCTION("""COMPUTED_VALUE"""),0.25)</f>
        <v>0.25</v>
      </c>
      <c r="E1437" s="29">
        <f>IFERROR(__xludf.DUMMYFUNCTION("""COMPUTED_VALUE"""),44162.46875)</f>
        <v>44162.46875</v>
      </c>
      <c r="F1437" s="26" t="str">
        <f>IFERROR(__xludf.DUMMYFUNCTION("""COMPUTED_VALUE"""),"557058:ed1ddc66-d84d-405c-a815-0fcc6147ba14")</f>
        <v>557058:ed1ddc66-d84d-405c-a815-0fcc6147ba14</v>
      </c>
      <c r="G1437" s="26" t="str">
        <f>IFERROR(__xludf.DUMMYFUNCTION("""COMPUTED_VALUE"""),"Mark Corrigan")</f>
        <v>Mark Corrigan</v>
      </c>
      <c r="H1437" s="26" t="b">
        <v>0</v>
      </c>
    </row>
    <row r="1438">
      <c r="A1438" s="26" t="str">
        <f>VLOOKUP(B1438,'2020 SRED (JIRA) - Issues and l'!$B:$C,2,FALSE)</f>
        <v>insite-workflow-SRED</v>
      </c>
      <c r="B1438" s="27" t="str">
        <f>IFERROR(__xludf.DUMMYFUNCTION("""COMPUTED_VALUE"""),"APPS-555")</f>
        <v>APPS-555</v>
      </c>
      <c r="C1438" s="26" t="str">
        <f>IFERROR(__xludf.DUMMYFUNCTION("""COMPUTED_VALUE"""),"As Alyssia, I can set up a new project from a proposal")</f>
        <v>As Alyssia, I can set up a new project from a proposal</v>
      </c>
      <c r="D1438" s="28">
        <f>IFERROR(__xludf.DUMMYFUNCTION("""COMPUTED_VALUE"""),0.75)</f>
        <v>0.75</v>
      </c>
      <c r="E1438" s="29">
        <f>IFERROR(__xludf.DUMMYFUNCTION("""COMPUTED_VALUE"""),44162.48263888889)</f>
        <v>44162.48264</v>
      </c>
      <c r="F1438" s="26" t="str">
        <f>IFERROR(__xludf.DUMMYFUNCTION("""COMPUTED_VALUE"""),"557058:ed1ddc66-d84d-405c-a815-0fcc6147ba14")</f>
        <v>557058:ed1ddc66-d84d-405c-a815-0fcc6147ba14</v>
      </c>
      <c r="G1438" s="26" t="str">
        <f>IFERROR(__xludf.DUMMYFUNCTION("""COMPUTED_VALUE"""),"Mark Corrigan")</f>
        <v>Mark Corrigan</v>
      </c>
      <c r="H1438" s="26" t="b">
        <v>0</v>
      </c>
    </row>
    <row r="1439">
      <c r="A1439" s="26" t="str">
        <f>VLOOKUP(B1439,'2020 SRED (JIRA) - Issues and l'!$B:$C,2,FALSE)</f>
        <v>insite-workflow-SRED</v>
      </c>
      <c r="B1439" s="27" t="str">
        <f>IFERROR(__xludf.DUMMYFUNCTION("""COMPUTED_VALUE"""),"APPS-556")</f>
        <v>APPS-556</v>
      </c>
      <c r="C1439" s="26" t="str">
        <f>IFERROR(__xludf.DUMMYFUNCTION("""COMPUTED_VALUE"""),"On proposal details, add action ""Transfer to CST"" (will send email to Alyssia) and prompt the salesperson to check all data beforehand")</f>
        <v>On proposal details, add action "Transfer to CST" (will send email to Alyssia) and prompt the salesperson to check all data beforehand</v>
      </c>
      <c r="D1439" s="28">
        <f>IFERROR(__xludf.DUMMYFUNCTION("""COMPUTED_VALUE"""),0.25)</f>
        <v>0.25</v>
      </c>
      <c r="E1439" s="29">
        <f>IFERROR(__xludf.DUMMYFUNCTION("""COMPUTED_VALUE"""),44162.51388888889)</f>
        <v>44162.51389</v>
      </c>
      <c r="F1439" s="26" t="str">
        <f>IFERROR(__xludf.DUMMYFUNCTION("""COMPUTED_VALUE"""),"557058:ed1ddc66-d84d-405c-a815-0fcc6147ba14")</f>
        <v>557058:ed1ddc66-d84d-405c-a815-0fcc6147ba14</v>
      </c>
      <c r="G1439" s="26" t="str">
        <f>IFERROR(__xludf.DUMMYFUNCTION("""COMPUTED_VALUE"""),"Mark Corrigan")</f>
        <v>Mark Corrigan</v>
      </c>
      <c r="H1439" s="26" t="b">
        <v>0</v>
      </c>
    </row>
    <row r="1440">
      <c r="A1440" s="26" t="str">
        <f>VLOOKUP(B1440,'2020 SRED (JIRA) - Issues and l'!$B:$C,2,FALSE)</f>
        <v>insite-workflow-SRED</v>
      </c>
      <c r="B1440" s="27" t="str">
        <f>IFERROR(__xludf.DUMMYFUNCTION("""COMPUTED_VALUE"""),"APPS-80")</f>
        <v>APPS-80</v>
      </c>
      <c r="C1440" s="26" t="str">
        <f>IFERROR(__xludf.DUMMYFUNCTION("""COMPUTED_VALUE"""),"Projects app (v1)")</f>
        <v>Projects app (v1)</v>
      </c>
      <c r="D1440" s="28">
        <f>IFERROR(__xludf.DUMMYFUNCTION("""COMPUTED_VALUE"""),0.5)</f>
        <v>0.5</v>
      </c>
      <c r="E1440" s="29">
        <f>IFERROR(__xludf.DUMMYFUNCTION("""COMPUTED_VALUE"""),44162.524305555555)</f>
        <v>44162.52431</v>
      </c>
      <c r="F1440" s="26" t="str">
        <f>IFERROR(__xludf.DUMMYFUNCTION("""COMPUTED_VALUE"""),"557058:ed1ddc66-d84d-405c-a815-0fcc6147ba14")</f>
        <v>557058:ed1ddc66-d84d-405c-a815-0fcc6147ba14</v>
      </c>
      <c r="G1440" s="26" t="str">
        <f>IFERROR(__xludf.DUMMYFUNCTION("""COMPUTED_VALUE"""),"Mark Corrigan")</f>
        <v>Mark Corrigan</v>
      </c>
      <c r="H1440" s="26" t="b">
        <v>0</v>
      </c>
    </row>
    <row r="1441">
      <c r="A1441" s="26" t="str">
        <f>VLOOKUP(B1441,'2020 SRED (JIRA) - Issues and l'!$B:$C,2,FALSE)</f>
        <v>insite-workflow-SRED</v>
      </c>
      <c r="B1441" s="27" t="str">
        <f>IFERROR(__xludf.DUMMYFUNCTION("""COMPUTED_VALUE"""),"APPS-554")</f>
        <v>APPS-554</v>
      </c>
      <c r="C1441" s="26" t="str">
        <f>IFERROR(__xludf.DUMMYFUNCTION("""COMPUTED_VALUE"""),"Add program objectives to proposal builder, show full objective")</f>
        <v>Add program objectives to proposal builder, show full objective</v>
      </c>
      <c r="D1441" s="28">
        <f>IFERROR(__xludf.DUMMYFUNCTION("""COMPUTED_VALUE"""),0.5)</f>
        <v>0.5</v>
      </c>
      <c r="E1441" s="29">
        <f>IFERROR(__xludf.DUMMYFUNCTION("""COMPUTED_VALUE"""),44162.56597222222)</f>
        <v>44162.56597</v>
      </c>
      <c r="F1441" s="26" t="str">
        <f>IFERROR(__xludf.DUMMYFUNCTION("""COMPUTED_VALUE"""),"557058:ed1ddc66-d84d-405c-a815-0fcc6147ba14")</f>
        <v>557058:ed1ddc66-d84d-405c-a815-0fcc6147ba14</v>
      </c>
      <c r="G1441" s="26" t="str">
        <f>IFERROR(__xludf.DUMMYFUNCTION("""COMPUTED_VALUE"""),"Mark Corrigan")</f>
        <v>Mark Corrigan</v>
      </c>
      <c r="H1441" s="26" t="b">
        <v>0</v>
      </c>
    </row>
    <row r="1442">
      <c r="A1442" s="26" t="str">
        <f>VLOOKUP(B1442,'2020 SRED (JIRA) - Issues and l'!$B:$C,2,FALSE)</f>
        <v>insite-workflow-SRED</v>
      </c>
      <c r="B1442" s="27" t="str">
        <f>IFERROR(__xludf.DUMMYFUNCTION("""COMPUTED_VALUE"""),"APPS-69")</f>
        <v>APPS-69</v>
      </c>
      <c r="C1442" s="26" t="str">
        <f>IFERROR(__xludf.DUMMYFUNCTION("""COMPUTED_VALUE"""),"As a salesperson, I can search and insert customer stories into prospect emails")</f>
        <v>As a salesperson, I can search and insert customer stories into prospect emails</v>
      </c>
      <c r="D1442" s="28">
        <f>IFERROR(__xludf.DUMMYFUNCTION("""COMPUTED_VALUE"""),0.25)</f>
        <v>0.25</v>
      </c>
      <c r="E1442" s="29">
        <f>IFERROR(__xludf.DUMMYFUNCTION("""COMPUTED_VALUE"""),44162.60763888889)</f>
        <v>44162.60764</v>
      </c>
      <c r="F1442" s="26" t="str">
        <f>IFERROR(__xludf.DUMMYFUNCTION("""COMPUTED_VALUE"""),"557058:ed1ddc66-d84d-405c-a815-0fcc6147ba14")</f>
        <v>557058:ed1ddc66-d84d-405c-a815-0fcc6147ba14</v>
      </c>
      <c r="G1442" s="26" t="str">
        <f>IFERROR(__xludf.DUMMYFUNCTION("""COMPUTED_VALUE"""),"Mark Corrigan")</f>
        <v>Mark Corrigan</v>
      </c>
      <c r="H1442" s="26" t="b">
        <v>0</v>
      </c>
    </row>
    <row r="1443">
      <c r="A1443" s="26" t="str">
        <f>VLOOKUP(B1443,'2020 SRED (JIRA) - Issues and l'!$B:$C,2,FALSE)</f>
        <v>insite-workflow-SRED</v>
      </c>
      <c r="B1443" s="27" t="str">
        <f>IFERROR(__xludf.DUMMYFUNCTION("""COMPUTED_VALUE"""),"APPS-267")</f>
        <v>APPS-267</v>
      </c>
      <c r="C1443" s="26" t="str">
        <f>IFERROR(__xludf.DUMMYFUNCTION("""COMPUTED_VALUE"""),"Final QA, deployment, and training")</f>
        <v>Final QA, deployment, and training</v>
      </c>
      <c r="D1443" s="28">
        <f>IFERROR(__xludf.DUMMYFUNCTION("""COMPUTED_VALUE"""),0.75)</f>
        <v>0.75</v>
      </c>
      <c r="E1443" s="29">
        <f>IFERROR(__xludf.DUMMYFUNCTION("""COMPUTED_VALUE"""),44163.36111111111)</f>
        <v>44163.36111</v>
      </c>
      <c r="F1443" s="26" t="str">
        <f>IFERROR(__xludf.DUMMYFUNCTION("""COMPUTED_VALUE"""),"557058:ed1ddc66-d84d-405c-a815-0fcc6147ba14")</f>
        <v>557058:ed1ddc66-d84d-405c-a815-0fcc6147ba14</v>
      </c>
      <c r="G1443" s="26" t="str">
        <f>IFERROR(__xludf.DUMMYFUNCTION("""COMPUTED_VALUE"""),"Mark Corrigan")</f>
        <v>Mark Corrigan</v>
      </c>
      <c r="H1443" s="26" t="b">
        <v>0</v>
      </c>
    </row>
    <row r="1444" hidden="1">
      <c r="A1444" s="26" t="str">
        <f>VLOOKUP(B1444,'2020 SRED (JIRA) - Issues and l'!$B:$C,2,FALSE)</f>
        <v>insite-workflow-SRED</v>
      </c>
      <c r="B1444" s="27" t="str">
        <f>IFERROR(__xludf.DUMMYFUNCTION("""COMPUTED_VALUE"""),"APPS-554")</f>
        <v>APPS-554</v>
      </c>
      <c r="C1444" s="26" t="str">
        <f>IFERROR(__xludf.DUMMYFUNCTION("""COMPUTED_VALUE"""),"Add program objectives to proposal builder, show full objective")</f>
        <v>Add program objectives to proposal builder, show full objective</v>
      </c>
      <c r="D1444" s="28">
        <f>IFERROR(__xludf.DUMMYFUNCTION("""COMPUTED_VALUE"""),3.0)</f>
        <v>3</v>
      </c>
      <c r="E1444" s="29">
        <f>IFERROR(__xludf.DUMMYFUNCTION("""COMPUTED_VALUE"""),44164.33333333333)</f>
        <v>44164.33333</v>
      </c>
      <c r="F1444" s="26" t="str">
        <f>IFERROR(__xludf.DUMMYFUNCTION("""COMPUTED_VALUE"""),"5ee7b6cf02b4400ac4b65399")</f>
        <v>5ee7b6cf02b4400ac4b65399</v>
      </c>
      <c r="G1444" s="26" t="str">
        <f>IFERROR(__xludf.DUMMYFUNCTION("""COMPUTED_VALUE"""),"Jessica Obando")</f>
        <v>Jessica Obando</v>
      </c>
      <c r="H1444" s="26" t="b">
        <v>0</v>
      </c>
    </row>
    <row r="1445" hidden="1">
      <c r="A1445" s="26" t="str">
        <f>VLOOKUP(B1445,'2020 SRED (JIRA) - Issues and l'!$B:$C,2,FALSE)</f>
        <v>insite-workflow-SRED</v>
      </c>
      <c r="B1445" s="27" t="str">
        <f>IFERROR(__xludf.DUMMYFUNCTION("""COMPUTED_VALUE"""),"APPS-69")</f>
        <v>APPS-69</v>
      </c>
      <c r="C1445" s="26" t="str">
        <f>IFERROR(__xludf.DUMMYFUNCTION("""COMPUTED_VALUE"""),"As a salesperson, I can search and insert customer stories into prospect emails")</f>
        <v>As a salesperson, I can search and insert customer stories into prospect emails</v>
      </c>
      <c r="D1445" s="28">
        <f>IFERROR(__xludf.DUMMYFUNCTION("""COMPUTED_VALUE"""),4.0)</f>
        <v>4</v>
      </c>
      <c r="E1445" s="29">
        <f>IFERROR(__xludf.DUMMYFUNCTION("""COMPUTED_VALUE"""),44165.33333333333)</f>
        <v>44165.33333</v>
      </c>
      <c r="F1445" s="26" t="str">
        <f>IFERROR(__xludf.DUMMYFUNCTION("""COMPUTED_VALUE"""),"5ee7b6ce868ce30ac49e2521")</f>
        <v>5ee7b6ce868ce30ac49e2521</v>
      </c>
      <c r="G1445" s="26" t="str">
        <f>IFERROR(__xludf.DUMMYFUNCTION("""COMPUTED_VALUE"""),"Bryan Le")</f>
        <v>Bryan Le</v>
      </c>
      <c r="H1445" s="26" t="b">
        <v>0</v>
      </c>
    </row>
    <row r="1446" hidden="1">
      <c r="A1446" s="26" t="str">
        <f>VLOOKUP(B1446,'2020 SRED (JIRA) - Issues and l'!$B:$C,2,FALSE)</f>
        <v>insite-workflow-SRED</v>
      </c>
      <c r="B1446" s="27" t="str">
        <f>IFERROR(__xludf.DUMMYFUNCTION("""COMPUTED_VALUE"""),"APPS-557")</f>
        <v>APPS-557</v>
      </c>
      <c r="C1446" s="26" t="str">
        <f>IFERROR(__xludf.DUMMYFUNCTION("""COMPUTED_VALUE"""),"On Projects app, create new project form and insert as much proposal data as possible")</f>
        <v>On Projects app, create new project form and insert as much proposal data as possible</v>
      </c>
      <c r="D1446" s="28">
        <f>IFERROR(__xludf.DUMMYFUNCTION("""COMPUTED_VALUE"""),7.0)</f>
        <v>7</v>
      </c>
      <c r="E1446" s="29">
        <f>IFERROR(__xludf.DUMMYFUNCTION("""COMPUTED_VALUE"""),44165.33333333333)</f>
        <v>44165.33333</v>
      </c>
      <c r="F1446" s="26" t="str">
        <f>IFERROR(__xludf.DUMMYFUNCTION("""COMPUTED_VALUE"""),"5ee7b6cf02b4400ac4b65399")</f>
        <v>5ee7b6cf02b4400ac4b65399</v>
      </c>
      <c r="G1446" s="26" t="str">
        <f>IFERROR(__xludf.DUMMYFUNCTION("""COMPUTED_VALUE"""),"Jessica Obando")</f>
        <v>Jessica Obando</v>
      </c>
      <c r="H1446" s="26" t="b">
        <v>0</v>
      </c>
    </row>
    <row r="1447" hidden="1">
      <c r="A1447" s="26" t="str">
        <f>VLOOKUP(B1447,'2020 SRED (JIRA) - Issues and l'!$B:$C,2,FALSE)</f>
        <v>portal-builder-SRED</v>
      </c>
      <c r="B1447" s="27" t="str">
        <f>IFERROR(__xludf.DUMMYFUNCTION("""COMPUTED_VALUE"""),"ITP-1877")</f>
        <v>ITP-1877</v>
      </c>
      <c r="C1447" s="26" t="str">
        <f>IFERROR(__xludf.DUMMYFUNCTION("""COMPUTED_VALUE"""),"TP builder makes pages with section titles longer than allowed character limit ")</f>
        <v>TP builder makes pages with section titles longer than allowed character limit </v>
      </c>
      <c r="D1447" s="28">
        <f>IFERROR(__xludf.DUMMYFUNCTION("""COMPUTED_VALUE"""),0.5)</f>
        <v>0.5</v>
      </c>
      <c r="E1447" s="29">
        <f>IFERROR(__xludf.DUMMYFUNCTION("""COMPUTED_VALUE"""),44165.36458333333)</f>
        <v>44165.36458</v>
      </c>
      <c r="F1447" s="26" t="str">
        <f>IFERROR(__xludf.DUMMYFUNCTION("""COMPUTED_VALUE"""),"557058:3124a1f0-e92a-405c-93f2-c1d4e621bc77")</f>
        <v>557058:3124a1f0-e92a-405c-93f2-c1d4e621bc77</v>
      </c>
      <c r="G1447" s="26" t="str">
        <f>IFERROR(__xludf.DUMMYFUNCTION("""COMPUTED_VALUE"""),"Trevor Coehoorn")</f>
        <v>Trevor Coehoorn</v>
      </c>
      <c r="H1447" s="26" t="b">
        <v>0</v>
      </c>
    </row>
    <row r="1448">
      <c r="A1448" s="26" t="str">
        <f>VLOOKUP(B1448,'2020 SRED (JIRA) - Issues and l'!$B:$C,2,FALSE)</f>
        <v>insite-workflow-SRED</v>
      </c>
      <c r="B1448" s="27" t="str">
        <f>IFERROR(__xludf.DUMMYFUNCTION("""COMPUTED_VALUE"""),"APPS-536")</f>
        <v>APPS-536</v>
      </c>
      <c r="C1448" s="26" t="str">
        <f>IFERROR(__xludf.DUMMYFUNCTION("""COMPUTED_VALUE"""),"As a salesperson, I can initiate key Sales Pipeline actions from Gmail")</f>
        <v>As a salesperson, I can initiate key Sales Pipeline actions from Gmail</v>
      </c>
      <c r="D1448" s="28">
        <f>IFERROR(__xludf.DUMMYFUNCTION("""COMPUTED_VALUE"""),1.0)</f>
        <v>1</v>
      </c>
      <c r="E1448" s="29">
        <f>IFERROR(__xludf.DUMMYFUNCTION("""COMPUTED_VALUE"""),44165.4375)</f>
        <v>44165.4375</v>
      </c>
      <c r="F1448" s="26" t="str">
        <f>IFERROR(__xludf.DUMMYFUNCTION("""COMPUTED_VALUE"""),"557058:ed1ddc66-d84d-405c-a815-0fcc6147ba14")</f>
        <v>557058:ed1ddc66-d84d-405c-a815-0fcc6147ba14</v>
      </c>
      <c r="G1448" s="26" t="str">
        <f>IFERROR(__xludf.DUMMYFUNCTION("""COMPUTED_VALUE"""),"Mark Corrigan")</f>
        <v>Mark Corrigan</v>
      </c>
      <c r="H1448" s="26" t="b">
        <v>0</v>
      </c>
    </row>
    <row r="1449" hidden="1">
      <c r="A1449" s="26" t="str">
        <f>VLOOKUP(B1449,'2020 SRED (JIRA) - Issues and l'!$B:$C,2,FALSE)</f>
        <v>insite-workflow-SRED</v>
      </c>
      <c r="B1449" s="27" t="str">
        <f>IFERROR(__xludf.DUMMYFUNCTION("""COMPUTED_VALUE"""),"APPS-69")</f>
        <v>APPS-69</v>
      </c>
      <c r="C1449" s="26" t="str">
        <f>IFERROR(__xludf.DUMMYFUNCTION("""COMPUTED_VALUE"""),"As a salesperson, I can search and insert customer stories into prospect emails")</f>
        <v>As a salesperson, I can search and insert customer stories into prospect emails</v>
      </c>
      <c r="D1449" s="28">
        <f>IFERROR(__xludf.DUMMYFUNCTION("""COMPUTED_VALUE"""),3.0)</f>
        <v>3</v>
      </c>
      <c r="E1449" s="29">
        <f>IFERROR(__xludf.DUMMYFUNCTION("""COMPUTED_VALUE"""),44165.5)</f>
        <v>44165.5</v>
      </c>
      <c r="F1449" s="26" t="str">
        <f>IFERROR(__xludf.DUMMYFUNCTION("""COMPUTED_VALUE"""),"5ee7b6ce868ce30ac49e2521")</f>
        <v>5ee7b6ce868ce30ac49e2521</v>
      </c>
      <c r="G1449" s="26" t="str">
        <f>IFERROR(__xludf.DUMMYFUNCTION("""COMPUTED_VALUE"""),"Bryan Le")</f>
        <v>Bryan Le</v>
      </c>
      <c r="H1449" s="26" t="b">
        <v>0</v>
      </c>
    </row>
    <row r="1450" hidden="1">
      <c r="A1450" s="26" t="str">
        <f>VLOOKUP(B1450,'2020 SRED (JIRA) - Issues and l'!$B:$C,2,FALSE)</f>
        <v>insite-workflow-SRED</v>
      </c>
      <c r="B1450" s="27" t="str">
        <f>IFERROR(__xludf.DUMMYFUNCTION("""COMPUTED_VALUE"""),"APPS-69")</f>
        <v>APPS-69</v>
      </c>
      <c r="C1450" s="26" t="str">
        <f>IFERROR(__xludf.DUMMYFUNCTION("""COMPUTED_VALUE"""),"As a salesperson, I can search and insert customer stories into prospect emails")</f>
        <v>As a salesperson, I can search and insert customer stories into prospect emails</v>
      </c>
      <c r="D1450" s="28">
        <f>IFERROR(__xludf.DUMMYFUNCTION("""COMPUTED_VALUE"""),7.0)</f>
        <v>7</v>
      </c>
      <c r="E1450" s="29">
        <f>IFERROR(__xludf.DUMMYFUNCTION("""COMPUTED_VALUE"""),44166.33333333333)</f>
        <v>44166.33333</v>
      </c>
      <c r="F1450" s="26" t="str">
        <f>IFERROR(__xludf.DUMMYFUNCTION("""COMPUTED_VALUE"""),"5ee7b6ce868ce30ac49e2521")</f>
        <v>5ee7b6ce868ce30ac49e2521</v>
      </c>
      <c r="G1450" s="26" t="str">
        <f>IFERROR(__xludf.DUMMYFUNCTION("""COMPUTED_VALUE"""),"Bryan Le")</f>
        <v>Bryan Le</v>
      </c>
      <c r="H1450" s="26" t="b">
        <v>0</v>
      </c>
    </row>
    <row r="1451">
      <c r="A1451" s="26" t="str">
        <f>VLOOKUP(B1451,'2020 SRED (JIRA) - Issues and l'!$B:$C,2,FALSE)</f>
        <v>insite-workflow-SRED</v>
      </c>
      <c r="B1451" s="27" t="str">
        <f>IFERROR(__xludf.DUMMYFUNCTION("""COMPUTED_VALUE"""),"APPS-565")</f>
        <v>APPS-565</v>
      </c>
      <c r="C1451" s="26" t="str">
        <f>IFERROR(__xludf.DUMMYFUNCTION("""COMPUTED_VALUE"""),"Remove empty rows and add consistent space after list items in touchpoint tables")</f>
        <v>Remove empty rows and add consistent space after list items in touchpoint tables</v>
      </c>
      <c r="D1451" s="28">
        <f>IFERROR(__xludf.DUMMYFUNCTION("""COMPUTED_VALUE"""),0.25)</f>
        <v>0.25</v>
      </c>
      <c r="E1451" s="29">
        <f>IFERROR(__xludf.DUMMYFUNCTION("""COMPUTED_VALUE"""),44166.41666666667)</f>
        <v>44166.41667</v>
      </c>
      <c r="F1451" s="26" t="str">
        <f>IFERROR(__xludf.DUMMYFUNCTION("""COMPUTED_VALUE"""),"557058:ed1ddc66-d84d-405c-a815-0fcc6147ba14")</f>
        <v>557058:ed1ddc66-d84d-405c-a815-0fcc6147ba14</v>
      </c>
      <c r="G1451" s="26" t="str">
        <f>IFERROR(__xludf.DUMMYFUNCTION("""COMPUTED_VALUE"""),"Mark Corrigan")</f>
        <v>Mark Corrigan</v>
      </c>
      <c r="H1451" s="26" t="b">
        <v>0</v>
      </c>
    </row>
    <row r="1452">
      <c r="A1452" s="26" t="str">
        <f>VLOOKUP(B1452,'2020 SRED (JIRA) - Issues and l'!$B:$C,2,FALSE)</f>
        <v>insite-workflow-SRED</v>
      </c>
      <c r="B1452" s="27" t="str">
        <f>IFERROR(__xludf.DUMMYFUNCTION("""COMPUTED_VALUE"""),"APPS-526")</f>
        <v>APPS-526</v>
      </c>
      <c r="C1452" s="26" t="str">
        <f>IFERROR(__xludf.DUMMYFUNCTION("""COMPUTED_VALUE"""),"Error with new custom requirements and add-ons/reductions not being added to cost fields in details view")</f>
        <v>Error with new custom requirements and add-ons/reductions not being added to cost fields in details view</v>
      </c>
      <c r="D1452" s="28">
        <f>IFERROR(__xludf.DUMMYFUNCTION("""COMPUTED_VALUE"""),1.0)</f>
        <v>1</v>
      </c>
      <c r="E1452" s="29">
        <f>IFERROR(__xludf.DUMMYFUNCTION("""COMPUTED_VALUE"""),44166.42708333333)</f>
        <v>44166.42708</v>
      </c>
      <c r="F1452" s="26" t="str">
        <f>IFERROR(__xludf.DUMMYFUNCTION("""COMPUTED_VALUE"""),"557058:ed1ddc66-d84d-405c-a815-0fcc6147ba14")</f>
        <v>557058:ed1ddc66-d84d-405c-a815-0fcc6147ba14</v>
      </c>
      <c r="G1452" s="26" t="str">
        <f>IFERROR(__xludf.DUMMYFUNCTION("""COMPUTED_VALUE"""),"Mark Corrigan")</f>
        <v>Mark Corrigan</v>
      </c>
      <c r="H1452" s="26" t="b">
        <v>0</v>
      </c>
    </row>
    <row r="1453">
      <c r="A1453" s="26" t="str">
        <f>VLOOKUP(B1453,'2020 SRED (JIRA) - Issues and l'!$B:$C,2,FALSE)</f>
        <v>insite-workflow-SRED</v>
      </c>
      <c r="B1453" s="27" t="str">
        <f>IFERROR(__xludf.DUMMYFUNCTION("""COMPUTED_VALUE"""),"APPS-388")</f>
        <v>APPS-388</v>
      </c>
      <c r="C1453" s="26" t="str">
        <f>IFERROR(__xludf.DUMMYFUNCTION("""COMPUTED_VALUE"""),"Cleanup tasks")</f>
        <v>Cleanup tasks</v>
      </c>
      <c r="D1453" s="28">
        <f>IFERROR(__xludf.DUMMYFUNCTION("""COMPUTED_VALUE"""),0.5)</f>
        <v>0.5</v>
      </c>
      <c r="E1453" s="29">
        <f>IFERROR(__xludf.DUMMYFUNCTION("""COMPUTED_VALUE"""),44166.52083333333)</f>
        <v>44166.52083</v>
      </c>
      <c r="F1453" s="26" t="str">
        <f>IFERROR(__xludf.DUMMYFUNCTION("""COMPUTED_VALUE"""),"557058:ed1ddc66-d84d-405c-a815-0fcc6147ba14")</f>
        <v>557058:ed1ddc66-d84d-405c-a815-0fcc6147ba14</v>
      </c>
      <c r="G1453" s="26" t="str">
        <f>IFERROR(__xludf.DUMMYFUNCTION("""COMPUTED_VALUE"""),"Mark Corrigan")</f>
        <v>Mark Corrigan</v>
      </c>
      <c r="H1453" s="26" t="b">
        <v>0</v>
      </c>
    </row>
    <row r="1454">
      <c r="A1454" s="26" t="str">
        <f>VLOOKUP(B1454,'2020 SRED (JIRA) - Issues and l'!$B:$C,2,FALSE)</f>
        <v>insite-workflow-SRED</v>
      </c>
      <c r="B1454" s="27" t="str">
        <f>IFERROR(__xludf.DUMMYFUNCTION("""COMPUTED_VALUE"""),"APPS-545")</f>
        <v>APPS-545</v>
      </c>
      <c r="C1454" s="26" t="str">
        <f>IFERROR(__xludf.DUMMYFUNCTION("""COMPUTED_VALUE"""),"As a salesperson, I can initiate a proposal from Gmail")</f>
        <v>As a salesperson, I can initiate a proposal from Gmail</v>
      </c>
      <c r="D1454" s="28">
        <f>IFERROR(__xludf.DUMMYFUNCTION("""COMPUTED_VALUE"""),0.5)</f>
        <v>0.5</v>
      </c>
      <c r="E1454" s="29">
        <f>IFERROR(__xludf.DUMMYFUNCTION("""COMPUTED_VALUE"""),44166.54166666667)</f>
        <v>44166.54167</v>
      </c>
      <c r="F1454" s="26" t="str">
        <f>IFERROR(__xludf.DUMMYFUNCTION("""COMPUTED_VALUE"""),"557058:ed1ddc66-d84d-405c-a815-0fcc6147ba14")</f>
        <v>557058:ed1ddc66-d84d-405c-a815-0fcc6147ba14</v>
      </c>
      <c r="G1454" s="26" t="str">
        <f>IFERROR(__xludf.DUMMYFUNCTION("""COMPUTED_VALUE"""),"Mark Corrigan")</f>
        <v>Mark Corrigan</v>
      </c>
      <c r="H1454" s="26" t="b">
        <v>0</v>
      </c>
    </row>
    <row r="1455">
      <c r="A1455" s="26" t="str">
        <f>VLOOKUP(B1455,'2020 SRED (JIRA) - Issues and l'!$B:$C,2,FALSE)</f>
        <v>insite-workflow-SRED</v>
      </c>
      <c r="B1455" s="27" t="str">
        <f>IFERROR(__xludf.DUMMYFUNCTION("""COMPUTED_VALUE"""),"APPS-539")</f>
        <v>APPS-539</v>
      </c>
      <c r="C1455" s="26" t="str">
        <f>IFERROR(__xludf.DUMMYFUNCTION("""COMPUTED_VALUE"""),"Anyone at Impetus can submit a product idea, IT request, or SAMS request from Gmail to Jira")</f>
        <v>Anyone at Impetus can submit a product idea, IT request, or SAMS request from Gmail to Jira</v>
      </c>
      <c r="D1455" s="28">
        <f>IFERROR(__xludf.DUMMYFUNCTION("""COMPUTED_VALUE"""),0.5)</f>
        <v>0.5</v>
      </c>
      <c r="E1455" s="29">
        <f>IFERROR(__xludf.DUMMYFUNCTION("""COMPUTED_VALUE"""),44166.60416666667)</f>
        <v>44166.60417</v>
      </c>
      <c r="F1455" s="26" t="str">
        <f>IFERROR(__xludf.DUMMYFUNCTION("""COMPUTED_VALUE"""),"557058:ed1ddc66-d84d-405c-a815-0fcc6147ba14")</f>
        <v>557058:ed1ddc66-d84d-405c-a815-0fcc6147ba14</v>
      </c>
      <c r="G1455" s="26" t="str">
        <f>IFERROR(__xludf.DUMMYFUNCTION("""COMPUTED_VALUE"""),"Mark Corrigan")</f>
        <v>Mark Corrigan</v>
      </c>
      <c r="H1455" s="26" t="b">
        <v>0</v>
      </c>
    </row>
    <row r="1456">
      <c r="A1456" s="26" t="str">
        <f>VLOOKUP(B1456,'2020 SRED (JIRA) - Issues and l'!$B:$C,2,FALSE)</f>
        <v>insite-workflow-SRED</v>
      </c>
      <c r="B1456" s="27" t="str">
        <f>IFERROR(__xludf.DUMMYFUNCTION("""COMPUTED_VALUE"""),"APPS-69")</f>
        <v>APPS-69</v>
      </c>
      <c r="C1456" s="26" t="str">
        <f>IFERROR(__xludf.DUMMYFUNCTION("""COMPUTED_VALUE"""),"As a salesperson, I can search and insert customer stories into prospect emails")</f>
        <v>As a salesperson, I can search and insert customer stories into prospect emails</v>
      </c>
      <c r="D1456" s="28">
        <f>IFERROR(__xludf.DUMMYFUNCTION("""COMPUTED_VALUE"""),0.5)</f>
        <v>0.5</v>
      </c>
      <c r="E1456" s="29">
        <f>IFERROR(__xludf.DUMMYFUNCTION("""COMPUTED_VALUE"""),44166.65625)</f>
        <v>44166.65625</v>
      </c>
      <c r="F1456" s="26" t="str">
        <f>IFERROR(__xludf.DUMMYFUNCTION("""COMPUTED_VALUE"""),"557058:ed1ddc66-d84d-405c-a815-0fcc6147ba14")</f>
        <v>557058:ed1ddc66-d84d-405c-a815-0fcc6147ba14</v>
      </c>
      <c r="G1456" s="26" t="str">
        <f>IFERROR(__xludf.DUMMYFUNCTION("""COMPUTED_VALUE"""),"Mark Corrigan")</f>
        <v>Mark Corrigan</v>
      </c>
      <c r="H1456" s="26" t="b">
        <v>0</v>
      </c>
    </row>
    <row r="1457">
      <c r="A1457" s="26" t="str">
        <f>VLOOKUP(B1457,'2020 SRED (JIRA) - Issues and l'!$B:$C,2,FALSE)</f>
        <v>insite-workflow-SRED</v>
      </c>
      <c r="B1457" s="27" t="str">
        <f>IFERROR(__xludf.DUMMYFUNCTION("""COMPUTED_VALUE"""),"APPS-536")</f>
        <v>APPS-536</v>
      </c>
      <c r="C1457" s="26" t="str">
        <f>IFERROR(__xludf.DUMMYFUNCTION("""COMPUTED_VALUE"""),"As a salesperson, I can initiate key Sales Pipeline actions from Gmail")</f>
        <v>As a salesperson, I can initiate key Sales Pipeline actions from Gmail</v>
      </c>
      <c r="D1457" s="28">
        <f>IFERROR(__xludf.DUMMYFUNCTION("""COMPUTED_VALUE"""),0.5)</f>
        <v>0.5</v>
      </c>
      <c r="E1457" s="29">
        <f>IFERROR(__xludf.DUMMYFUNCTION("""COMPUTED_VALUE"""),44166.67708333333)</f>
        <v>44166.67708</v>
      </c>
      <c r="F1457" s="26" t="str">
        <f>IFERROR(__xludf.DUMMYFUNCTION("""COMPUTED_VALUE"""),"557058:ed1ddc66-d84d-405c-a815-0fcc6147ba14")</f>
        <v>557058:ed1ddc66-d84d-405c-a815-0fcc6147ba14</v>
      </c>
      <c r="G1457" s="26" t="str">
        <f>IFERROR(__xludf.DUMMYFUNCTION("""COMPUTED_VALUE"""),"Mark Corrigan")</f>
        <v>Mark Corrigan</v>
      </c>
      <c r="H1457" s="26" t="b">
        <v>0</v>
      </c>
    </row>
    <row r="1458" hidden="1">
      <c r="A1458" s="26" t="str">
        <f>VLOOKUP(B1458,'2020 SRED (JIRA) - Issues and l'!$B:$C,2,FALSE)</f>
        <v>insite-workflow-SRED</v>
      </c>
      <c r="B1458" s="27" t="str">
        <f>IFERROR(__xludf.DUMMYFUNCTION("""COMPUTED_VALUE"""),"APPS-536")</f>
        <v>APPS-536</v>
      </c>
      <c r="C1458" s="26" t="str">
        <f>IFERROR(__xludf.DUMMYFUNCTION("""COMPUTED_VALUE"""),"As a salesperson, I can initiate key Sales Pipeline actions from Gmail")</f>
        <v>As a salesperson, I can initiate key Sales Pipeline actions from Gmail</v>
      </c>
      <c r="D1458" s="28">
        <f>IFERROR(__xludf.DUMMYFUNCTION("""COMPUTED_VALUE"""),4.0)</f>
        <v>4</v>
      </c>
      <c r="E1458" s="29">
        <f>IFERROR(__xludf.DUMMYFUNCTION("""COMPUTED_VALUE"""),44167.33333333333)</f>
        <v>44167.33333</v>
      </c>
      <c r="F1458" s="26" t="str">
        <f>IFERROR(__xludf.DUMMYFUNCTION("""COMPUTED_VALUE"""),"5ee7b6ce868ce30ac49e2521")</f>
        <v>5ee7b6ce868ce30ac49e2521</v>
      </c>
      <c r="G1458" s="26" t="str">
        <f>IFERROR(__xludf.DUMMYFUNCTION("""COMPUTED_VALUE"""),"Bryan Le")</f>
        <v>Bryan Le</v>
      </c>
      <c r="H1458" s="26" t="b">
        <v>0</v>
      </c>
    </row>
    <row r="1459" hidden="1">
      <c r="A1459" s="26" t="str">
        <f>VLOOKUP(B1459,'2020 SRED (JIRA) - Issues and l'!$B:$C,2,FALSE)</f>
        <v>insite-workflow-SRED</v>
      </c>
      <c r="B1459" s="27" t="str">
        <f>IFERROR(__xludf.DUMMYFUNCTION("""COMPUTED_VALUE"""),"APPS-555")</f>
        <v>APPS-555</v>
      </c>
      <c r="C1459" s="26" t="str">
        <f>IFERROR(__xludf.DUMMYFUNCTION("""COMPUTED_VALUE"""),"As Alyssia, I can set up a new project from a proposal")</f>
        <v>As Alyssia, I can set up a new project from a proposal</v>
      </c>
      <c r="D1459" s="28">
        <f>IFERROR(__xludf.DUMMYFUNCTION("""COMPUTED_VALUE"""),6.0)</f>
        <v>6</v>
      </c>
      <c r="E1459" s="29">
        <f>IFERROR(__xludf.DUMMYFUNCTION("""COMPUTED_VALUE"""),44167.33333333333)</f>
        <v>44167.33333</v>
      </c>
      <c r="F1459" s="26" t="str">
        <f>IFERROR(__xludf.DUMMYFUNCTION("""COMPUTED_VALUE"""),"5ee7b6cf02b4400ac4b65399")</f>
        <v>5ee7b6cf02b4400ac4b65399</v>
      </c>
      <c r="G1459" s="26" t="str">
        <f>IFERROR(__xludf.DUMMYFUNCTION("""COMPUTED_VALUE"""),"Jessica Obando")</f>
        <v>Jessica Obando</v>
      </c>
      <c r="H1459" s="26" t="b">
        <v>0</v>
      </c>
    </row>
    <row r="1460">
      <c r="A1460" s="26" t="str">
        <f>VLOOKUP(B1460,'2020 SRED (JIRA) - Issues and l'!$B:$C,2,FALSE)</f>
        <v>insite-workflow-SRED</v>
      </c>
      <c r="B1460" s="27" t="str">
        <f>IFERROR(__xludf.DUMMYFUNCTION("""COMPUTED_VALUE"""),"APPS-554")</f>
        <v>APPS-554</v>
      </c>
      <c r="C1460" s="26" t="str">
        <f>IFERROR(__xludf.DUMMYFUNCTION("""COMPUTED_VALUE"""),"Add program objectives to proposal builder, show full objective")</f>
        <v>Add program objectives to proposal builder, show full objective</v>
      </c>
      <c r="D1460" s="28">
        <f>IFERROR(__xludf.DUMMYFUNCTION("""COMPUTED_VALUE"""),0.25)</f>
        <v>0.25</v>
      </c>
      <c r="E1460" s="29">
        <f>IFERROR(__xludf.DUMMYFUNCTION("""COMPUTED_VALUE"""),44167.35416666667)</f>
        <v>44167.35417</v>
      </c>
      <c r="F1460" s="26" t="str">
        <f>IFERROR(__xludf.DUMMYFUNCTION("""COMPUTED_VALUE"""),"557058:ed1ddc66-d84d-405c-a815-0fcc6147ba14")</f>
        <v>557058:ed1ddc66-d84d-405c-a815-0fcc6147ba14</v>
      </c>
      <c r="G1460" s="26" t="str">
        <f>IFERROR(__xludf.DUMMYFUNCTION("""COMPUTED_VALUE"""),"Mark Corrigan")</f>
        <v>Mark Corrigan</v>
      </c>
      <c r="H1460" s="26" t="b">
        <v>0</v>
      </c>
    </row>
    <row r="1461">
      <c r="A1461" s="26" t="str">
        <f>VLOOKUP(B1461,'2020 SRED (JIRA) - Issues and l'!$B:$C,2,FALSE)</f>
        <v>insite-workflow-SRED</v>
      </c>
      <c r="B1461" s="27" t="str">
        <f>IFERROR(__xludf.DUMMYFUNCTION("""COMPUTED_VALUE"""),"APPS-536")</f>
        <v>APPS-536</v>
      </c>
      <c r="C1461" s="26" t="str">
        <f>IFERROR(__xludf.DUMMYFUNCTION("""COMPUTED_VALUE"""),"As a salesperson, I can initiate key Sales Pipeline actions from Gmail")</f>
        <v>As a salesperson, I can initiate key Sales Pipeline actions from Gmail</v>
      </c>
      <c r="D1461" s="28">
        <f>IFERROR(__xludf.DUMMYFUNCTION("""COMPUTED_VALUE"""),0.5)</f>
        <v>0.5</v>
      </c>
      <c r="E1461" s="29">
        <f>IFERROR(__xludf.DUMMYFUNCTION("""COMPUTED_VALUE"""),44167.38541666667)</f>
        <v>44167.38542</v>
      </c>
      <c r="F1461" s="26" t="str">
        <f>IFERROR(__xludf.DUMMYFUNCTION("""COMPUTED_VALUE"""),"557058:ed1ddc66-d84d-405c-a815-0fcc6147ba14")</f>
        <v>557058:ed1ddc66-d84d-405c-a815-0fcc6147ba14</v>
      </c>
      <c r="G1461" s="26" t="str">
        <f>IFERROR(__xludf.DUMMYFUNCTION("""COMPUTED_VALUE"""),"Mark Corrigan")</f>
        <v>Mark Corrigan</v>
      </c>
      <c r="H1461" s="26" t="b">
        <v>0</v>
      </c>
    </row>
    <row r="1462">
      <c r="A1462" s="26" t="str">
        <f>VLOOKUP(B1462,'2020 SRED (JIRA) - Issues and l'!$B:$C,2,FALSE)</f>
        <v>insite-workflow-SRED</v>
      </c>
      <c r="B1462" s="27" t="str">
        <f>IFERROR(__xludf.DUMMYFUNCTION("""COMPUTED_VALUE"""),"APPS-539")</f>
        <v>APPS-539</v>
      </c>
      <c r="C1462" s="26" t="str">
        <f>IFERROR(__xludf.DUMMYFUNCTION("""COMPUTED_VALUE"""),"Anyone at Impetus can submit a product idea, IT request, or SAMS request from Gmail to Jira")</f>
        <v>Anyone at Impetus can submit a product idea, IT request, or SAMS request from Gmail to Jira</v>
      </c>
      <c r="D1462" s="28">
        <f>IFERROR(__xludf.DUMMYFUNCTION("""COMPUTED_VALUE"""),0.5)</f>
        <v>0.5</v>
      </c>
      <c r="E1462" s="29">
        <f>IFERROR(__xludf.DUMMYFUNCTION("""COMPUTED_VALUE"""),44167.40625)</f>
        <v>44167.40625</v>
      </c>
      <c r="F1462" s="26" t="str">
        <f>IFERROR(__xludf.DUMMYFUNCTION("""COMPUTED_VALUE"""),"557058:ed1ddc66-d84d-405c-a815-0fcc6147ba14")</f>
        <v>557058:ed1ddc66-d84d-405c-a815-0fcc6147ba14</v>
      </c>
      <c r="G1462" s="26" t="str">
        <f>IFERROR(__xludf.DUMMYFUNCTION("""COMPUTED_VALUE"""),"Mark Corrigan")</f>
        <v>Mark Corrigan</v>
      </c>
      <c r="H1462" s="26" t="b">
        <v>0</v>
      </c>
    </row>
    <row r="1463">
      <c r="A1463" s="26" t="str">
        <f>VLOOKUP(B1463,'2020 SRED (JIRA) - Issues and l'!$B:$C,2,FALSE)</f>
        <v>insite-workflow-SRED</v>
      </c>
      <c r="B1463" s="27" t="str">
        <f>IFERROR(__xludf.DUMMYFUNCTION("""COMPUTED_VALUE"""),"APPS-560")</f>
        <v>APPS-560</v>
      </c>
      <c r="C1463" s="26" t="str">
        <f>IFERROR(__xludf.DUMMYFUNCTION("""COMPUTED_VALUE"""),"After a project has been created, ensure all touchpoints from the proposal are referenced within the Projects app")</f>
        <v>After a project has been created, ensure all touchpoints from the proposal are referenced within the Projects app</v>
      </c>
      <c r="D1463" s="28">
        <f>IFERROR(__xludf.DUMMYFUNCTION("""COMPUTED_VALUE"""),0.5)</f>
        <v>0.5</v>
      </c>
      <c r="E1463" s="29">
        <f>IFERROR(__xludf.DUMMYFUNCTION("""COMPUTED_VALUE"""),44167.42708333333)</f>
        <v>44167.42708</v>
      </c>
      <c r="F1463" s="26" t="str">
        <f>IFERROR(__xludf.DUMMYFUNCTION("""COMPUTED_VALUE"""),"557058:ed1ddc66-d84d-405c-a815-0fcc6147ba14")</f>
        <v>557058:ed1ddc66-d84d-405c-a815-0fcc6147ba14</v>
      </c>
      <c r="G1463" s="26" t="str">
        <f>IFERROR(__xludf.DUMMYFUNCTION("""COMPUTED_VALUE"""),"Mark Corrigan")</f>
        <v>Mark Corrigan</v>
      </c>
      <c r="H1463" s="26" t="b">
        <v>0</v>
      </c>
    </row>
    <row r="1464">
      <c r="A1464" s="26" t="str">
        <f>VLOOKUP(B1464,'2020 SRED (JIRA) - Issues and l'!$B:$C,2,FALSE)</f>
        <v>insite-workflow-SRED</v>
      </c>
      <c r="B1464" s="27" t="str">
        <f>IFERROR(__xludf.DUMMYFUNCTION("""COMPUTED_VALUE"""),"APPS-565")</f>
        <v>APPS-565</v>
      </c>
      <c r="C1464" s="26" t="str">
        <f>IFERROR(__xludf.DUMMYFUNCTION("""COMPUTED_VALUE"""),"Remove empty rows and add consistent space after list items in touchpoint tables")</f>
        <v>Remove empty rows and add consistent space after list items in touchpoint tables</v>
      </c>
      <c r="D1464" s="28">
        <f>IFERROR(__xludf.DUMMYFUNCTION("""COMPUTED_VALUE"""),0.25)</f>
        <v>0.25</v>
      </c>
      <c r="E1464" s="29">
        <f>IFERROR(__xludf.DUMMYFUNCTION("""COMPUTED_VALUE"""),44167.45833333333)</f>
        <v>44167.45833</v>
      </c>
      <c r="F1464" s="26" t="str">
        <f>IFERROR(__xludf.DUMMYFUNCTION("""COMPUTED_VALUE"""),"557058:ed1ddc66-d84d-405c-a815-0fcc6147ba14")</f>
        <v>557058:ed1ddc66-d84d-405c-a815-0fcc6147ba14</v>
      </c>
      <c r="G1464" s="26" t="str">
        <f>IFERROR(__xludf.DUMMYFUNCTION("""COMPUTED_VALUE"""),"Mark Corrigan")</f>
        <v>Mark Corrigan</v>
      </c>
      <c r="H1464" s="26" t="b">
        <v>0</v>
      </c>
    </row>
    <row r="1465">
      <c r="A1465" s="26" t="str">
        <f>VLOOKUP(B1465,'2020 SRED (JIRA) - Issues and l'!$B:$C,2,FALSE)</f>
        <v>insite-workflow-SRED</v>
      </c>
      <c r="B1465" s="27" t="str">
        <f>IFERROR(__xludf.DUMMYFUNCTION("""COMPUTED_VALUE"""),"APPS-557")</f>
        <v>APPS-557</v>
      </c>
      <c r="C1465" s="26" t="str">
        <f>IFERROR(__xludf.DUMMYFUNCTION("""COMPUTED_VALUE"""),"On Projects app, create new project form and insert as much proposal data as possible")</f>
        <v>On Projects app, create new project form and insert as much proposal data as possible</v>
      </c>
      <c r="D1465" s="28">
        <f>IFERROR(__xludf.DUMMYFUNCTION("""COMPUTED_VALUE"""),0.5)</f>
        <v>0.5</v>
      </c>
      <c r="E1465" s="29">
        <f>IFERROR(__xludf.DUMMYFUNCTION("""COMPUTED_VALUE"""),44167.46875)</f>
        <v>44167.46875</v>
      </c>
      <c r="F1465" s="26" t="str">
        <f>IFERROR(__xludf.DUMMYFUNCTION("""COMPUTED_VALUE"""),"557058:ed1ddc66-d84d-405c-a815-0fcc6147ba14")</f>
        <v>557058:ed1ddc66-d84d-405c-a815-0fcc6147ba14</v>
      </c>
      <c r="G1465" s="26" t="str">
        <f>IFERROR(__xludf.DUMMYFUNCTION("""COMPUTED_VALUE"""),"Mark Corrigan")</f>
        <v>Mark Corrigan</v>
      </c>
      <c r="H1465" s="26" t="b">
        <v>0</v>
      </c>
    </row>
    <row r="1466" hidden="1">
      <c r="A1466" s="26" t="str">
        <f>VLOOKUP(B1466,'2020 SRED (JIRA) - Issues and l'!$B:$C,2,FALSE)</f>
        <v>insite-workflow-SRED</v>
      </c>
      <c r="B1466" s="27" t="str">
        <f>IFERROR(__xludf.DUMMYFUNCTION("""COMPUTED_VALUE"""),"APPS-539")</f>
        <v>APPS-539</v>
      </c>
      <c r="C1466" s="26" t="str">
        <f>IFERROR(__xludf.DUMMYFUNCTION("""COMPUTED_VALUE"""),"Anyone at Impetus can submit a product idea, IT request, or SAMS request from Gmail to Jira")</f>
        <v>Anyone at Impetus can submit a product idea, IT request, or SAMS request from Gmail to Jira</v>
      </c>
      <c r="D1466" s="28">
        <f>IFERROR(__xludf.DUMMYFUNCTION("""COMPUTED_VALUE"""),1.0)</f>
        <v>1</v>
      </c>
      <c r="E1466" s="29">
        <f>IFERROR(__xludf.DUMMYFUNCTION("""COMPUTED_VALUE"""),44167.5)</f>
        <v>44167.5</v>
      </c>
      <c r="F1466" s="26" t="str">
        <f>IFERROR(__xludf.DUMMYFUNCTION("""COMPUTED_VALUE"""),"5ee7b6ce868ce30ac49e2521")</f>
        <v>5ee7b6ce868ce30ac49e2521</v>
      </c>
      <c r="G1466" s="26" t="str">
        <f>IFERROR(__xludf.DUMMYFUNCTION("""COMPUTED_VALUE"""),"Bryan Le")</f>
        <v>Bryan Le</v>
      </c>
      <c r="H1466" s="26" t="b">
        <v>0</v>
      </c>
    </row>
    <row r="1467">
      <c r="A1467" s="26" t="str">
        <f>VLOOKUP(B1467,'2020 SRED (JIRA) - Issues and l'!$B:$C,2,FALSE)</f>
        <v>insite-workflow-SRED</v>
      </c>
      <c r="B1467" s="27" t="str">
        <f>IFERROR(__xludf.DUMMYFUNCTION("""COMPUTED_VALUE"""),"APPS-388")</f>
        <v>APPS-388</v>
      </c>
      <c r="C1467" s="26" t="str">
        <f>IFERROR(__xludf.DUMMYFUNCTION("""COMPUTED_VALUE"""),"Cleanup tasks")</f>
        <v>Cleanup tasks</v>
      </c>
      <c r="D1467" s="28">
        <f>IFERROR(__xludf.DUMMYFUNCTION("""COMPUTED_VALUE"""),0.25)</f>
        <v>0.25</v>
      </c>
      <c r="E1467" s="29">
        <f>IFERROR(__xludf.DUMMYFUNCTION("""COMPUTED_VALUE"""),44167.51041666667)</f>
        <v>44167.51042</v>
      </c>
      <c r="F1467" s="26" t="str">
        <f>IFERROR(__xludf.DUMMYFUNCTION("""COMPUTED_VALUE"""),"557058:ed1ddc66-d84d-405c-a815-0fcc6147ba14")</f>
        <v>557058:ed1ddc66-d84d-405c-a815-0fcc6147ba14</v>
      </c>
      <c r="G1467" s="26" t="str">
        <f>IFERROR(__xludf.DUMMYFUNCTION("""COMPUTED_VALUE"""),"Mark Corrigan")</f>
        <v>Mark Corrigan</v>
      </c>
      <c r="H1467" s="26" t="b">
        <v>0</v>
      </c>
    </row>
    <row r="1468" hidden="1">
      <c r="A1468" s="26" t="str">
        <f>VLOOKUP(B1468,'2020 SRED (JIRA) - Issues and l'!$B:$C,2,FALSE)</f>
        <v>insite-workflow-SRED</v>
      </c>
      <c r="B1468" s="27" t="str">
        <f>IFERROR(__xludf.DUMMYFUNCTION("""COMPUTED_VALUE"""),"APPS-69")</f>
        <v>APPS-69</v>
      </c>
      <c r="C1468" s="26" t="str">
        <f>IFERROR(__xludf.DUMMYFUNCTION("""COMPUTED_VALUE"""),"As a salesperson, I can search and insert customer stories into prospect emails")</f>
        <v>As a salesperson, I can search and insert customer stories into prospect emails</v>
      </c>
      <c r="D1468" s="28">
        <f>IFERROR(__xludf.DUMMYFUNCTION("""COMPUTED_VALUE"""),2.0)</f>
        <v>2</v>
      </c>
      <c r="E1468" s="29">
        <f>IFERROR(__xludf.DUMMYFUNCTION("""COMPUTED_VALUE"""),44167.54166666667)</f>
        <v>44167.54167</v>
      </c>
      <c r="F1468" s="26" t="str">
        <f>IFERROR(__xludf.DUMMYFUNCTION("""COMPUTED_VALUE"""),"5ee7b6ce868ce30ac49e2521")</f>
        <v>5ee7b6ce868ce30ac49e2521</v>
      </c>
      <c r="G1468" s="26" t="str">
        <f>IFERROR(__xludf.DUMMYFUNCTION("""COMPUTED_VALUE"""),"Bryan Le")</f>
        <v>Bryan Le</v>
      </c>
      <c r="H1468" s="26" t="b">
        <v>0</v>
      </c>
    </row>
    <row r="1469">
      <c r="A1469" s="26" t="str">
        <f>VLOOKUP(B1469,'2020 SRED (JIRA) - Issues and l'!$B:$C,2,FALSE)</f>
        <v>insite-workflow-SRED</v>
      </c>
      <c r="B1469" s="27" t="str">
        <f>IFERROR(__xludf.DUMMYFUNCTION("""COMPUTED_VALUE"""),"APPS-267")</f>
        <v>APPS-267</v>
      </c>
      <c r="C1469" s="26" t="str">
        <f>IFERROR(__xludf.DUMMYFUNCTION("""COMPUTED_VALUE"""),"Final QA, deployment, and training")</f>
        <v>Final QA, deployment, and training</v>
      </c>
      <c r="D1469" s="28">
        <f>IFERROR(__xludf.DUMMYFUNCTION("""COMPUTED_VALUE"""),1.5)</f>
        <v>1.5</v>
      </c>
      <c r="E1469" s="29">
        <f>IFERROR(__xludf.DUMMYFUNCTION("""COMPUTED_VALUE"""),44167.69791666667)</f>
        <v>44167.69792</v>
      </c>
      <c r="F1469" s="26" t="str">
        <f>IFERROR(__xludf.DUMMYFUNCTION("""COMPUTED_VALUE"""),"557058:ed1ddc66-d84d-405c-a815-0fcc6147ba14")</f>
        <v>557058:ed1ddc66-d84d-405c-a815-0fcc6147ba14</v>
      </c>
      <c r="G1469" s="26" t="str">
        <f>IFERROR(__xludf.DUMMYFUNCTION("""COMPUTED_VALUE"""),"Mark Corrigan")</f>
        <v>Mark Corrigan</v>
      </c>
      <c r="H1469" s="26" t="b">
        <v>0</v>
      </c>
    </row>
    <row r="1470" hidden="1">
      <c r="A1470" s="26" t="str">
        <f>VLOOKUP(B1470,'2020 SRED (JIRA) - Issues and l'!$B:$C,2,FALSE)</f>
        <v>insite-workflow-SRED</v>
      </c>
      <c r="B1470" s="27" t="str">
        <f>IFERROR(__xludf.DUMMYFUNCTION("""COMPUTED_VALUE"""),"APPS-536")</f>
        <v>APPS-536</v>
      </c>
      <c r="C1470" s="26" t="str">
        <f>IFERROR(__xludf.DUMMYFUNCTION("""COMPUTED_VALUE"""),"As a salesperson, I can initiate key Sales Pipeline actions from Gmail")</f>
        <v>As a salesperson, I can initiate key Sales Pipeline actions from Gmail</v>
      </c>
      <c r="D1470" s="28">
        <f>IFERROR(__xludf.DUMMYFUNCTION("""COMPUTED_VALUE"""),7.0)</f>
        <v>7</v>
      </c>
      <c r="E1470" s="29">
        <f>IFERROR(__xludf.DUMMYFUNCTION("""COMPUTED_VALUE"""),44168.33333333333)</f>
        <v>44168.33333</v>
      </c>
      <c r="F1470" s="26" t="str">
        <f>IFERROR(__xludf.DUMMYFUNCTION("""COMPUTED_VALUE"""),"5ee7b6ce868ce30ac49e2521")</f>
        <v>5ee7b6ce868ce30ac49e2521</v>
      </c>
      <c r="G1470" s="26" t="str">
        <f>IFERROR(__xludf.DUMMYFUNCTION("""COMPUTED_VALUE"""),"Bryan Le")</f>
        <v>Bryan Le</v>
      </c>
      <c r="H1470" s="26" t="b">
        <v>0</v>
      </c>
    </row>
    <row r="1471" hidden="1">
      <c r="A1471" s="26" t="str">
        <f>VLOOKUP(B1471,'2020 SRED (JIRA) - Issues and l'!$B:$C,2,FALSE)</f>
        <v>insite-workflow-SRED</v>
      </c>
      <c r="B1471" s="27" t="str">
        <f>IFERROR(__xludf.DUMMYFUNCTION("""COMPUTED_VALUE"""),"APPS-568")</f>
        <v>APPS-568</v>
      </c>
      <c r="C1471" s="26" t="str">
        <f>IFERROR(__xludf.DUMMYFUNCTION("""COMPUTED_VALUE"""),"On save of new proposal, set destination to proposal details so touchpoints can be added")</f>
        <v>On save of new proposal, set destination to proposal details so touchpoints can be added</v>
      </c>
      <c r="D1471" s="28">
        <f>IFERROR(__xludf.DUMMYFUNCTION("""COMPUTED_VALUE"""),7.0)</f>
        <v>7</v>
      </c>
      <c r="E1471" s="29">
        <f>IFERROR(__xludf.DUMMYFUNCTION("""COMPUTED_VALUE"""),44168.33333333333)</f>
        <v>44168.33333</v>
      </c>
      <c r="F1471" s="26" t="str">
        <f>IFERROR(__xludf.DUMMYFUNCTION("""COMPUTED_VALUE"""),"5ee7b6cf02b4400ac4b65399")</f>
        <v>5ee7b6cf02b4400ac4b65399</v>
      </c>
      <c r="G1471" s="26" t="str">
        <f>IFERROR(__xludf.DUMMYFUNCTION("""COMPUTED_VALUE"""),"Jessica Obando")</f>
        <v>Jessica Obando</v>
      </c>
      <c r="H1471" s="26" t="b">
        <v>0</v>
      </c>
    </row>
    <row r="1472">
      <c r="A1472" s="26" t="str">
        <f>VLOOKUP(B1472,'2020 SRED (JIRA) - Issues and l'!$B:$C,2,FALSE)</f>
        <v>insite-workflow-SRED</v>
      </c>
      <c r="B1472" s="27" t="str">
        <f>IFERROR(__xludf.DUMMYFUNCTION("""COMPUTED_VALUE"""),"APPS-267")</f>
        <v>APPS-267</v>
      </c>
      <c r="C1472" s="26" t="str">
        <f>IFERROR(__xludf.DUMMYFUNCTION("""COMPUTED_VALUE"""),"Final QA, deployment, and training")</f>
        <v>Final QA, deployment, and training</v>
      </c>
      <c r="D1472" s="28">
        <f>IFERROR(__xludf.DUMMYFUNCTION("""COMPUTED_VALUE"""),0.5)</f>
        <v>0.5</v>
      </c>
      <c r="E1472" s="29">
        <f>IFERROR(__xludf.DUMMYFUNCTION("""COMPUTED_VALUE"""),44168.41666666667)</f>
        <v>44168.41667</v>
      </c>
      <c r="F1472" s="26" t="str">
        <f>IFERROR(__xludf.DUMMYFUNCTION("""COMPUTED_VALUE"""),"557058:ed1ddc66-d84d-405c-a815-0fcc6147ba14")</f>
        <v>557058:ed1ddc66-d84d-405c-a815-0fcc6147ba14</v>
      </c>
      <c r="G1472" s="26" t="str">
        <f>IFERROR(__xludf.DUMMYFUNCTION("""COMPUTED_VALUE"""),"Mark Corrigan")</f>
        <v>Mark Corrigan</v>
      </c>
      <c r="H1472" s="26" t="b">
        <v>0</v>
      </c>
    </row>
    <row r="1473">
      <c r="A1473" s="26" t="str">
        <f>VLOOKUP(B1473,'2020 SRED (JIRA) - Issues and l'!$B:$C,2,FALSE)</f>
        <v>insite-workflow-SRED</v>
      </c>
      <c r="B1473" s="27" t="str">
        <f>IFERROR(__xludf.DUMMYFUNCTION("""COMPUTED_VALUE"""),"APPS-569")</f>
        <v>APPS-569</v>
      </c>
      <c r="C1473" s="26" t="str">
        <f>IFERROR(__xludf.DUMMYFUNCTION("""COMPUTED_VALUE"""),"Create ""My proposals"" slice for dashboard page")</f>
        <v>Create "My proposals" slice for dashboard page</v>
      </c>
      <c r="D1473" s="28">
        <f>IFERROR(__xludf.DUMMYFUNCTION("""COMPUTED_VALUE"""),0.5)</f>
        <v>0.5</v>
      </c>
      <c r="E1473" s="29">
        <f>IFERROR(__xludf.DUMMYFUNCTION("""COMPUTED_VALUE"""),44168.4375)</f>
        <v>44168.4375</v>
      </c>
      <c r="F1473" s="26" t="str">
        <f>IFERROR(__xludf.DUMMYFUNCTION("""COMPUTED_VALUE"""),"557058:ed1ddc66-d84d-405c-a815-0fcc6147ba14")</f>
        <v>557058:ed1ddc66-d84d-405c-a815-0fcc6147ba14</v>
      </c>
      <c r="G1473" s="26" t="str">
        <f>IFERROR(__xludf.DUMMYFUNCTION("""COMPUTED_VALUE"""),"Mark Corrigan")</f>
        <v>Mark Corrigan</v>
      </c>
      <c r="H1473" s="26" t="b">
        <v>0</v>
      </c>
    </row>
    <row r="1474">
      <c r="A1474" s="26" t="str">
        <f>VLOOKUP(B1474,'2020 SRED (JIRA) - Issues and l'!$B:$C,2,FALSE)</f>
        <v>insite-workflow-SRED</v>
      </c>
      <c r="B1474" s="27" t="str">
        <f>IFERROR(__xludf.DUMMYFUNCTION("""COMPUTED_VALUE"""),"APPS-536")</f>
        <v>APPS-536</v>
      </c>
      <c r="C1474" s="26" t="str">
        <f>IFERROR(__xludf.DUMMYFUNCTION("""COMPUTED_VALUE"""),"As a salesperson, I can initiate key Sales Pipeline actions from Gmail")</f>
        <v>As a salesperson, I can initiate key Sales Pipeline actions from Gmail</v>
      </c>
      <c r="D1474" s="28">
        <f>IFERROR(__xludf.DUMMYFUNCTION("""COMPUTED_VALUE"""),0.25)</f>
        <v>0.25</v>
      </c>
      <c r="E1474" s="29">
        <f>IFERROR(__xludf.DUMMYFUNCTION("""COMPUTED_VALUE"""),44168.45833333333)</f>
        <v>44168.45833</v>
      </c>
      <c r="F1474" s="26" t="str">
        <f>IFERROR(__xludf.DUMMYFUNCTION("""COMPUTED_VALUE"""),"557058:ed1ddc66-d84d-405c-a815-0fcc6147ba14")</f>
        <v>557058:ed1ddc66-d84d-405c-a815-0fcc6147ba14</v>
      </c>
      <c r="G1474" s="26" t="str">
        <f>IFERROR(__xludf.DUMMYFUNCTION("""COMPUTED_VALUE"""),"Mark Corrigan")</f>
        <v>Mark Corrigan</v>
      </c>
      <c r="H1474" s="26" t="b">
        <v>0</v>
      </c>
    </row>
    <row r="1475">
      <c r="A1475" s="26" t="str">
        <f>VLOOKUP(B1475,'2020 SRED (JIRA) - Issues and l'!$B:$C,2,FALSE)</f>
        <v>insite-workflow-SRED</v>
      </c>
      <c r="B1475" s="27" t="str">
        <f>IFERROR(__xludf.DUMMYFUNCTION("""COMPUTED_VALUE"""),"APPS-266")</f>
        <v>APPS-266</v>
      </c>
      <c r="C1475" s="26" t="str">
        <f>IFERROR(__xludf.DUMMYFUNCTION("""COMPUTED_VALUE"""),"Data migration for contacts, orgs, sales opportunities, prospective clients, salesperson profiles, etc.")</f>
        <v>Data migration for contacts, orgs, sales opportunities, prospective clients, salesperson profiles, etc.</v>
      </c>
      <c r="D1475" s="28">
        <f>IFERROR(__xludf.DUMMYFUNCTION("""COMPUTED_VALUE"""),0.5)</f>
        <v>0.5</v>
      </c>
      <c r="E1475" s="29">
        <f>IFERROR(__xludf.DUMMYFUNCTION("""COMPUTED_VALUE"""),44168.54166666667)</f>
        <v>44168.54167</v>
      </c>
      <c r="F1475" s="26" t="str">
        <f>IFERROR(__xludf.DUMMYFUNCTION("""COMPUTED_VALUE"""),"557058:ed1ddc66-d84d-405c-a815-0fcc6147ba14")</f>
        <v>557058:ed1ddc66-d84d-405c-a815-0fcc6147ba14</v>
      </c>
      <c r="G1475" s="26" t="str">
        <f>IFERROR(__xludf.DUMMYFUNCTION("""COMPUTED_VALUE"""),"Mark Corrigan")</f>
        <v>Mark Corrigan</v>
      </c>
      <c r="H1475" s="26" t="b">
        <v>0</v>
      </c>
    </row>
    <row r="1476">
      <c r="A1476" s="26" t="str">
        <f>VLOOKUP(B1476,'2020 SRED (JIRA) - Issues and l'!$B:$C,2,FALSE)</f>
        <v>insite-workflow-SRED</v>
      </c>
      <c r="B1476" s="27" t="str">
        <f>IFERROR(__xludf.DUMMYFUNCTION("""COMPUTED_VALUE"""),"APPS-267")</f>
        <v>APPS-267</v>
      </c>
      <c r="C1476" s="26" t="str">
        <f>IFERROR(__xludf.DUMMYFUNCTION("""COMPUTED_VALUE"""),"Final QA, deployment, and training")</f>
        <v>Final QA, deployment, and training</v>
      </c>
      <c r="D1476" s="28">
        <f>IFERROR(__xludf.DUMMYFUNCTION("""COMPUTED_VALUE"""),0.5)</f>
        <v>0.5</v>
      </c>
      <c r="E1476" s="29">
        <f>IFERROR(__xludf.DUMMYFUNCTION("""COMPUTED_VALUE"""),44168.5625)</f>
        <v>44168.5625</v>
      </c>
      <c r="F1476" s="26" t="str">
        <f>IFERROR(__xludf.DUMMYFUNCTION("""COMPUTED_VALUE"""),"557058:ed1ddc66-d84d-405c-a815-0fcc6147ba14")</f>
        <v>557058:ed1ddc66-d84d-405c-a815-0fcc6147ba14</v>
      </c>
      <c r="G1476" s="26" t="str">
        <f>IFERROR(__xludf.DUMMYFUNCTION("""COMPUTED_VALUE"""),"Mark Corrigan")</f>
        <v>Mark Corrigan</v>
      </c>
      <c r="H1476" s="26" t="b">
        <v>0</v>
      </c>
    </row>
    <row r="1477">
      <c r="A1477" s="26" t="str">
        <f>VLOOKUP(B1477,'2020 SRED (JIRA) - Issues and l'!$B:$C,2,FALSE)</f>
        <v>insite-workflow-SRED</v>
      </c>
      <c r="B1477" s="27" t="str">
        <f>IFERROR(__xludf.DUMMYFUNCTION("""COMPUTED_VALUE"""),"APPS-539")</f>
        <v>APPS-539</v>
      </c>
      <c r="C1477" s="26" t="str">
        <f>IFERROR(__xludf.DUMMYFUNCTION("""COMPUTED_VALUE"""),"Anyone at Impetus can submit a product idea, IT request, or SAMS request from Gmail to Jira")</f>
        <v>Anyone at Impetus can submit a product idea, IT request, or SAMS request from Gmail to Jira</v>
      </c>
      <c r="D1477" s="28">
        <f>IFERROR(__xludf.DUMMYFUNCTION("""COMPUTED_VALUE"""),0.25)</f>
        <v>0.25</v>
      </c>
      <c r="E1477" s="29">
        <f>IFERROR(__xludf.DUMMYFUNCTION("""COMPUTED_VALUE"""),44168.61458333333)</f>
        <v>44168.61458</v>
      </c>
      <c r="F1477" s="26" t="str">
        <f>IFERROR(__xludf.DUMMYFUNCTION("""COMPUTED_VALUE"""),"557058:ed1ddc66-d84d-405c-a815-0fcc6147ba14")</f>
        <v>557058:ed1ddc66-d84d-405c-a815-0fcc6147ba14</v>
      </c>
      <c r="G1477" s="26" t="str">
        <f>IFERROR(__xludf.DUMMYFUNCTION("""COMPUTED_VALUE"""),"Mark Corrigan")</f>
        <v>Mark Corrigan</v>
      </c>
      <c r="H1477" s="26" t="b">
        <v>0</v>
      </c>
    </row>
    <row r="1478" hidden="1">
      <c r="A1478" s="26" t="str">
        <f>VLOOKUP(B1478,'2020 SRED (JIRA) - Issues and l'!$B:$C,2,FALSE)</f>
        <v>insite-workflow-SRED</v>
      </c>
      <c r="B1478" s="27" t="str">
        <f>IFERROR(__xludf.DUMMYFUNCTION("""COMPUTED_VALUE"""),"APPS-536")</f>
        <v>APPS-536</v>
      </c>
      <c r="C1478" s="26" t="str">
        <f>IFERROR(__xludf.DUMMYFUNCTION("""COMPUTED_VALUE"""),"As a salesperson, I can initiate key Sales Pipeline actions from Gmail")</f>
        <v>As a salesperson, I can initiate key Sales Pipeline actions from Gmail</v>
      </c>
      <c r="D1478" s="28">
        <f>IFERROR(__xludf.DUMMYFUNCTION("""COMPUTED_VALUE"""),7.0)</f>
        <v>7</v>
      </c>
      <c r="E1478" s="29">
        <f>IFERROR(__xludf.DUMMYFUNCTION("""COMPUTED_VALUE"""),44169.33333333333)</f>
        <v>44169.33333</v>
      </c>
      <c r="F1478" s="26" t="str">
        <f>IFERROR(__xludf.DUMMYFUNCTION("""COMPUTED_VALUE"""),"5ee7b6ce868ce30ac49e2521")</f>
        <v>5ee7b6ce868ce30ac49e2521</v>
      </c>
      <c r="G1478" s="26" t="str">
        <f>IFERROR(__xludf.DUMMYFUNCTION("""COMPUTED_VALUE"""),"Bryan Le")</f>
        <v>Bryan Le</v>
      </c>
      <c r="H1478" s="26" t="b">
        <v>0</v>
      </c>
    </row>
    <row r="1479" hidden="1">
      <c r="A1479" s="26" t="str">
        <f>VLOOKUP(B1479,'2020 SRED (JIRA) - Issues and l'!$B:$C,2,FALSE)</f>
        <v>insite-workflow-SRED</v>
      </c>
      <c r="B1479" s="27" t="str">
        <f>IFERROR(__xludf.DUMMYFUNCTION("""COMPUTED_VALUE"""),"APPS-557")</f>
        <v>APPS-557</v>
      </c>
      <c r="C1479" s="26" t="str">
        <f>IFERROR(__xludf.DUMMYFUNCTION("""COMPUTED_VALUE"""),"On Projects app, create new project form and insert as much proposal data as possible")</f>
        <v>On Projects app, create new project form and insert as much proposal data as possible</v>
      </c>
      <c r="D1479" s="28">
        <f>IFERROR(__xludf.DUMMYFUNCTION("""COMPUTED_VALUE"""),7.0)</f>
        <v>7</v>
      </c>
      <c r="E1479" s="29">
        <f>IFERROR(__xludf.DUMMYFUNCTION("""COMPUTED_VALUE"""),44169.33333333333)</f>
        <v>44169.33333</v>
      </c>
      <c r="F1479" s="26" t="str">
        <f>IFERROR(__xludf.DUMMYFUNCTION("""COMPUTED_VALUE"""),"5ee7b6cf02b4400ac4b65399")</f>
        <v>5ee7b6cf02b4400ac4b65399</v>
      </c>
      <c r="G1479" s="26" t="str">
        <f>IFERROR(__xludf.DUMMYFUNCTION("""COMPUTED_VALUE"""),"Jessica Obando")</f>
        <v>Jessica Obando</v>
      </c>
      <c r="H1479" s="26" t="b">
        <v>0</v>
      </c>
    </row>
    <row r="1480">
      <c r="A1480" s="26" t="str">
        <f>VLOOKUP(B1480,'2020 SRED (JIRA) - Issues and l'!$B:$C,2,FALSE)</f>
        <v>insite-workflow-SRED</v>
      </c>
      <c r="B1480" s="27" t="str">
        <f>IFERROR(__xludf.DUMMYFUNCTION("""COMPUTED_VALUE"""),"APPS-560")</f>
        <v>APPS-560</v>
      </c>
      <c r="C1480" s="26" t="str">
        <f>IFERROR(__xludf.DUMMYFUNCTION("""COMPUTED_VALUE"""),"After a project has been created, ensure all touchpoints from the proposal are referenced within the Projects app")</f>
        <v>After a project has been created, ensure all touchpoints from the proposal are referenced within the Projects app</v>
      </c>
      <c r="D1480" s="28">
        <f>IFERROR(__xludf.DUMMYFUNCTION("""COMPUTED_VALUE"""),0.5)</f>
        <v>0.5</v>
      </c>
      <c r="E1480" s="29">
        <f>IFERROR(__xludf.DUMMYFUNCTION("""COMPUTED_VALUE"""),44169.42708333333)</f>
        <v>44169.42708</v>
      </c>
      <c r="F1480" s="26" t="str">
        <f>IFERROR(__xludf.DUMMYFUNCTION("""COMPUTED_VALUE"""),"557058:ed1ddc66-d84d-405c-a815-0fcc6147ba14")</f>
        <v>557058:ed1ddc66-d84d-405c-a815-0fcc6147ba14</v>
      </c>
      <c r="G1480" s="26" t="str">
        <f>IFERROR(__xludf.DUMMYFUNCTION("""COMPUTED_VALUE"""),"Mark Corrigan")</f>
        <v>Mark Corrigan</v>
      </c>
      <c r="H1480" s="26" t="b">
        <v>0</v>
      </c>
    </row>
    <row r="1481">
      <c r="A1481" s="26" t="str">
        <f>VLOOKUP(B1481,'2020 SRED (JIRA) - Issues and l'!$B:$C,2,FALSE)</f>
        <v>insite-workflow-SRED</v>
      </c>
      <c r="B1481" s="27" t="str">
        <f>IFERROR(__xludf.DUMMYFUNCTION("""COMPUTED_VALUE"""),"APPS-266")</f>
        <v>APPS-266</v>
      </c>
      <c r="C1481" s="26" t="str">
        <f>IFERROR(__xludf.DUMMYFUNCTION("""COMPUTED_VALUE"""),"Data migration for contacts, orgs, sales opportunities, prospective clients, salesperson profiles, etc.")</f>
        <v>Data migration for contacts, orgs, sales opportunities, prospective clients, salesperson profiles, etc.</v>
      </c>
      <c r="D1481" s="28">
        <f>IFERROR(__xludf.DUMMYFUNCTION("""COMPUTED_VALUE"""),0.25)</f>
        <v>0.25</v>
      </c>
      <c r="E1481" s="29">
        <f>IFERROR(__xludf.DUMMYFUNCTION("""COMPUTED_VALUE"""),44169.44791666667)</f>
        <v>44169.44792</v>
      </c>
      <c r="F1481" s="26" t="str">
        <f>IFERROR(__xludf.DUMMYFUNCTION("""COMPUTED_VALUE"""),"557058:ed1ddc66-d84d-405c-a815-0fcc6147ba14")</f>
        <v>557058:ed1ddc66-d84d-405c-a815-0fcc6147ba14</v>
      </c>
      <c r="G1481" s="26" t="str">
        <f>IFERROR(__xludf.DUMMYFUNCTION("""COMPUTED_VALUE"""),"Mark Corrigan")</f>
        <v>Mark Corrigan</v>
      </c>
      <c r="H1481" s="26" t="b">
        <v>0</v>
      </c>
    </row>
    <row r="1482">
      <c r="A1482" s="26" t="str">
        <f>VLOOKUP(B1482,'2020 SRED (JIRA) - Issues and l'!$B:$C,2,FALSE)</f>
        <v>insite-workflow-SRED</v>
      </c>
      <c r="B1482" s="27" t="str">
        <f>IFERROR(__xludf.DUMMYFUNCTION("""COMPUTED_VALUE"""),"APPS-536")</f>
        <v>APPS-536</v>
      </c>
      <c r="C1482" s="26" t="str">
        <f>IFERROR(__xludf.DUMMYFUNCTION("""COMPUTED_VALUE"""),"As a salesperson, I can initiate key Sales Pipeline actions from Gmail")</f>
        <v>As a salesperson, I can initiate key Sales Pipeline actions from Gmail</v>
      </c>
      <c r="D1482" s="28">
        <f>IFERROR(__xludf.DUMMYFUNCTION("""COMPUTED_VALUE"""),0.5)</f>
        <v>0.5</v>
      </c>
      <c r="E1482" s="29">
        <f>IFERROR(__xludf.DUMMYFUNCTION("""COMPUTED_VALUE"""),44169.45833333333)</f>
        <v>44169.45833</v>
      </c>
      <c r="F1482" s="26" t="str">
        <f>IFERROR(__xludf.DUMMYFUNCTION("""COMPUTED_VALUE"""),"557058:ed1ddc66-d84d-405c-a815-0fcc6147ba14")</f>
        <v>557058:ed1ddc66-d84d-405c-a815-0fcc6147ba14</v>
      </c>
      <c r="G1482" s="26" t="str">
        <f>IFERROR(__xludf.DUMMYFUNCTION("""COMPUTED_VALUE"""),"Mark Corrigan")</f>
        <v>Mark Corrigan</v>
      </c>
      <c r="H1482" s="26" t="b">
        <v>0</v>
      </c>
    </row>
    <row r="1483">
      <c r="A1483" s="26" t="str">
        <f>VLOOKUP(B1483,'2020 SRED (JIRA) - Issues and l'!$B:$C,2,FALSE)</f>
        <v>insite-workflow-SRED</v>
      </c>
      <c r="B1483" s="27" t="str">
        <f>IFERROR(__xludf.DUMMYFUNCTION("""COMPUTED_VALUE"""),"APPS-539")</f>
        <v>APPS-539</v>
      </c>
      <c r="C1483" s="26" t="str">
        <f>IFERROR(__xludf.DUMMYFUNCTION("""COMPUTED_VALUE"""),"Anyone at Impetus can submit a product idea, IT request, or SAMS request from Gmail to Jira")</f>
        <v>Anyone at Impetus can submit a product idea, IT request, or SAMS request from Gmail to Jira</v>
      </c>
      <c r="D1483" s="28">
        <f>IFERROR(__xludf.DUMMYFUNCTION("""COMPUTED_VALUE"""),0.5)</f>
        <v>0.5</v>
      </c>
      <c r="E1483" s="29">
        <f>IFERROR(__xludf.DUMMYFUNCTION("""COMPUTED_VALUE"""),44169.47916666667)</f>
        <v>44169.47917</v>
      </c>
      <c r="F1483" s="26" t="str">
        <f>IFERROR(__xludf.DUMMYFUNCTION("""COMPUTED_VALUE"""),"557058:ed1ddc66-d84d-405c-a815-0fcc6147ba14")</f>
        <v>557058:ed1ddc66-d84d-405c-a815-0fcc6147ba14</v>
      </c>
      <c r="G1483" s="26" t="str">
        <f>IFERROR(__xludf.DUMMYFUNCTION("""COMPUTED_VALUE"""),"Mark Corrigan")</f>
        <v>Mark Corrigan</v>
      </c>
      <c r="H1483" s="26" t="b">
        <v>0</v>
      </c>
    </row>
    <row r="1484">
      <c r="A1484" s="26" t="str">
        <f>VLOOKUP(B1484,'2020 SRED (JIRA) - Issues and l'!$B:$C,2,FALSE)</f>
        <v>insite-workflow-SRED</v>
      </c>
      <c r="B1484" s="27" t="str">
        <f>IFERROR(__xludf.DUMMYFUNCTION("""COMPUTED_VALUE"""),"APPS-555")</f>
        <v>APPS-555</v>
      </c>
      <c r="C1484" s="26" t="str">
        <f>IFERROR(__xludf.DUMMYFUNCTION("""COMPUTED_VALUE"""),"As Alyssia, I can set up a new project from a proposal")</f>
        <v>As Alyssia, I can set up a new project from a proposal</v>
      </c>
      <c r="D1484" s="28">
        <f>IFERROR(__xludf.DUMMYFUNCTION("""COMPUTED_VALUE"""),0.5)</f>
        <v>0.5</v>
      </c>
      <c r="E1484" s="29">
        <f>IFERROR(__xludf.DUMMYFUNCTION("""COMPUTED_VALUE"""),44169.5)</f>
        <v>44169.5</v>
      </c>
      <c r="F1484" s="26" t="str">
        <f>IFERROR(__xludf.DUMMYFUNCTION("""COMPUTED_VALUE"""),"557058:ed1ddc66-d84d-405c-a815-0fcc6147ba14")</f>
        <v>557058:ed1ddc66-d84d-405c-a815-0fcc6147ba14</v>
      </c>
      <c r="G1484" s="26" t="str">
        <f>IFERROR(__xludf.DUMMYFUNCTION("""COMPUTED_VALUE"""),"Mark Corrigan")</f>
        <v>Mark Corrigan</v>
      </c>
      <c r="H1484" s="26" t="b">
        <v>0</v>
      </c>
    </row>
    <row r="1485">
      <c r="A1485" s="26" t="str">
        <f>VLOOKUP(B1485,'2020 SRED (JIRA) - Issues and l'!$B:$C,2,FALSE)</f>
        <v>insite-workflow-SRED</v>
      </c>
      <c r="B1485" s="27" t="str">
        <f>IFERROR(__xludf.DUMMYFUNCTION("""COMPUTED_VALUE"""),"APPS-450")</f>
        <v>APPS-450</v>
      </c>
      <c r="C1485" s="26" t="str">
        <f>IFERROR(__xludf.DUMMYFUNCTION("""COMPUTED_VALUE"""),"As a salesperson or AD, I can save a signed proposal to the proposal record (Drive) via Gmail add-on")</f>
        <v>As a salesperson or AD, I can save a signed proposal to the proposal record (Drive) via Gmail add-on</v>
      </c>
      <c r="D1485" s="28">
        <f>IFERROR(__xludf.DUMMYFUNCTION("""COMPUTED_VALUE"""),0.25)</f>
        <v>0.25</v>
      </c>
      <c r="E1485" s="29">
        <f>IFERROR(__xludf.DUMMYFUNCTION("""COMPUTED_VALUE"""),44170.35416666667)</f>
        <v>44170.35417</v>
      </c>
      <c r="F1485" s="26" t="str">
        <f>IFERROR(__xludf.DUMMYFUNCTION("""COMPUTED_VALUE"""),"557058:ed1ddc66-d84d-405c-a815-0fcc6147ba14")</f>
        <v>557058:ed1ddc66-d84d-405c-a815-0fcc6147ba14</v>
      </c>
      <c r="G1485" s="26" t="str">
        <f>IFERROR(__xludf.DUMMYFUNCTION("""COMPUTED_VALUE"""),"Mark Corrigan")</f>
        <v>Mark Corrigan</v>
      </c>
      <c r="H1485" s="26" t="b">
        <v>0</v>
      </c>
    </row>
    <row r="1486">
      <c r="A1486" s="26" t="str">
        <f>VLOOKUP(B1486,'2020 SRED (JIRA) - Issues and l'!$B:$C,2,FALSE)</f>
        <v>insite-workflow-SRED</v>
      </c>
      <c r="B1486" s="27" t="str">
        <f>IFERROR(__xludf.DUMMYFUNCTION("""COMPUTED_VALUE"""),"APPS-536")</f>
        <v>APPS-536</v>
      </c>
      <c r="C1486" s="26" t="str">
        <f>IFERROR(__xludf.DUMMYFUNCTION("""COMPUTED_VALUE"""),"As a salesperson, I can initiate key Sales Pipeline actions from Gmail")</f>
        <v>As a salesperson, I can initiate key Sales Pipeline actions from Gmail</v>
      </c>
      <c r="D1486" s="28">
        <f>IFERROR(__xludf.DUMMYFUNCTION("""COMPUTED_VALUE"""),0.25)</f>
        <v>0.25</v>
      </c>
      <c r="E1486" s="29">
        <f>IFERROR(__xludf.DUMMYFUNCTION("""COMPUTED_VALUE"""),44170.39236111111)</f>
        <v>44170.39236</v>
      </c>
      <c r="F1486" s="26" t="str">
        <f>IFERROR(__xludf.DUMMYFUNCTION("""COMPUTED_VALUE"""),"557058:ed1ddc66-d84d-405c-a815-0fcc6147ba14")</f>
        <v>557058:ed1ddc66-d84d-405c-a815-0fcc6147ba14</v>
      </c>
      <c r="G1486" s="26" t="str">
        <f>IFERROR(__xludf.DUMMYFUNCTION("""COMPUTED_VALUE"""),"Mark Corrigan")</f>
        <v>Mark Corrigan</v>
      </c>
      <c r="H1486" s="26" t="b">
        <v>0</v>
      </c>
    </row>
    <row r="1487">
      <c r="A1487" s="26" t="str">
        <f>VLOOKUP(B1487,'2020 SRED (JIRA) - Issues and l'!$B:$C,2,FALSE)</f>
        <v>insite-workflow-SRED</v>
      </c>
      <c r="B1487" s="27" t="str">
        <f>IFERROR(__xludf.DUMMYFUNCTION("""COMPUTED_VALUE"""),"APPS-267")</f>
        <v>APPS-267</v>
      </c>
      <c r="C1487" s="26" t="str">
        <f>IFERROR(__xludf.DUMMYFUNCTION("""COMPUTED_VALUE"""),"Final QA, deployment, and training")</f>
        <v>Final QA, deployment, and training</v>
      </c>
      <c r="D1487" s="28">
        <f>IFERROR(__xludf.DUMMYFUNCTION("""COMPUTED_VALUE"""),0.75)</f>
        <v>0.75</v>
      </c>
      <c r="E1487" s="29">
        <f>IFERROR(__xludf.DUMMYFUNCTION("""COMPUTED_VALUE"""),44170.41666666667)</f>
        <v>44170.41667</v>
      </c>
      <c r="F1487" s="26" t="str">
        <f>IFERROR(__xludf.DUMMYFUNCTION("""COMPUTED_VALUE"""),"557058:ed1ddc66-d84d-405c-a815-0fcc6147ba14")</f>
        <v>557058:ed1ddc66-d84d-405c-a815-0fcc6147ba14</v>
      </c>
      <c r="G1487" s="26" t="str">
        <f>IFERROR(__xludf.DUMMYFUNCTION("""COMPUTED_VALUE"""),"Mark Corrigan")</f>
        <v>Mark Corrigan</v>
      </c>
      <c r="H1487" s="26" t="b">
        <v>0</v>
      </c>
    </row>
    <row r="1488">
      <c r="A1488" s="26" t="str">
        <f>VLOOKUP(B1488,'2020 SRED (JIRA) - Issues and l'!$B:$C,2,FALSE)</f>
        <v>insite-workflow-SRED</v>
      </c>
      <c r="B1488" s="27" t="str">
        <f>IFERROR(__xludf.DUMMYFUNCTION("""COMPUTED_VALUE"""),"APPS-536")</f>
        <v>APPS-536</v>
      </c>
      <c r="C1488" s="26" t="str">
        <f>IFERROR(__xludf.DUMMYFUNCTION("""COMPUTED_VALUE"""),"As a salesperson, I can initiate key Sales Pipeline actions from Gmail")</f>
        <v>As a salesperson, I can initiate key Sales Pipeline actions from Gmail</v>
      </c>
      <c r="D1488" s="28">
        <f>IFERROR(__xludf.DUMMYFUNCTION("""COMPUTED_VALUE"""),0.25)</f>
        <v>0.25</v>
      </c>
      <c r="E1488" s="29">
        <f>IFERROR(__xludf.DUMMYFUNCTION("""COMPUTED_VALUE"""),44171.35416666667)</f>
        <v>44171.35417</v>
      </c>
      <c r="F1488" s="26" t="str">
        <f>IFERROR(__xludf.DUMMYFUNCTION("""COMPUTED_VALUE"""),"557058:ed1ddc66-d84d-405c-a815-0fcc6147ba14")</f>
        <v>557058:ed1ddc66-d84d-405c-a815-0fcc6147ba14</v>
      </c>
      <c r="G1488" s="26" t="str">
        <f>IFERROR(__xludf.DUMMYFUNCTION("""COMPUTED_VALUE"""),"Mark Corrigan")</f>
        <v>Mark Corrigan</v>
      </c>
      <c r="H1488" s="26" t="b">
        <v>0</v>
      </c>
    </row>
    <row r="1489">
      <c r="A1489" s="26" t="str">
        <f>VLOOKUP(B1489,'2020 SRED (JIRA) - Issues and l'!$B:$C,2,FALSE)</f>
        <v>insite-workflow-SRED</v>
      </c>
      <c r="B1489" s="27" t="str">
        <f>IFERROR(__xludf.DUMMYFUNCTION("""COMPUTED_VALUE"""),"APPS-572")</f>
        <v>APPS-572</v>
      </c>
      <c r="C1489" s="26" t="str">
        <f>IFERROR(__xludf.DUMMYFUNCTION("""COMPUTED_VALUE"""),"As a salesperson, I can manually enter a total value for a sales opportunity")</f>
        <v>As a salesperson, I can manually enter a total value for a sales opportunity</v>
      </c>
      <c r="D1489" s="28">
        <f>IFERROR(__xludf.DUMMYFUNCTION("""COMPUTED_VALUE"""),0.75)</f>
        <v>0.75</v>
      </c>
      <c r="E1489" s="29">
        <f>IFERROR(__xludf.DUMMYFUNCTION("""COMPUTED_VALUE"""),44171.36458333333)</f>
        <v>44171.36458</v>
      </c>
      <c r="F1489" s="26" t="str">
        <f>IFERROR(__xludf.DUMMYFUNCTION("""COMPUTED_VALUE"""),"557058:ed1ddc66-d84d-405c-a815-0fcc6147ba14")</f>
        <v>557058:ed1ddc66-d84d-405c-a815-0fcc6147ba14</v>
      </c>
      <c r="G1489" s="26" t="str">
        <f>IFERROR(__xludf.DUMMYFUNCTION("""COMPUTED_VALUE"""),"Mark Corrigan")</f>
        <v>Mark Corrigan</v>
      </c>
      <c r="H1489" s="26" t="b">
        <v>0</v>
      </c>
    </row>
    <row r="1490">
      <c r="A1490" s="26" t="str">
        <f>VLOOKUP(B1490,'2020 SRED (JIRA) - Issues and l'!$B:$C,2,FALSE)</f>
        <v>insite-workflow-SRED</v>
      </c>
      <c r="B1490" s="27" t="str">
        <f>IFERROR(__xludf.DUMMYFUNCTION("""COMPUTED_VALUE"""),"APPS-266")</f>
        <v>APPS-266</v>
      </c>
      <c r="C1490" s="26" t="str">
        <f>IFERROR(__xludf.DUMMYFUNCTION("""COMPUTED_VALUE"""),"Data migration for contacts, orgs, sales opportunities, prospective clients, salesperson profiles, etc.")</f>
        <v>Data migration for contacts, orgs, sales opportunities, prospective clients, salesperson profiles, etc.</v>
      </c>
      <c r="D1490" s="28">
        <f>IFERROR(__xludf.DUMMYFUNCTION("""COMPUTED_VALUE"""),0.25)</f>
        <v>0.25</v>
      </c>
      <c r="E1490" s="29">
        <f>IFERROR(__xludf.DUMMYFUNCTION("""COMPUTED_VALUE"""),44171.39583333333)</f>
        <v>44171.39583</v>
      </c>
      <c r="F1490" s="26" t="str">
        <f>IFERROR(__xludf.DUMMYFUNCTION("""COMPUTED_VALUE"""),"557058:ed1ddc66-d84d-405c-a815-0fcc6147ba14")</f>
        <v>557058:ed1ddc66-d84d-405c-a815-0fcc6147ba14</v>
      </c>
      <c r="G1490" s="26" t="str">
        <f>IFERROR(__xludf.DUMMYFUNCTION("""COMPUTED_VALUE"""),"Mark Corrigan")</f>
        <v>Mark Corrigan</v>
      </c>
      <c r="H1490" s="26" t="b">
        <v>0</v>
      </c>
    </row>
    <row r="1491" hidden="1">
      <c r="A1491" s="26" t="str">
        <f>VLOOKUP(B1491,'2020 SRED (JIRA) - Issues and l'!$B:$C,2,FALSE)</f>
        <v>insite-workflow-SRED</v>
      </c>
      <c r="B1491" s="27" t="str">
        <f>IFERROR(__xludf.DUMMYFUNCTION("""COMPUTED_VALUE"""),"APPS-536")</f>
        <v>APPS-536</v>
      </c>
      <c r="C1491" s="26" t="str">
        <f>IFERROR(__xludf.DUMMYFUNCTION("""COMPUTED_VALUE"""),"As a salesperson, I can initiate key Sales Pipeline actions from Gmail")</f>
        <v>As a salesperson, I can initiate key Sales Pipeline actions from Gmail</v>
      </c>
      <c r="D1491" s="28">
        <f>IFERROR(__xludf.DUMMYFUNCTION("""COMPUTED_VALUE"""),3.0)</f>
        <v>3</v>
      </c>
      <c r="E1491" s="29">
        <f>IFERROR(__xludf.DUMMYFUNCTION("""COMPUTED_VALUE"""),44172.33333333333)</f>
        <v>44172.33333</v>
      </c>
      <c r="F1491" s="26" t="str">
        <f>IFERROR(__xludf.DUMMYFUNCTION("""COMPUTED_VALUE"""),"5ee7b6ce868ce30ac49e2521")</f>
        <v>5ee7b6ce868ce30ac49e2521</v>
      </c>
      <c r="G1491" s="26" t="str">
        <f>IFERROR(__xludf.DUMMYFUNCTION("""COMPUTED_VALUE"""),"Bryan Le")</f>
        <v>Bryan Le</v>
      </c>
      <c r="H1491" s="26" t="b">
        <v>0</v>
      </c>
    </row>
    <row r="1492" hidden="1">
      <c r="A1492" s="26" t="str">
        <f>VLOOKUP(B1492,'2020 SRED (JIRA) - Issues and l'!$B:$C,2,FALSE)</f>
        <v>insite-workflow-SRED</v>
      </c>
      <c r="B1492" s="27" t="str">
        <f>IFERROR(__xludf.DUMMYFUNCTION("""COMPUTED_VALUE"""),"APPS-573")</f>
        <v>APPS-573</v>
      </c>
      <c r="C1492" s="26" t="str">
        <f>IFERROR(__xludf.DUMMYFUNCTION("""COMPUTED_VALUE"""),"Update team sigs")</f>
        <v>Update team sigs</v>
      </c>
      <c r="D1492" s="28">
        <f>IFERROR(__xludf.DUMMYFUNCTION("""COMPUTED_VALUE"""),7.0)</f>
        <v>7</v>
      </c>
      <c r="E1492" s="29">
        <f>IFERROR(__xludf.DUMMYFUNCTION("""COMPUTED_VALUE"""),44172.33333333333)</f>
        <v>44172.33333</v>
      </c>
      <c r="F1492" s="26" t="str">
        <f>IFERROR(__xludf.DUMMYFUNCTION("""COMPUTED_VALUE"""),"5ee7b6cf02b4400ac4b65399")</f>
        <v>5ee7b6cf02b4400ac4b65399</v>
      </c>
      <c r="G1492" s="26" t="str">
        <f>IFERROR(__xludf.DUMMYFUNCTION("""COMPUTED_VALUE"""),"Jessica Obando")</f>
        <v>Jessica Obando</v>
      </c>
      <c r="H1492" s="26" t="b">
        <v>0</v>
      </c>
    </row>
    <row r="1493">
      <c r="A1493" s="26" t="str">
        <f>VLOOKUP(B1493,'2020 SRED (JIRA) - Issues and l'!$B:$C,2,FALSE)</f>
        <v>insite-workflow-SRED</v>
      </c>
      <c r="B1493" s="27" t="str">
        <f>IFERROR(__xludf.DUMMYFUNCTION("""COMPUTED_VALUE"""),"APPS-572")</f>
        <v>APPS-572</v>
      </c>
      <c r="C1493" s="26" t="str">
        <f>IFERROR(__xludf.DUMMYFUNCTION("""COMPUTED_VALUE"""),"As a salesperson, I can manually enter a total value for a sales opportunity")</f>
        <v>As a salesperson, I can manually enter a total value for a sales opportunity</v>
      </c>
      <c r="D1493" s="28">
        <f>IFERROR(__xludf.DUMMYFUNCTION("""COMPUTED_VALUE"""),0.25)</f>
        <v>0.25</v>
      </c>
      <c r="E1493" s="29">
        <f>IFERROR(__xludf.DUMMYFUNCTION("""COMPUTED_VALUE"""),44172.35416666667)</f>
        <v>44172.35417</v>
      </c>
      <c r="F1493" s="26" t="str">
        <f>IFERROR(__xludf.DUMMYFUNCTION("""COMPUTED_VALUE"""),"557058:ed1ddc66-d84d-405c-a815-0fcc6147ba14")</f>
        <v>557058:ed1ddc66-d84d-405c-a815-0fcc6147ba14</v>
      </c>
      <c r="G1493" s="26" t="str">
        <f>IFERROR(__xludf.DUMMYFUNCTION("""COMPUTED_VALUE"""),"Mark Corrigan")</f>
        <v>Mark Corrigan</v>
      </c>
      <c r="H1493" s="26" t="b">
        <v>0</v>
      </c>
    </row>
    <row r="1494" hidden="1">
      <c r="A1494" s="26" t="str">
        <f>VLOOKUP(B1494,'2020 SRED (JIRA) - Issues and l'!$B:$C,2,FALSE)</f>
        <v>insite-workflow-SRED</v>
      </c>
      <c r="B1494" s="27" t="str">
        <f>IFERROR(__xludf.DUMMYFUNCTION("""COMPUTED_VALUE"""),"APPS-536")</f>
        <v>APPS-536</v>
      </c>
      <c r="C1494" s="26" t="str">
        <f>IFERROR(__xludf.DUMMYFUNCTION("""COMPUTED_VALUE"""),"As a salesperson, I can initiate key Sales Pipeline actions from Gmail")</f>
        <v>As a salesperson, I can initiate key Sales Pipeline actions from Gmail</v>
      </c>
      <c r="D1494" s="28">
        <f>IFERROR(__xludf.DUMMYFUNCTION("""COMPUTED_VALUE"""),4.0)</f>
        <v>4</v>
      </c>
      <c r="E1494" s="29">
        <f>IFERROR(__xludf.DUMMYFUNCTION("""COMPUTED_VALUE"""),44172.45833333333)</f>
        <v>44172.45833</v>
      </c>
      <c r="F1494" s="26" t="str">
        <f>IFERROR(__xludf.DUMMYFUNCTION("""COMPUTED_VALUE"""),"5ee7b6ce868ce30ac49e2521")</f>
        <v>5ee7b6ce868ce30ac49e2521</v>
      </c>
      <c r="G1494" s="26" t="str">
        <f>IFERROR(__xludf.DUMMYFUNCTION("""COMPUTED_VALUE"""),"Bryan Le")</f>
        <v>Bryan Le</v>
      </c>
      <c r="H1494" s="26" t="b">
        <v>0</v>
      </c>
    </row>
    <row r="1495">
      <c r="A1495" s="26" t="str">
        <f>VLOOKUP(B1495,'2020 SRED (JIRA) - Issues and l'!$B:$C,2,FALSE)</f>
        <v>insite-workflow-SRED</v>
      </c>
      <c r="B1495" s="27" t="str">
        <f>IFERROR(__xludf.DUMMYFUNCTION("""COMPUTED_VALUE"""),"APPS-573")</f>
        <v>APPS-573</v>
      </c>
      <c r="C1495" s="26" t="str">
        <f>IFERROR(__xludf.DUMMYFUNCTION("""COMPUTED_VALUE"""),"Update team sigs")</f>
        <v>Update team sigs</v>
      </c>
      <c r="D1495" s="28">
        <f>IFERROR(__xludf.DUMMYFUNCTION("""COMPUTED_VALUE"""),0.25)</f>
        <v>0.25</v>
      </c>
      <c r="E1495" s="29">
        <f>IFERROR(__xludf.DUMMYFUNCTION("""COMPUTED_VALUE"""),44172.5)</f>
        <v>44172.5</v>
      </c>
      <c r="F1495" s="26" t="str">
        <f>IFERROR(__xludf.DUMMYFUNCTION("""COMPUTED_VALUE"""),"557058:ed1ddc66-d84d-405c-a815-0fcc6147ba14")</f>
        <v>557058:ed1ddc66-d84d-405c-a815-0fcc6147ba14</v>
      </c>
      <c r="G1495" s="26" t="str">
        <f>IFERROR(__xludf.DUMMYFUNCTION("""COMPUTED_VALUE"""),"Mark Corrigan")</f>
        <v>Mark Corrigan</v>
      </c>
      <c r="H1495" s="26" t="b">
        <v>0</v>
      </c>
    </row>
    <row r="1496">
      <c r="A1496" s="26" t="str">
        <f>VLOOKUP(B1496,'2020 SRED (JIRA) - Issues and l'!$B:$C,2,FALSE)</f>
        <v>insite-workflow-SRED</v>
      </c>
      <c r="B1496" s="27" t="str">
        <f>IFERROR(__xludf.DUMMYFUNCTION("""COMPUTED_VALUE"""),"APPS-266")</f>
        <v>APPS-266</v>
      </c>
      <c r="C1496" s="26" t="str">
        <f>IFERROR(__xludf.DUMMYFUNCTION("""COMPUTED_VALUE"""),"Data migration for contacts, orgs, sales opportunities, prospective clients, salesperson profiles, etc.")</f>
        <v>Data migration for contacts, orgs, sales opportunities, prospective clients, salesperson profiles, etc.</v>
      </c>
      <c r="D1496" s="28">
        <f>IFERROR(__xludf.DUMMYFUNCTION("""COMPUTED_VALUE"""),0.5)</f>
        <v>0.5</v>
      </c>
      <c r="E1496" s="29">
        <f>IFERROR(__xludf.DUMMYFUNCTION("""COMPUTED_VALUE"""),44172.60416666667)</f>
        <v>44172.60417</v>
      </c>
      <c r="F1496" s="26" t="str">
        <f>IFERROR(__xludf.DUMMYFUNCTION("""COMPUTED_VALUE"""),"557058:ed1ddc66-d84d-405c-a815-0fcc6147ba14")</f>
        <v>557058:ed1ddc66-d84d-405c-a815-0fcc6147ba14</v>
      </c>
      <c r="G1496" s="26" t="str">
        <f>IFERROR(__xludf.DUMMYFUNCTION("""COMPUTED_VALUE"""),"Mark Corrigan")</f>
        <v>Mark Corrigan</v>
      </c>
      <c r="H1496" s="26" t="b">
        <v>0</v>
      </c>
    </row>
    <row r="1497" hidden="1">
      <c r="A1497" s="26" t="str">
        <f>VLOOKUP(B1497,'2020 SRED (JIRA) - Issues and l'!$B:$C,2,FALSE)</f>
        <v>insite-workflow-SRED</v>
      </c>
      <c r="B1497" s="27" t="str">
        <f>IFERROR(__xludf.DUMMYFUNCTION("""COMPUTED_VALUE"""),"APPS-563")</f>
        <v>APPS-563</v>
      </c>
      <c r="C1497" s="26" t="str">
        <f>IFERROR(__xludf.DUMMYFUNCTION("""COMPUTED_VALUE"""),"File previews before inserting")</f>
        <v>File previews before inserting</v>
      </c>
      <c r="D1497" s="28">
        <f>IFERROR(__xludf.DUMMYFUNCTION("""COMPUTED_VALUE"""),5.0)</f>
        <v>5</v>
      </c>
      <c r="E1497" s="29">
        <f>IFERROR(__xludf.DUMMYFUNCTION("""COMPUTED_VALUE"""),44173.33333333333)</f>
        <v>44173.33333</v>
      </c>
      <c r="F1497" s="26" t="str">
        <f>IFERROR(__xludf.DUMMYFUNCTION("""COMPUTED_VALUE"""),"5ee7b6ce868ce30ac49e2521")</f>
        <v>5ee7b6ce868ce30ac49e2521</v>
      </c>
      <c r="G1497" s="26" t="str">
        <f>IFERROR(__xludf.DUMMYFUNCTION("""COMPUTED_VALUE"""),"Bryan Le")</f>
        <v>Bryan Le</v>
      </c>
      <c r="H1497" s="26" t="b">
        <v>0</v>
      </c>
    </row>
    <row r="1498" hidden="1">
      <c r="A1498" s="26" t="str">
        <f>VLOOKUP(B1498,'2020 SRED (JIRA) - Issues and l'!$B:$C,2,FALSE)</f>
        <v>insite-workflow-SRED</v>
      </c>
      <c r="B1498" s="27" t="str">
        <f>IFERROR(__xludf.DUMMYFUNCTION("""COMPUTED_VALUE"""),"APPS-572")</f>
        <v>APPS-572</v>
      </c>
      <c r="C1498" s="26" t="str">
        <f>IFERROR(__xludf.DUMMYFUNCTION("""COMPUTED_VALUE"""),"As a salesperson, I can manually enter a total value for a sales opportunity")</f>
        <v>As a salesperson, I can manually enter a total value for a sales opportunity</v>
      </c>
      <c r="D1498" s="28">
        <f>IFERROR(__xludf.DUMMYFUNCTION("""COMPUTED_VALUE"""),6.0)</f>
        <v>6</v>
      </c>
      <c r="E1498" s="29">
        <f>IFERROR(__xludf.DUMMYFUNCTION("""COMPUTED_VALUE"""),44173.33333333333)</f>
        <v>44173.33333</v>
      </c>
      <c r="F1498" s="26" t="str">
        <f>IFERROR(__xludf.DUMMYFUNCTION("""COMPUTED_VALUE"""),"5ee7b6cf02b4400ac4b65399")</f>
        <v>5ee7b6cf02b4400ac4b65399</v>
      </c>
      <c r="G1498" s="26" t="str">
        <f>IFERROR(__xludf.DUMMYFUNCTION("""COMPUTED_VALUE"""),"Jessica Obando")</f>
        <v>Jessica Obando</v>
      </c>
      <c r="H1498" s="26" t="b">
        <v>0</v>
      </c>
    </row>
    <row r="1499">
      <c r="A1499" s="26" t="str">
        <f>VLOOKUP(B1499,'2020 SRED (JIRA) - Issues and l'!$B:$C,2,FALSE)</f>
        <v>insite-workflow-SRED</v>
      </c>
      <c r="B1499" s="27" t="str">
        <f>IFERROR(__xludf.DUMMYFUNCTION("""COMPUTED_VALUE"""),"APPS-10")</f>
        <v>APPS-10</v>
      </c>
      <c r="C1499" s="26" t="str">
        <f>IFERROR(__xludf.DUMMYFUNCTION("""COMPUTED_VALUE"""),"Sales Pipeline app (v1)")</f>
        <v>Sales Pipeline app (v1)</v>
      </c>
      <c r="D1499" s="28">
        <f>IFERROR(__xludf.DUMMYFUNCTION("""COMPUTED_VALUE"""),2.0)</f>
        <v>2</v>
      </c>
      <c r="E1499" s="29">
        <f>IFERROR(__xludf.DUMMYFUNCTION("""COMPUTED_VALUE"""),44173.51736111111)</f>
        <v>44173.51736</v>
      </c>
      <c r="F1499" s="26" t="str">
        <f>IFERROR(__xludf.DUMMYFUNCTION("""COMPUTED_VALUE"""),"557058:ed1ddc66-d84d-405c-a815-0fcc6147ba14")</f>
        <v>557058:ed1ddc66-d84d-405c-a815-0fcc6147ba14</v>
      </c>
      <c r="G1499" s="26" t="str">
        <f>IFERROR(__xludf.DUMMYFUNCTION("""COMPUTED_VALUE"""),"Mark Corrigan")</f>
        <v>Mark Corrigan</v>
      </c>
      <c r="H1499" s="26" t="b">
        <v>0</v>
      </c>
    </row>
    <row r="1500" hidden="1">
      <c r="A1500" s="26" t="str">
        <f>VLOOKUP(B1500,'2020 SRED (JIRA) - Issues and l'!$B:$C,2,FALSE)</f>
        <v>insite-workflow-SRED</v>
      </c>
      <c r="B1500" s="27" t="str">
        <f>IFERROR(__xludf.DUMMYFUNCTION("""COMPUTED_VALUE"""),"APPS-564")</f>
        <v>APPS-564</v>
      </c>
      <c r="C1500" s="26" t="str">
        <f>IFERROR(__xludf.DUMMYFUNCTION("""COMPUTED_VALUE"""),"Ability to directly add attachments")</f>
        <v>Ability to directly add attachments</v>
      </c>
      <c r="D1500" s="28">
        <f>IFERROR(__xludf.DUMMYFUNCTION("""COMPUTED_VALUE"""),2.0)</f>
        <v>2</v>
      </c>
      <c r="E1500" s="29">
        <f>IFERROR(__xludf.DUMMYFUNCTION("""COMPUTED_VALUE"""),44173.54166666667)</f>
        <v>44173.54167</v>
      </c>
      <c r="F1500" s="26" t="str">
        <f>IFERROR(__xludf.DUMMYFUNCTION("""COMPUTED_VALUE"""),"5ee7b6ce868ce30ac49e2521")</f>
        <v>5ee7b6ce868ce30ac49e2521</v>
      </c>
      <c r="G1500" s="26" t="str">
        <f>IFERROR(__xludf.DUMMYFUNCTION("""COMPUTED_VALUE"""),"Bryan Le")</f>
        <v>Bryan Le</v>
      </c>
      <c r="H1500" s="26" t="b">
        <v>0</v>
      </c>
    </row>
    <row r="1501">
      <c r="A1501" s="26" t="str">
        <f>VLOOKUP(B1501,'2020 SRED (JIRA) - Issues and l'!$B:$C,2,FALSE)</f>
        <v>insite-workflow-SRED</v>
      </c>
      <c r="B1501" s="27" t="str">
        <f>IFERROR(__xludf.DUMMYFUNCTION("""COMPUTED_VALUE"""),"APPS-539")</f>
        <v>APPS-539</v>
      </c>
      <c r="C1501" s="26" t="str">
        <f>IFERROR(__xludf.DUMMYFUNCTION("""COMPUTED_VALUE"""),"Anyone at Impetus can submit a product idea, IT request, or SAMS request from Gmail to Jira")</f>
        <v>Anyone at Impetus can submit a product idea, IT request, or SAMS request from Gmail to Jira</v>
      </c>
      <c r="D1501" s="28">
        <f>IFERROR(__xludf.DUMMYFUNCTION("""COMPUTED_VALUE"""),0.25)</f>
        <v>0.25</v>
      </c>
      <c r="E1501" s="29">
        <f>IFERROR(__xludf.DUMMYFUNCTION("""COMPUTED_VALUE"""),44173.631944444445)</f>
        <v>44173.63194</v>
      </c>
      <c r="F1501" s="26" t="str">
        <f>IFERROR(__xludf.DUMMYFUNCTION("""COMPUTED_VALUE"""),"557058:ed1ddc66-d84d-405c-a815-0fcc6147ba14")</f>
        <v>557058:ed1ddc66-d84d-405c-a815-0fcc6147ba14</v>
      </c>
      <c r="G1501" s="26" t="str">
        <f>IFERROR(__xludf.DUMMYFUNCTION("""COMPUTED_VALUE"""),"Mark Corrigan")</f>
        <v>Mark Corrigan</v>
      </c>
      <c r="H1501" s="26" t="b">
        <v>0</v>
      </c>
    </row>
    <row r="1502" hidden="1">
      <c r="A1502" s="26" t="str">
        <f>VLOOKUP(B1502,'2020 SRED (JIRA) - Issues and l'!$B:$C,2,FALSE)</f>
        <v>insite-workflow-SRED</v>
      </c>
      <c r="B1502" s="27" t="str">
        <f>IFERROR(__xludf.DUMMYFUNCTION("""COMPUTED_VALUE"""),"APPS-564")</f>
        <v>APPS-564</v>
      </c>
      <c r="C1502" s="26" t="str">
        <f>IFERROR(__xludf.DUMMYFUNCTION("""COMPUTED_VALUE"""),"Ability to directly add attachments")</f>
        <v>Ability to directly add attachments</v>
      </c>
      <c r="D1502" s="28">
        <f>IFERROR(__xludf.DUMMYFUNCTION("""COMPUTED_VALUE"""),6.0)</f>
        <v>6</v>
      </c>
      <c r="E1502" s="29">
        <f>IFERROR(__xludf.DUMMYFUNCTION("""COMPUTED_VALUE"""),44174.33333333333)</f>
        <v>44174.33333</v>
      </c>
      <c r="F1502" s="26" t="str">
        <f>IFERROR(__xludf.DUMMYFUNCTION("""COMPUTED_VALUE"""),"5ee7b6ce868ce30ac49e2521")</f>
        <v>5ee7b6ce868ce30ac49e2521</v>
      </c>
      <c r="G1502" s="26" t="str">
        <f>IFERROR(__xludf.DUMMYFUNCTION("""COMPUTED_VALUE"""),"Bryan Le")</f>
        <v>Bryan Le</v>
      </c>
      <c r="H1502" s="26" t="b">
        <v>0</v>
      </c>
    </row>
    <row r="1503" hidden="1">
      <c r="A1503" s="26" t="str">
        <f>VLOOKUP(B1503,'2020 SRED (JIRA) - Issues and l'!$B:$C,2,FALSE)</f>
        <v>insite-workflow-SRED</v>
      </c>
      <c r="B1503" s="27" t="str">
        <f>IFERROR(__xludf.DUMMYFUNCTION("""COMPUTED_VALUE"""),"APPS-557")</f>
        <v>APPS-557</v>
      </c>
      <c r="C1503" s="26" t="str">
        <f>IFERROR(__xludf.DUMMYFUNCTION("""COMPUTED_VALUE"""),"On Projects app, create new project form and insert as much proposal data as possible")</f>
        <v>On Projects app, create new project form and insert as much proposal data as possible</v>
      </c>
      <c r="D1503" s="28">
        <f>IFERROR(__xludf.DUMMYFUNCTION("""COMPUTED_VALUE"""),7.0)</f>
        <v>7</v>
      </c>
      <c r="E1503" s="29">
        <f>IFERROR(__xludf.DUMMYFUNCTION("""COMPUTED_VALUE"""),44174.33333333333)</f>
        <v>44174.33333</v>
      </c>
      <c r="F1503" s="26" t="str">
        <f>IFERROR(__xludf.DUMMYFUNCTION("""COMPUTED_VALUE"""),"5ee7b6cf02b4400ac4b65399")</f>
        <v>5ee7b6cf02b4400ac4b65399</v>
      </c>
      <c r="G1503" s="26" t="str">
        <f>IFERROR(__xludf.DUMMYFUNCTION("""COMPUTED_VALUE"""),"Jessica Obando")</f>
        <v>Jessica Obando</v>
      </c>
      <c r="H1503" s="26" t="b">
        <v>0</v>
      </c>
    </row>
    <row r="1504">
      <c r="A1504" s="26" t="str">
        <f>VLOOKUP(B1504,'2020 SRED (JIRA) - Issues and l'!$B:$C,2,FALSE)</f>
        <v>insite-workflow-SRED</v>
      </c>
      <c r="B1504" s="27" t="str">
        <f>IFERROR(__xludf.DUMMYFUNCTION("""COMPUTED_VALUE"""),"APPS-557")</f>
        <v>APPS-557</v>
      </c>
      <c r="C1504" s="26" t="str">
        <f>IFERROR(__xludf.DUMMYFUNCTION("""COMPUTED_VALUE"""),"On Projects app, create new project form and insert as much proposal data as possible")</f>
        <v>On Projects app, create new project form and insert as much proposal data as possible</v>
      </c>
      <c r="D1504" s="28">
        <f>IFERROR(__xludf.DUMMYFUNCTION("""COMPUTED_VALUE"""),0.25)</f>
        <v>0.25</v>
      </c>
      <c r="E1504" s="29">
        <f>IFERROR(__xludf.DUMMYFUNCTION("""COMPUTED_VALUE"""),44174.35416666667)</f>
        <v>44174.35417</v>
      </c>
      <c r="F1504" s="26" t="str">
        <f>IFERROR(__xludf.DUMMYFUNCTION("""COMPUTED_VALUE"""),"557058:ed1ddc66-d84d-405c-a815-0fcc6147ba14")</f>
        <v>557058:ed1ddc66-d84d-405c-a815-0fcc6147ba14</v>
      </c>
      <c r="G1504" s="26" t="str">
        <f>IFERROR(__xludf.DUMMYFUNCTION("""COMPUTED_VALUE"""),"Mark Corrigan")</f>
        <v>Mark Corrigan</v>
      </c>
      <c r="H1504" s="26" t="b">
        <v>0</v>
      </c>
    </row>
    <row r="1505">
      <c r="A1505" s="26" t="str">
        <f>VLOOKUP(B1505,'2020 SRED (JIRA) - Issues and l'!$B:$C,2,FALSE)</f>
        <v>insite-workflow-SRED</v>
      </c>
      <c r="B1505" s="27" t="str">
        <f>IFERROR(__xludf.DUMMYFUNCTION("""COMPUTED_VALUE"""),"APPS-10")</f>
        <v>APPS-10</v>
      </c>
      <c r="C1505" s="26" t="str">
        <f>IFERROR(__xludf.DUMMYFUNCTION("""COMPUTED_VALUE"""),"Sales Pipeline app (v1)")</f>
        <v>Sales Pipeline app (v1)</v>
      </c>
      <c r="D1505" s="28">
        <f>IFERROR(__xludf.DUMMYFUNCTION("""COMPUTED_VALUE"""),2.0)</f>
        <v>2</v>
      </c>
      <c r="E1505" s="29">
        <f>IFERROR(__xludf.DUMMYFUNCTION("""COMPUTED_VALUE"""),44174.51736111111)</f>
        <v>44174.51736</v>
      </c>
      <c r="F1505" s="26" t="str">
        <f>IFERROR(__xludf.DUMMYFUNCTION("""COMPUTED_VALUE"""),"557058:ed1ddc66-d84d-405c-a815-0fcc6147ba14")</f>
        <v>557058:ed1ddc66-d84d-405c-a815-0fcc6147ba14</v>
      </c>
      <c r="G1505" s="26" t="str">
        <f>IFERROR(__xludf.DUMMYFUNCTION("""COMPUTED_VALUE"""),"Mark Corrigan")</f>
        <v>Mark Corrigan</v>
      </c>
      <c r="H1505" s="26" t="b">
        <v>0</v>
      </c>
    </row>
    <row r="1506">
      <c r="A1506" s="26" t="str">
        <f>VLOOKUP(B1506,'2020 SRED (JIRA) - Issues and l'!$B:$C,2,FALSE)</f>
        <v>insite-workflow-SRED</v>
      </c>
      <c r="B1506" s="27" t="str">
        <f>IFERROR(__xludf.DUMMYFUNCTION("""COMPUTED_VALUE"""),"APPS-564")</f>
        <v>APPS-564</v>
      </c>
      <c r="C1506" s="26" t="str">
        <f>IFERROR(__xludf.DUMMYFUNCTION("""COMPUTED_VALUE"""),"Ability to directly add attachments")</f>
        <v>Ability to directly add attachments</v>
      </c>
      <c r="D1506" s="28">
        <f>IFERROR(__xludf.DUMMYFUNCTION("""COMPUTED_VALUE"""),0.5)</f>
        <v>0.5</v>
      </c>
      <c r="E1506" s="29">
        <f>IFERROR(__xludf.DUMMYFUNCTION("""COMPUTED_VALUE"""),44174.538194444445)</f>
        <v>44174.53819</v>
      </c>
      <c r="F1506" s="26" t="str">
        <f>IFERROR(__xludf.DUMMYFUNCTION("""COMPUTED_VALUE"""),"557058:ed1ddc66-d84d-405c-a815-0fcc6147ba14")</f>
        <v>557058:ed1ddc66-d84d-405c-a815-0fcc6147ba14</v>
      </c>
      <c r="G1506" s="26" t="str">
        <f>IFERROR(__xludf.DUMMYFUNCTION("""COMPUTED_VALUE"""),"Mark Corrigan")</f>
        <v>Mark Corrigan</v>
      </c>
      <c r="H1506" s="26" t="b">
        <v>0</v>
      </c>
    </row>
    <row r="1507" hidden="1">
      <c r="A1507" s="26" t="str">
        <f>VLOOKUP(B1507,'2020 SRED (JIRA) - Issues and l'!$B:$C,2,FALSE)</f>
        <v>insite-workflow-SRED</v>
      </c>
      <c r="B1507" s="27" t="str">
        <f>IFERROR(__xludf.DUMMYFUNCTION("""COMPUTED_VALUE"""),"APPS-572")</f>
        <v>APPS-572</v>
      </c>
      <c r="C1507" s="26" t="str">
        <f>IFERROR(__xludf.DUMMYFUNCTION("""COMPUTED_VALUE"""),"As a salesperson, I can manually enter a total value for a sales opportunity")</f>
        <v>As a salesperson, I can manually enter a total value for a sales opportunity</v>
      </c>
      <c r="D1507" s="28">
        <f>IFERROR(__xludf.DUMMYFUNCTION("""COMPUTED_VALUE"""),1.0)</f>
        <v>1</v>
      </c>
      <c r="E1507" s="29">
        <f>IFERROR(__xludf.DUMMYFUNCTION("""COMPUTED_VALUE"""),44174.54166666667)</f>
        <v>44174.54167</v>
      </c>
      <c r="F1507" s="26" t="str">
        <f>IFERROR(__xludf.DUMMYFUNCTION("""COMPUTED_VALUE"""),"5ee7b6ce868ce30ac49e2521")</f>
        <v>5ee7b6ce868ce30ac49e2521</v>
      </c>
      <c r="G1507" s="26" t="str">
        <f>IFERROR(__xludf.DUMMYFUNCTION("""COMPUTED_VALUE"""),"Bryan Le")</f>
        <v>Bryan Le</v>
      </c>
      <c r="H1507" s="26" t="b">
        <v>0</v>
      </c>
    </row>
    <row r="1508" hidden="1">
      <c r="A1508" s="26" t="str">
        <f>VLOOKUP(B1508,'2020 SRED (JIRA) - Issues and l'!$B:$C,2,FALSE)</f>
        <v>insite-workflow-SRED</v>
      </c>
      <c r="B1508" s="27" t="str">
        <f>IFERROR(__xludf.DUMMYFUNCTION("""COMPUTED_VALUE"""),"APPS-564")</f>
        <v>APPS-564</v>
      </c>
      <c r="C1508" s="26" t="str">
        <f>IFERROR(__xludf.DUMMYFUNCTION("""COMPUTED_VALUE"""),"Ability to directly add attachments")</f>
        <v>Ability to directly add attachments</v>
      </c>
      <c r="D1508" s="28">
        <f>IFERROR(__xludf.DUMMYFUNCTION("""COMPUTED_VALUE"""),3.0)</f>
        <v>3</v>
      </c>
      <c r="E1508" s="29">
        <f>IFERROR(__xludf.DUMMYFUNCTION("""COMPUTED_VALUE"""),44175.33333333333)</f>
        <v>44175.33333</v>
      </c>
      <c r="F1508" s="26" t="str">
        <f>IFERROR(__xludf.DUMMYFUNCTION("""COMPUTED_VALUE"""),"5ee7b6ce868ce30ac49e2521")</f>
        <v>5ee7b6ce868ce30ac49e2521</v>
      </c>
      <c r="G1508" s="26" t="str">
        <f>IFERROR(__xludf.DUMMYFUNCTION("""COMPUTED_VALUE"""),"Bryan Le")</f>
        <v>Bryan Le</v>
      </c>
      <c r="H1508" s="26" t="b">
        <v>0</v>
      </c>
    </row>
    <row r="1509" hidden="1">
      <c r="A1509" s="26" t="str">
        <f>VLOOKUP(B1509,'2020 SRED (JIRA) - Issues and l'!$B:$C,2,FALSE)</f>
        <v>insite-workflow-SRED</v>
      </c>
      <c r="B1509" s="27" t="str">
        <f>IFERROR(__xludf.DUMMYFUNCTION("""COMPUTED_VALUE"""),"APPS-557")</f>
        <v>APPS-557</v>
      </c>
      <c r="C1509" s="26" t="str">
        <f>IFERROR(__xludf.DUMMYFUNCTION("""COMPUTED_VALUE"""),"On Projects app, create new project form and insert as much proposal data as possible")</f>
        <v>On Projects app, create new project form and insert as much proposal data as possible</v>
      </c>
      <c r="D1509" s="28">
        <f>IFERROR(__xludf.DUMMYFUNCTION("""COMPUTED_VALUE"""),8.0)</f>
        <v>8</v>
      </c>
      <c r="E1509" s="29">
        <f>IFERROR(__xludf.DUMMYFUNCTION("""COMPUTED_VALUE"""),44175.33333333333)</f>
        <v>44175.33333</v>
      </c>
      <c r="F1509" s="26" t="str">
        <f>IFERROR(__xludf.DUMMYFUNCTION("""COMPUTED_VALUE"""),"5ee7b6cf02b4400ac4b65399")</f>
        <v>5ee7b6cf02b4400ac4b65399</v>
      </c>
      <c r="G1509" s="26" t="str">
        <f>IFERROR(__xludf.DUMMYFUNCTION("""COMPUTED_VALUE"""),"Jessica Obando")</f>
        <v>Jessica Obando</v>
      </c>
      <c r="H1509" s="26" t="b">
        <v>0</v>
      </c>
    </row>
    <row r="1510">
      <c r="A1510" s="26" t="str">
        <f>VLOOKUP(B1510,'2020 SRED (JIRA) - Issues and l'!$B:$C,2,FALSE)</f>
        <v>insite-workflow-SRED</v>
      </c>
      <c r="B1510" s="27" t="str">
        <f>IFERROR(__xludf.DUMMYFUNCTION("""COMPUTED_VALUE"""),"APPS-62")</f>
        <v>APPS-62</v>
      </c>
      <c r="C1510" s="26" t="str">
        <f>IFERROR(__xludf.DUMMYFUNCTION("""COMPUTED_VALUE"""),"As a salesperson, I can search for and insert objection responses and typical responses into prospect emails")</f>
        <v>As a salesperson, I can search for and insert objection responses and typical responses into prospect emails</v>
      </c>
      <c r="D1510" s="28">
        <f>IFERROR(__xludf.DUMMYFUNCTION("""COMPUTED_VALUE"""),1.0)</f>
        <v>1</v>
      </c>
      <c r="E1510" s="29">
        <f>IFERROR(__xludf.DUMMYFUNCTION("""COMPUTED_VALUE"""),44175.375)</f>
        <v>44175.375</v>
      </c>
      <c r="F1510" s="26" t="str">
        <f>IFERROR(__xludf.DUMMYFUNCTION("""COMPUTED_VALUE"""),"557058:ed1ddc66-d84d-405c-a815-0fcc6147ba14")</f>
        <v>557058:ed1ddc66-d84d-405c-a815-0fcc6147ba14</v>
      </c>
      <c r="G1510" s="26" t="str">
        <f>IFERROR(__xludf.DUMMYFUNCTION("""COMPUTED_VALUE"""),"Mark Corrigan")</f>
        <v>Mark Corrigan</v>
      </c>
      <c r="H1510" s="26" t="b">
        <v>0</v>
      </c>
    </row>
    <row r="1511" hidden="1">
      <c r="A1511" s="26" t="str">
        <f>VLOOKUP(B1511,'2020 SRED (JIRA) - Issues and l'!$B:$C,2,FALSE)</f>
        <v>portal-builder-SRED</v>
      </c>
      <c r="B1511" s="27" t="str">
        <f>IFERROR(__xludf.DUMMYFUNCTION("""COMPUTED_VALUE"""),"ITP-1622")</f>
        <v>ITP-1622</v>
      </c>
      <c r="C1511" s="26" t="str">
        <f>IFERROR(__xludf.DUMMYFUNCTION("""COMPUTED_VALUE"""),"Clients are unable to download CV's from the activity tracker")</f>
        <v>Clients are unable to download CV's from the activity tracker</v>
      </c>
      <c r="D1511" s="28">
        <f>IFERROR(__xludf.DUMMYFUNCTION("""COMPUTED_VALUE"""),2.0)</f>
        <v>2</v>
      </c>
      <c r="E1511" s="29">
        <f>IFERROR(__xludf.DUMMYFUNCTION("""COMPUTED_VALUE"""),44175.39583333333)</f>
        <v>44175.39583</v>
      </c>
      <c r="F1511" s="26" t="str">
        <f>IFERROR(__xludf.DUMMYFUNCTION("""COMPUTED_VALUE"""),"5f5125a6333edb00434bffaf")</f>
        <v>5f5125a6333edb00434bffaf</v>
      </c>
      <c r="G1511" s="26" t="str">
        <f>IFERROR(__xludf.DUMMYFUNCTION("""COMPUTED_VALUE"""),"Terry Waldner")</f>
        <v>Terry Waldner</v>
      </c>
      <c r="H1511" s="26" t="b">
        <v>0</v>
      </c>
    </row>
    <row r="1512" hidden="1">
      <c r="A1512" s="26" t="str">
        <f>VLOOKUP(B1512,'2020 SRED (JIRA) - Issues and l'!$B:$C,2,FALSE)</f>
        <v>portal-builder-SRED</v>
      </c>
      <c r="B1512" s="27" t="str">
        <f>IFERROR(__xludf.DUMMYFUNCTION("""COMPUTED_VALUE"""),"ITP-1622")</f>
        <v>ITP-1622</v>
      </c>
      <c r="C1512" s="26" t="str">
        <f>IFERROR(__xludf.DUMMYFUNCTION("""COMPUTED_VALUE"""),"Clients are unable to download CV's from the activity tracker")</f>
        <v>Clients are unable to download CV's from the activity tracker</v>
      </c>
      <c r="D1512" s="28">
        <f>IFERROR(__xludf.DUMMYFUNCTION("""COMPUTED_VALUE"""),0.5)</f>
        <v>0.5</v>
      </c>
      <c r="E1512" s="29">
        <f>IFERROR(__xludf.DUMMYFUNCTION("""COMPUTED_VALUE"""),44175.45833333333)</f>
        <v>44175.45833</v>
      </c>
      <c r="F1512" s="26" t="str">
        <f>IFERROR(__xludf.DUMMYFUNCTION("""COMPUTED_VALUE"""),"5eb9e8dca4c57d0b8b3d698a")</f>
        <v>5eb9e8dca4c57d0b8b3d698a</v>
      </c>
      <c r="G1512" s="26" t="str">
        <f>IFERROR(__xludf.DUMMYFUNCTION("""COMPUTED_VALUE"""),"Joelle Robitaille")</f>
        <v>Joelle Robitaille</v>
      </c>
      <c r="H1512" s="26" t="b">
        <v>0</v>
      </c>
    </row>
    <row r="1513" hidden="1">
      <c r="A1513" s="26" t="str">
        <f>VLOOKUP(B1513,'2020 SRED (JIRA) - Issues and l'!$B:$C,2,FALSE)</f>
        <v>portal-builder-SRED</v>
      </c>
      <c r="B1513" s="27" t="str">
        <f>IFERROR(__xludf.DUMMYFUNCTION("""COMPUTED_VALUE"""),"ITP-1622")</f>
        <v>ITP-1622</v>
      </c>
      <c r="C1513" s="26" t="str">
        <f>IFERROR(__xludf.DUMMYFUNCTION("""COMPUTED_VALUE"""),"Clients are unable to download CV's from the activity tracker")</f>
        <v>Clients are unable to download CV's from the activity tracker</v>
      </c>
      <c r="D1513" s="28">
        <f>IFERROR(__xludf.DUMMYFUNCTION("""COMPUTED_VALUE"""),0.5)</f>
        <v>0.5</v>
      </c>
      <c r="E1513" s="29">
        <f>IFERROR(__xludf.DUMMYFUNCTION("""COMPUTED_VALUE"""),44175.46875)</f>
        <v>44175.46875</v>
      </c>
      <c r="F1513" s="26" t="str">
        <f>IFERROR(__xludf.DUMMYFUNCTION("""COMPUTED_VALUE"""),"557058:3124a1f0-e92a-405c-93f2-c1d4e621bc77")</f>
        <v>557058:3124a1f0-e92a-405c-93f2-c1d4e621bc77</v>
      </c>
      <c r="G1513" s="26" t="str">
        <f>IFERROR(__xludf.DUMMYFUNCTION("""COMPUTED_VALUE"""),"Trevor Coehoorn")</f>
        <v>Trevor Coehoorn</v>
      </c>
      <c r="H1513" s="26" t="b">
        <v>0</v>
      </c>
    </row>
    <row r="1514" hidden="1">
      <c r="A1514" s="26" t="str">
        <f>VLOOKUP(B1514,'2020 SRED (JIRA) - Issues and l'!$B:$C,2,FALSE)</f>
        <v>insite-workflow-SRED</v>
      </c>
      <c r="B1514" s="27" t="str">
        <f>IFERROR(__xludf.DUMMYFUNCTION("""COMPUTED_VALUE"""),"APPS-62")</f>
        <v>APPS-62</v>
      </c>
      <c r="C1514" s="26" t="str">
        <f>IFERROR(__xludf.DUMMYFUNCTION("""COMPUTED_VALUE"""),"As a salesperson, I can search for and insert objection responses and typical responses into prospect emails")</f>
        <v>As a salesperson, I can search for and insert objection responses and typical responses into prospect emails</v>
      </c>
      <c r="D1514" s="28">
        <f>IFERROR(__xludf.DUMMYFUNCTION("""COMPUTED_VALUE"""),3.5)</f>
        <v>3.5</v>
      </c>
      <c r="E1514" s="29">
        <f>IFERROR(__xludf.DUMMYFUNCTION("""COMPUTED_VALUE"""),44175.47916666667)</f>
        <v>44175.47917</v>
      </c>
      <c r="F1514" s="26" t="str">
        <f>IFERROR(__xludf.DUMMYFUNCTION("""COMPUTED_VALUE"""),"5ee7b6ce868ce30ac49e2521")</f>
        <v>5ee7b6ce868ce30ac49e2521</v>
      </c>
      <c r="G1514" s="26" t="str">
        <f>IFERROR(__xludf.DUMMYFUNCTION("""COMPUTED_VALUE"""),"Bryan Le")</f>
        <v>Bryan Le</v>
      </c>
      <c r="H1514" s="26" t="b">
        <v>0</v>
      </c>
    </row>
    <row r="1515">
      <c r="A1515" s="26" t="str">
        <f>VLOOKUP(B1515,'2020 SRED (JIRA) - Issues and l'!$B:$C,2,FALSE)</f>
        <v>insite-workflow-SRED</v>
      </c>
      <c r="B1515" s="27" t="str">
        <f>IFERROR(__xludf.DUMMYFUNCTION("""COMPUTED_VALUE"""),"APPS-10")</f>
        <v>APPS-10</v>
      </c>
      <c r="C1515" s="26" t="str">
        <f>IFERROR(__xludf.DUMMYFUNCTION("""COMPUTED_VALUE"""),"Sales Pipeline app (v1)")</f>
        <v>Sales Pipeline app (v1)</v>
      </c>
      <c r="D1515" s="28">
        <f>IFERROR(__xludf.DUMMYFUNCTION("""COMPUTED_VALUE"""),2.0)</f>
        <v>2</v>
      </c>
      <c r="E1515" s="29">
        <f>IFERROR(__xludf.DUMMYFUNCTION("""COMPUTED_VALUE"""),44175.51736111111)</f>
        <v>44175.51736</v>
      </c>
      <c r="F1515" s="26" t="str">
        <f>IFERROR(__xludf.DUMMYFUNCTION("""COMPUTED_VALUE"""),"557058:ed1ddc66-d84d-405c-a815-0fcc6147ba14")</f>
        <v>557058:ed1ddc66-d84d-405c-a815-0fcc6147ba14</v>
      </c>
      <c r="G1515" s="26" t="str">
        <f>IFERROR(__xludf.DUMMYFUNCTION("""COMPUTED_VALUE"""),"Mark Corrigan")</f>
        <v>Mark Corrigan</v>
      </c>
      <c r="H1515" s="26" t="b">
        <v>0</v>
      </c>
    </row>
    <row r="1516" hidden="1">
      <c r="A1516" s="26" t="str">
        <f>VLOOKUP(B1516,'2020 SRED (JIRA) - Issues and l'!$B:$C,2,FALSE)</f>
        <v>portal-builder-SRED</v>
      </c>
      <c r="B1516" s="27" t="str">
        <f>IFERROR(__xludf.DUMMYFUNCTION("""COMPUTED_VALUE"""),"ITP-1622")</f>
        <v>ITP-1622</v>
      </c>
      <c r="C1516" s="26" t="str">
        <f>IFERROR(__xludf.DUMMYFUNCTION("""COMPUTED_VALUE"""),"Clients are unable to download CV's from the activity tracker")</f>
        <v>Clients are unable to download CV's from the activity tracker</v>
      </c>
      <c r="D1516" s="28">
        <f>IFERROR(__xludf.DUMMYFUNCTION("""COMPUTED_VALUE"""),2.0)</f>
        <v>2</v>
      </c>
      <c r="E1516" s="29">
        <f>IFERROR(__xludf.DUMMYFUNCTION("""COMPUTED_VALUE"""),44175.5625)</f>
        <v>44175.5625</v>
      </c>
      <c r="F1516" s="26" t="str">
        <f>IFERROR(__xludf.DUMMYFUNCTION("""COMPUTED_VALUE"""),"5f5125a6333edb00434bffaf")</f>
        <v>5f5125a6333edb00434bffaf</v>
      </c>
      <c r="G1516" s="26" t="str">
        <f>IFERROR(__xludf.DUMMYFUNCTION("""COMPUTED_VALUE"""),"Terry Waldner")</f>
        <v>Terry Waldner</v>
      </c>
      <c r="H1516" s="26" t="b">
        <v>0</v>
      </c>
    </row>
    <row r="1517" hidden="1">
      <c r="A1517" s="26" t="str">
        <f>VLOOKUP(B1517,'2020 SRED (JIRA) - Issues and l'!$B:$C,2,FALSE)</f>
        <v>portal-builder-SRED</v>
      </c>
      <c r="B1517" s="27" t="str">
        <f>IFERROR(__xludf.DUMMYFUNCTION("""COMPUTED_VALUE"""),"ITP-1622")</f>
        <v>ITP-1622</v>
      </c>
      <c r="C1517" s="26" t="str">
        <f>IFERROR(__xludf.DUMMYFUNCTION("""COMPUTED_VALUE"""),"Clients are unable to download CV's from the activity tracker")</f>
        <v>Clients are unable to download CV's from the activity tracker</v>
      </c>
      <c r="D1517" s="28">
        <f>IFERROR(__xludf.DUMMYFUNCTION("""COMPUTED_VALUE"""),2.75)</f>
        <v>2.75</v>
      </c>
      <c r="E1517" s="29">
        <f>IFERROR(__xludf.DUMMYFUNCTION("""COMPUTED_VALUE"""),44175.60416666667)</f>
        <v>44175.60417</v>
      </c>
      <c r="F1517" s="26" t="str">
        <f>IFERROR(__xludf.DUMMYFUNCTION("""COMPUTED_VALUE"""),"557058:3124a1f0-e92a-405c-93f2-c1d4e621bc77")</f>
        <v>557058:3124a1f0-e92a-405c-93f2-c1d4e621bc77</v>
      </c>
      <c r="G1517" s="26" t="str">
        <f>IFERROR(__xludf.DUMMYFUNCTION("""COMPUTED_VALUE"""),"Trevor Coehoorn")</f>
        <v>Trevor Coehoorn</v>
      </c>
      <c r="H1517" s="26" t="b">
        <v>0</v>
      </c>
    </row>
    <row r="1518" hidden="1">
      <c r="A1518" s="26" t="str">
        <f>VLOOKUP(B1518,'2020 SRED (JIRA) - Issues and l'!$B:$C,2,FALSE)</f>
        <v>portal-builder-SRED</v>
      </c>
      <c r="B1518" s="27" t="str">
        <f>IFERROR(__xludf.DUMMYFUNCTION("""COMPUTED_VALUE"""),"ITP-1622")</f>
        <v>ITP-1622</v>
      </c>
      <c r="C1518" s="26" t="str">
        <f>IFERROR(__xludf.DUMMYFUNCTION("""COMPUTED_VALUE"""),"Clients are unable to download CV's from the activity tracker")</f>
        <v>Clients are unable to download CV's from the activity tracker</v>
      </c>
      <c r="D1518" s="28">
        <f>IFERROR(__xludf.DUMMYFUNCTION("""COMPUTED_VALUE"""),0.25)</f>
        <v>0.25</v>
      </c>
      <c r="E1518" s="29">
        <f>IFERROR(__xludf.DUMMYFUNCTION("""COMPUTED_VALUE"""),44175.61458333333)</f>
        <v>44175.61458</v>
      </c>
      <c r="F1518" s="26" t="str">
        <f>IFERROR(__xludf.DUMMYFUNCTION("""COMPUTED_VALUE"""),"5eb9e8dca4c57d0b8b3d698a")</f>
        <v>5eb9e8dca4c57d0b8b3d698a</v>
      </c>
      <c r="G1518" s="26" t="str">
        <f>IFERROR(__xludf.DUMMYFUNCTION("""COMPUTED_VALUE"""),"Joelle Robitaille")</f>
        <v>Joelle Robitaille</v>
      </c>
      <c r="H1518" s="26" t="b">
        <v>0</v>
      </c>
    </row>
    <row r="1519" hidden="1">
      <c r="A1519" s="26" t="str">
        <f>VLOOKUP(B1519,'2020 SRED (JIRA) - Issues and l'!$B:$C,2,FALSE)</f>
        <v>portal-builder-SRED</v>
      </c>
      <c r="B1519" s="27" t="str">
        <f>IFERROR(__xludf.DUMMYFUNCTION("""COMPUTED_VALUE"""),"ITP-1622")</f>
        <v>ITP-1622</v>
      </c>
      <c r="C1519" s="26" t="str">
        <f>IFERROR(__xludf.DUMMYFUNCTION("""COMPUTED_VALUE"""),"Clients are unable to download CV's from the activity tracker")</f>
        <v>Clients are unable to download CV's from the activity tracker</v>
      </c>
      <c r="D1519" s="28">
        <f>IFERROR(__xludf.DUMMYFUNCTION("""COMPUTED_VALUE"""),0.25)</f>
        <v>0.25</v>
      </c>
      <c r="E1519" s="29">
        <f>IFERROR(__xludf.DUMMYFUNCTION("""COMPUTED_VALUE"""),44175.85416666667)</f>
        <v>44175.85417</v>
      </c>
      <c r="F1519" s="26" t="str">
        <f>IFERROR(__xludf.DUMMYFUNCTION("""COMPUTED_VALUE"""),"5eb9e8dca4c57d0b8b3d698a")</f>
        <v>5eb9e8dca4c57d0b8b3d698a</v>
      </c>
      <c r="G1519" s="26" t="str">
        <f>IFERROR(__xludf.DUMMYFUNCTION("""COMPUTED_VALUE"""),"Joelle Robitaille")</f>
        <v>Joelle Robitaille</v>
      </c>
      <c r="H1519" s="26" t="b">
        <v>0</v>
      </c>
    </row>
    <row r="1520" hidden="1">
      <c r="A1520" s="26" t="str">
        <f>VLOOKUP(B1520,'2020 SRED (JIRA) - Issues and l'!$B:$C,2,FALSE)</f>
        <v>insite-workflow-SRED</v>
      </c>
      <c r="B1520" s="27" t="str">
        <f>IFERROR(__xludf.DUMMYFUNCTION("""COMPUTED_VALUE"""),"APPS-62")</f>
        <v>APPS-62</v>
      </c>
      <c r="C1520" s="26" t="str">
        <f>IFERROR(__xludf.DUMMYFUNCTION("""COMPUTED_VALUE"""),"As a salesperson, I can search for and insert objection responses and typical responses into prospect emails")</f>
        <v>As a salesperson, I can search for and insert objection responses and typical responses into prospect emails</v>
      </c>
      <c r="D1520" s="28">
        <f>IFERROR(__xludf.DUMMYFUNCTION("""COMPUTED_VALUE"""),7.0)</f>
        <v>7</v>
      </c>
      <c r="E1520" s="29">
        <f>IFERROR(__xludf.DUMMYFUNCTION("""COMPUTED_VALUE"""),44176.33333333333)</f>
        <v>44176.33333</v>
      </c>
      <c r="F1520" s="26" t="str">
        <f>IFERROR(__xludf.DUMMYFUNCTION("""COMPUTED_VALUE"""),"5ee7b6ce868ce30ac49e2521")</f>
        <v>5ee7b6ce868ce30ac49e2521</v>
      </c>
      <c r="G1520" s="26" t="str">
        <f>IFERROR(__xludf.DUMMYFUNCTION("""COMPUTED_VALUE"""),"Bryan Le")</f>
        <v>Bryan Le</v>
      </c>
      <c r="H1520" s="26" t="b">
        <v>0</v>
      </c>
    </row>
    <row r="1521" hidden="1">
      <c r="A1521" s="26" t="str">
        <f>VLOOKUP(B1521,'2020 SRED (JIRA) - Issues and l'!$B:$C,2,FALSE)</f>
        <v>insite-workflow-SRED</v>
      </c>
      <c r="B1521" s="27" t="str">
        <f>IFERROR(__xludf.DUMMYFUNCTION("""COMPUTED_VALUE"""),"APPS-557")</f>
        <v>APPS-557</v>
      </c>
      <c r="C1521" s="26" t="str">
        <f>IFERROR(__xludf.DUMMYFUNCTION("""COMPUTED_VALUE"""),"On Projects app, create new project form and insert as much proposal data as possible")</f>
        <v>On Projects app, create new project form and insert as much proposal data as possible</v>
      </c>
      <c r="D1521" s="28">
        <f>IFERROR(__xludf.DUMMYFUNCTION("""COMPUTED_VALUE"""),7.0)</f>
        <v>7</v>
      </c>
      <c r="E1521" s="29">
        <f>IFERROR(__xludf.DUMMYFUNCTION("""COMPUTED_VALUE"""),44176.33333333333)</f>
        <v>44176.33333</v>
      </c>
      <c r="F1521" s="26" t="str">
        <f>IFERROR(__xludf.DUMMYFUNCTION("""COMPUTED_VALUE"""),"5ee7b6cf02b4400ac4b65399")</f>
        <v>5ee7b6cf02b4400ac4b65399</v>
      </c>
      <c r="G1521" s="26" t="str">
        <f>IFERROR(__xludf.DUMMYFUNCTION("""COMPUTED_VALUE"""),"Jessica Obando")</f>
        <v>Jessica Obando</v>
      </c>
      <c r="H1521" s="26" t="b">
        <v>0</v>
      </c>
    </row>
    <row r="1522" hidden="1">
      <c r="A1522" s="26" t="str">
        <f>VLOOKUP(B1522,'2020 SRED (JIRA) - Issues and l'!$B:$C,2,FALSE)</f>
        <v>portal-builder-SRED</v>
      </c>
      <c r="B1522" s="27" t="str">
        <f>IFERROR(__xludf.DUMMYFUNCTION("""COMPUTED_VALUE"""),"ITP-1622")</f>
        <v>ITP-1622</v>
      </c>
      <c r="C1522" s="26" t="str">
        <f>IFERROR(__xludf.DUMMYFUNCTION("""COMPUTED_VALUE"""),"Clients are unable to download CV's from the activity tracker")</f>
        <v>Clients are unable to download CV's from the activity tracker</v>
      </c>
      <c r="D1522" s="28">
        <f>IFERROR(__xludf.DUMMYFUNCTION("""COMPUTED_VALUE"""),4.25)</f>
        <v>4.25</v>
      </c>
      <c r="E1522" s="29">
        <f>IFERROR(__xludf.DUMMYFUNCTION("""COMPUTED_VALUE"""),44176.34375)</f>
        <v>44176.34375</v>
      </c>
      <c r="F1522" s="26" t="str">
        <f>IFERROR(__xludf.DUMMYFUNCTION("""COMPUTED_VALUE"""),"5f5125a6333edb00434bffaf")</f>
        <v>5f5125a6333edb00434bffaf</v>
      </c>
      <c r="G1522" s="26" t="str">
        <f>IFERROR(__xludf.DUMMYFUNCTION("""COMPUTED_VALUE"""),"Terry Waldner")</f>
        <v>Terry Waldner</v>
      </c>
      <c r="H1522" s="26" t="b">
        <v>0</v>
      </c>
    </row>
    <row r="1523">
      <c r="A1523" s="26" t="str">
        <f>VLOOKUP(B1523,'2020 SRED (JIRA) - Issues and l'!$B:$C,2,FALSE)</f>
        <v>insite-workflow-SRED</v>
      </c>
      <c r="B1523" s="27" t="str">
        <f>IFERROR(__xludf.DUMMYFUNCTION("""COMPUTED_VALUE"""),"APPS-63")</f>
        <v>APPS-63</v>
      </c>
      <c r="C1523" s="26" t="str">
        <f>IFERROR(__xludf.DUMMYFUNCTION("""COMPUTED_VALUE"""),"Impetus Gmail add-on")</f>
        <v>Impetus Gmail add-on</v>
      </c>
      <c r="D1523" s="28">
        <f>IFERROR(__xludf.DUMMYFUNCTION("""COMPUTED_VALUE"""),2.0)</f>
        <v>2</v>
      </c>
      <c r="E1523" s="29">
        <f>IFERROR(__xludf.DUMMYFUNCTION("""COMPUTED_VALUE"""),44176.375)</f>
        <v>44176.375</v>
      </c>
      <c r="F1523" s="26" t="str">
        <f>IFERROR(__xludf.DUMMYFUNCTION("""COMPUTED_VALUE"""),"557058:ed1ddc66-d84d-405c-a815-0fcc6147ba14")</f>
        <v>557058:ed1ddc66-d84d-405c-a815-0fcc6147ba14</v>
      </c>
      <c r="G1523" s="26" t="str">
        <f>IFERROR(__xludf.DUMMYFUNCTION("""COMPUTED_VALUE"""),"Mark Corrigan")</f>
        <v>Mark Corrigan</v>
      </c>
      <c r="H1523" s="26" t="b">
        <v>0</v>
      </c>
    </row>
    <row r="1524">
      <c r="A1524" s="26" t="str">
        <f>VLOOKUP(B1524,'2020 SRED (JIRA) - Issues and l'!$B:$C,2,FALSE)</f>
        <v>portal-builder-SRED</v>
      </c>
      <c r="B1524" s="27" t="str">
        <f>IFERROR(__xludf.DUMMYFUNCTION("""COMPUTED_VALUE"""),"ITP-1622")</f>
        <v>ITP-1622</v>
      </c>
      <c r="C1524" s="26" t="str">
        <f>IFERROR(__xludf.DUMMYFUNCTION("""COMPUTED_VALUE"""),"Clients are unable to download CV's from the activity tracker")</f>
        <v>Clients are unable to download CV's from the activity tracker</v>
      </c>
      <c r="D1524" s="28">
        <f>IFERROR(__xludf.DUMMYFUNCTION("""COMPUTED_VALUE"""),0.25)</f>
        <v>0.25</v>
      </c>
      <c r="E1524" s="29">
        <f>IFERROR(__xludf.DUMMYFUNCTION("""COMPUTED_VALUE"""),44176.5)</f>
        <v>44176.5</v>
      </c>
      <c r="F1524" s="26" t="str">
        <f>IFERROR(__xludf.DUMMYFUNCTION("""COMPUTED_VALUE"""),"557058:ed1ddc66-d84d-405c-a815-0fcc6147ba14")</f>
        <v>557058:ed1ddc66-d84d-405c-a815-0fcc6147ba14</v>
      </c>
      <c r="G1524" s="26" t="str">
        <f>IFERROR(__xludf.DUMMYFUNCTION("""COMPUTED_VALUE"""),"Mark Corrigan")</f>
        <v>Mark Corrigan</v>
      </c>
      <c r="H1524" s="26" t="b">
        <v>0</v>
      </c>
    </row>
    <row r="1525">
      <c r="A1525" s="26" t="str">
        <f>VLOOKUP(B1525,'2020 SRED (JIRA) - Issues and l'!$B:$C,2,FALSE)</f>
        <v>insite-workflow-SRED</v>
      </c>
      <c r="B1525" s="27" t="str">
        <f>IFERROR(__xludf.DUMMYFUNCTION("""COMPUTED_VALUE"""),"APPS-62")</f>
        <v>APPS-62</v>
      </c>
      <c r="C1525" s="26" t="str">
        <f>IFERROR(__xludf.DUMMYFUNCTION("""COMPUTED_VALUE"""),"As a salesperson, I can search for and insert objection responses and typical responses into prospect emails")</f>
        <v>As a salesperson, I can search for and insert objection responses and typical responses into prospect emails</v>
      </c>
      <c r="D1525" s="28">
        <f>IFERROR(__xludf.DUMMYFUNCTION("""COMPUTED_VALUE"""),0.25)</f>
        <v>0.25</v>
      </c>
      <c r="E1525" s="29">
        <f>IFERROR(__xludf.DUMMYFUNCTION("""COMPUTED_VALUE"""),44176.52083333333)</f>
        <v>44176.52083</v>
      </c>
      <c r="F1525" s="26" t="str">
        <f>IFERROR(__xludf.DUMMYFUNCTION("""COMPUTED_VALUE"""),"557058:ed1ddc66-d84d-405c-a815-0fcc6147ba14")</f>
        <v>557058:ed1ddc66-d84d-405c-a815-0fcc6147ba14</v>
      </c>
      <c r="G1525" s="26" t="str">
        <f>IFERROR(__xludf.DUMMYFUNCTION("""COMPUTED_VALUE"""),"Mark Corrigan")</f>
        <v>Mark Corrigan</v>
      </c>
      <c r="H1525" s="26" t="b">
        <v>0</v>
      </c>
    </row>
    <row r="1526" hidden="1">
      <c r="A1526" s="26" t="str">
        <f>VLOOKUP(B1526,'2020 SRED (JIRA) - Issues and l'!$B:$C,2,FALSE)</f>
        <v>portal-builder-SRED</v>
      </c>
      <c r="B1526" s="27" t="str">
        <f>IFERROR(__xludf.DUMMYFUNCTION("""COMPUTED_VALUE"""),"ITP-1622")</f>
        <v>ITP-1622</v>
      </c>
      <c r="C1526" s="26" t="str">
        <f>IFERROR(__xludf.DUMMYFUNCTION("""COMPUTED_VALUE"""),"Clients are unable to download CV's from the activity tracker")</f>
        <v>Clients are unable to download CV's from the activity tracker</v>
      </c>
      <c r="D1526" s="28">
        <f>IFERROR(__xludf.DUMMYFUNCTION("""COMPUTED_VALUE"""),0.5)</f>
        <v>0.5</v>
      </c>
      <c r="E1526" s="29">
        <f>IFERROR(__xludf.DUMMYFUNCTION("""COMPUTED_VALUE"""),44176.54166666667)</f>
        <v>44176.54167</v>
      </c>
      <c r="F1526" s="26" t="str">
        <f>IFERROR(__xludf.DUMMYFUNCTION("""COMPUTED_VALUE"""),"5f5125a6333edb00434bffaf")</f>
        <v>5f5125a6333edb00434bffaf</v>
      </c>
      <c r="G1526" s="26" t="str">
        <f>IFERROR(__xludf.DUMMYFUNCTION("""COMPUTED_VALUE"""),"Terry Waldner")</f>
        <v>Terry Waldner</v>
      </c>
      <c r="H1526" s="26" t="b">
        <v>0</v>
      </c>
    </row>
    <row r="1527">
      <c r="A1527" s="26" t="str">
        <f>VLOOKUP(B1527,'2020 SRED (JIRA) - Issues and l'!$B:$C,2,FALSE)</f>
        <v>insite-workflow-SRED</v>
      </c>
      <c r="B1527" s="27" t="str">
        <f>IFERROR(__xludf.DUMMYFUNCTION("""COMPUTED_VALUE"""),"APPS-510")</f>
        <v>APPS-510</v>
      </c>
      <c r="C1527" s="26" t="str">
        <f>IFERROR(__xludf.DUMMYFUNCTION("""COMPUTED_VALUE"""),"Improvements to internal review request email")</f>
        <v>Improvements to internal review request email</v>
      </c>
      <c r="D1527" s="28">
        <f>IFERROR(__xludf.DUMMYFUNCTION("""COMPUTED_VALUE"""),0.25)</f>
        <v>0.25</v>
      </c>
      <c r="E1527" s="29">
        <f>IFERROR(__xludf.DUMMYFUNCTION("""COMPUTED_VALUE"""),44176.67708333333)</f>
        <v>44176.67708</v>
      </c>
      <c r="F1527" s="26" t="str">
        <f>IFERROR(__xludf.DUMMYFUNCTION("""COMPUTED_VALUE"""),"557058:ed1ddc66-d84d-405c-a815-0fcc6147ba14")</f>
        <v>557058:ed1ddc66-d84d-405c-a815-0fcc6147ba14</v>
      </c>
      <c r="G1527" s="26" t="str">
        <f>IFERROR(__xludf.DUMMYFUNCTION("""COMPUTED_VALUE"""),"Mark Corrigan")</f>
        <v>Mark Corrigan</v>
      </c>
      <c r="H1527" s="26" t="b">
        <v>0</v>
      </c>
    </row>
    <row r="1528">
      <c r="A1528" s="26" t="str">
        <f>VLOOKUP(B1528,'2020 SRED (JIRA) - Issues and l'!$B:$C,2,FALSE)</f>
        <v>insite-workflow-SRED</v>
      </c>
      <c r="B1528" s="27" t="str">
        <f>IFERROR(__xludf.DUMMYFUNCTION("""COMPUTED_VALUE"""),"APPS-63")</f>
        <v>APPS-63</v>
      </c>
      <c r="C1528" s="26" t="str">
        <f>IFERROR(__xludf.DUMMYFUNCTION("""COMPUTED_VALUE"""),"Impetus Gmail add-on")</f>
        <v>Impetus Gmail add-on</v>
      </c>
      <c r="D1528" s="28">
        <f>IFERROR(__xludf.DUMMYFUNCTION("""COMPUTED_VALUE"""),1.0)</f>
        <v>1</v>
      </c>
      <c r="E1528" s="29">
        <f>IFERROR(__xludf.DUMMYFUNCTION("""COMPUTED_VALUE"""),44177.35416666667)</f>
        <v>44177.35417</v>
      </c>
      <c r="F1528" s="26" t="str">
        <f>IFERROR(__xludf.DUMMYFUNCTION("""COMPUTED_VALUE"""),"557058:ed1ddc66-d84d-405c-a815-0fcc6147ba14")</f>
        <v>557058:ed1ddc66-d84d-405c-a815-0fcc6147ba14</v>
      </c>
      <c r="G1528" s="26" t="str">
        <f>IFERROR(__xludf.DUMMYFUNCTION("""COMPUTED_VALUE"""),"Mark Corrigan")</f>
        <v>Mark Corrigan</v>
      </c>
      <c r="H1528" s="26" t="b">
        <v>0</v>
      </c>
    </row>
    <row r="1529" hidden="1">
      <c r="A1529" s="26" t="str">
        <f>VLOOKUP(B1529,'2020 SRED (JIRA) - Issues and l'!$B:$C,2,FALSE)</f>
        <v>insite-workflow-SRED</v>
      </c>
      <c r="B1529" s="27" t="str">
        <f>IFERROR(__xludf.DUMMYFUNCTION("""COMPUTED_VALUE"""),"APPS-62")</f>
        <v>APPS-62</v>
      </c>
      <c r="C1529" s="26" t="str">
        <f>IFERROR(__xludf.DUMMYFUNCTION("""COMPUTED_VALUE"""),"As a salesperson, I can search for and insert objection responses and typical responses into prospect emails")</f>
        <v>As a salesperson, I can search for and insert objection responses and typical responses into prospect emails</v>
      </c>
      <c r="D1529" s="28">
        <f>IFERROR(__xludf.DUMMYFUNCTION("""COMPUTED_VALUE"""),7.0)</f>
        <v>7</v>
      </c>
      <c r="E1529" s="29">
        <f>IFERROR(__xludf.DUMMYFUNCTION("""COMPUTED_VALUE"""),44179.33333333333)</f>
        <v>44179.33333</v>
      </c>
      <c r="F1529" s="26" t="str">
        <f>IFERROR(__xludf.DUMMYFUNCTION("""COMPUTED_VALUE"""),"5ee7b6ce868ce30ac49e2521")</f>
        <v>5ee7b6ce868ce30ac49e2521</v>
      </c>
      <c r="G1529" s="26" t="str">
        <f>IFERROR(__xludf.DUMMYFUNCTION("""COMPUTED_VALUE"""),"Bryan Le")</f>
        <v>Bryan Le</v>
      </c>
      <c r="H1529" s="26" t="b">
        <v>0</v>
      </c>
    </row>
    <row r="1530" hidden="1">
      <c r="A1530" s="26" t="str">
        <f>VLOOKUP(B1530,'2020 SRED (JIRA) - Issues and l'!$B:$C,2,FALSE)</f>
        <v>insite-workflow-SRED</v>
      </c>
      <c r="B1530" s="27" t="str">
        <f>IFERROR(__xludf.DUMMYFUNCTION("""COMPUTED_VALUE"""),"APPS-510")</f>
        <v>APPS-510</v>
      </c>
      <c r="C1530" s="26" t="str">
        <f>IFERROR(__xludf.DUMMYFUNCTION("""COMPUTED_VALUE"""),"Improvements to internal review request email")</f>
        <v>Improvements to internal review request email</v>
      </c>
      <c r="D1530" s="28">
        <f>IFERROR(__xludf.DUMMYFUNCTION("""COMPUTED_VALUE"""),7.0)</f>
        <v>7</v>
      </c>
      <c r="E1530" s="29">
        <f>IFERROR(__xludf.DUMMYFUNCTION("""COMPUTED_VALUE"""),44179.33333333333)</f>
        <v>44179.33333</v>
      </c>
      <c r="F1530" s="26" t="str">
        <f>IFERROR(__xludf.DUMMYFUNCTION("""COMPUTED_VALUE"""),"5ee7b6cf02b4400ac4b65399")</f>
        <v>5ee7b6cf02b4400ac4b65399</v>
      </c>
      <c r="G1530" s="26" t="str">
        <f>IFERROR(__xludf.DUMMYFUNCTION("""COMPUTED_VALUE"""),"Jessica Obando")</f>
        <v>Jessica Obando</v>
      </c>
      <c r="H1530" s="26" t="b">
        <v>0</v>
      </c>
    </row>
    <row r="1531" hidden="1">
      <c r="A1531" s="26" t="str">
        <f>VLOOKUP(B1531,'2020 SRED (JIRA) - Issues and l'!$B:$C,2,FALSE)</f>
        <v>insite-mapping-SRED</v>
      </c>
      <c r="B1531" s="27" t="str">
        <f>IFERROR(__xludf.DUMMYFUNCTION("""COMPUTED_VALUE"""),"IM-516")</f>
        <v>IM-516</v>
      </c>
      <c r="C1531" s="26" t="str">
        <f>IFERROR(__xludf.DUMMYFUNCTION("""COMPUTED_VALUE"""),"New Space for InSite Mapping™")</f>
        <v>New Space for InSite Mapping™</v>
      </c>
      <c r="D1531" s="28">
        <f>IFERROR(__xludf.DUMMYFUNCTION("""COMPUTED_VALUE"""),0.5)</f>
        <v>0.5</v>
      </c>
      <c r="E1531" s="29">
        <f>IFERROR(__xludf.DUMMYFUNCTION("""COMPUTED_VALUE"""),44179.375)</f>
        <v>44179.375</v>
      </c>
      <c r="F1531" s="26" t="str">
        <f>IFERROR(__xludf.DUMMYFUNCTION("""COMPUTED_VALUE"""),"5b8040c6cd0cc72a612ca6fd")</f>
        <v>5b8040c6cd0cc72a612ca6fd</v>
      </c>
      <c r="G1531" s="26" t="str">
        <f>IFERROR(__xludf.DUMMYFUNCTION("""COMPUTED_VALUE"""),"Cecilia Petrus")</f>
        <v>Cecilia Petrus</v>
      </c>
      <c r="H1531" s="26" t="b">
        <v>0</v>
      </c>
    </row>
    <row r="1532" hidden="1">
      <c r="A1532" s="26" t="str">
        <f>VLOOKUP(B1532,'2020 SRED (JIRA) - Issues and l'!$B:$C,2,FALSE)</f>
        <v>portal-builder-SRED</v>
      </c>
      <c r="B1532" s="27" t="str">
        <f>IFERROR(__xludf.DUMMYFUNCTION("""COMPUTED_VALUE"""),"ITP-1622")</f>
        <v>ITP-1622</v>
      </c>
      <c r="C1532" s="26" t="str">
        <f>IFERROR(__xludf.DUMMYFUNCTION("""COMPUTED_VALUE"""),"Clients are unable to download CV's from the activity tracker")</f>
        <v>Clients are unable to download CV's from the activity tracker</v>
      </c>
      <c r="D1532" s="28">
        <f>IFERROR(__xludf.DUMMYFUNCTION("""COMPUTED_VALUE"""),2.25)</f>
        <v>2.25</v>
      </c>
      <c r="E1532" s="29">
        <f>IFERROR(__xludf.DUMMYFUNCTION("""COMPUTED_VALUE"""),44179.38541666667)</f>
        <v>44179.38542</v>
      </c>
      <c r="F1532" s="26" t="str">
        <f>IFERROR(__xludf.DUMMYFUNCTION("""COMPUTED_VALUE"""),"5f5125a6333edb00434bffaf")</f>
        <v>5f5125a6333edb00434bffaf</v>
      </c>
      <c r="G1532" s="26" t="str">
        <f>IFERROR(__xludf.DUMMYFUNCTION("""COMPUTED_VALUE"""),"Terry Waldner")</f>
        <v>Terry Waldner</v>
      </c>
      <c r="H1532" s="26" t="b">
        <v>0</v>
      </c>
    </row>
    <row r="1533" hidden="1">
      <c r="A1533" s="26" t="str">
        <f>VLOOKUP(B1533,'2020 SRED (JIRA) - Issues and l'!$B:$C,2,FALSE)</f>
        <v>insite-mapping-SRED</v>
      </c>
      <c r="B1533" s="27" t="str">
        <f>IFERROR(__xludf.DUMMYFUNCTION("""COMPUTED_VALUE"""),"IM-516")</f>
        <v>IM-516</v>
      </c>
      <c r="C1533" s="26" t="str">
        <f>IFERROR(__xludf.DUMMYFUNCTION("""COMPUTED_VALUE"""),"New Space for InSite Mapping™")</f>
        <v>New Space for InSite Mapping™</v>
      </c>
      <c r="D1533" s="28">
        <f>IFERROR(__xludf.DUMMYFUNCTION("""COMPUTED_VALUE"""),2.75)</f>
        <v>2.75</v>
      </c>
      <c r="E1533" s="29">
        <f>IFERROR(__xludf.DUMMYFUNCTION("""COMPUTED_VALUE"""),44179.44791666667)</f>
        <v>44179.44792</v>
      </c>
      <c r="F1533" s="26" t="str">
        <f>IFERROR(__xludf.DUMMYFUNCTION("""COMPUTED_VALUE"""),"5ec3f07a5269230c34d51fd3")</f>
        <v>5ec3f07a5269230c34d51fd3</v>
      </c>
      <c r="G1533" s="26" t="str">
        <f>IFERROR(__xludf.DUMMYFUNCTION("""COMPUTED_VALUE"""),"Nikita Kuzmin")</f>
        <v>Nikita Kuzmin</v>
      </c>
      <c r="H1533" s="26" t="b">
        <v>0</v>
      </c>
    </row>
    <row r="1534" hidden="1">
      <c r="A1534" s="26" t="str">
        <f>VLOOKUP(B1534,'2020 SRED (JIRA) - Issues and l'!$B:$C,2,FALSE)</f>
        <v>portal-builder-SRED</v>
      </c>
      <c r="B1534" s="27" t="str">
        <f>IFERROR(__xludf.DUMMYFUNCTION("""COMPUTED_VALUE"""),"ITP-1622")</f>
        <v>ITP-1622</v>
      </c>
      <c r="C1534" s="26" t="str">
        <f>IFERROR(__xludf.DUMMYFUNCTION("""COMPUTED_VALUE"""),"Clients are unable to download CV's from the activity tracker")</f>
        <v>Clients are unable to download CV's from the activity tracker</v>
      </c>
      <c r="D1534" s="28">
        <f>IFERROR(__xludf.DUMMYFUNCTION("""COMPUTED_VALUE"""),1.25)</f>
        <v>1.25</v>
      </c>
      <c r="E1534" s="29">
        <f>IFERROR(__xludf.DUMMYFUNCTION("""COMPUTED_VALUE"""),44179.54166666667)</f>
        <v>44179.54167</v>
      </c>
      <c r="F1534" s="26" t="str">
        <f>IFERROR(__xludf.DUMMYFUNCTION("""COMPUTED_VALUE"""),"5f5125a6333edb00434bffaf")</f>
        <v>5f5125a6333edb00434bffaf</v>
      </c>
      <c r="G1534" s="26" t="str">
        <f>IFERROR(__xludf.DUMMYFUNCTION("""COMPUTED_VALUE"""),"Terry Waldner")</f>
        <v>Terry Waldner</v>
      </c>
      <c r="H1534" s="26" t="b">
        <v>0</v>
      </c>
    </row>
    <row r="1535" hidden="1">
      <c r="A1535" s="26" t="str">
        <f>VLOOKUP(B1535,'2020 SRED (JIRA) - Issues and l'!$B:$C,2,FALSE)</f>
        <v>insite-mapping-SRED</v>
      </c>
      <c r="B1535" s="27" t="str">
        <f>IFERROR(__xludf.DUMMYFUNCTION("""COMPUTED_VALUE"""),"IM-516")</f>
        <v>IM-516</v>
      </c>
      <c r="C1535" s="26" t="str">
        <f>IFERROR(__xludf.DUMMYFUNCTION("""COMPUTED_VALUE"""),"New Space for InSite Mapping™")</f>
        <v>New Space for InSite Mapping™</v>
      </c>
      <c r="D1535" s="28">
        <f>IFERROR(__xludf.DUMMYFUNCTION("""COMPUTED_VALUE"""),1.25)</f>
        <v>1.25</v>
      </c>
      <c r="E1535" s="29">
        <f>IFERROR(__xludf.DUMMYFUNCTION("""COMPUTED_VALUE"""),44179.625)</f>
        <v>44179.625</v>
      </c>
      <c r="F1535" s="26" t="str">
        <f>IFERROR(__xludf.DUMMYFUNCTION("""COMPUTED_VALUE"""),"5ec3f07a5269230c34d51fd3")</f>
        <v>5ec3f07a5269230c34d51fd3</v>
      </c>
      <c r="G1535" s="26" t="str">
        <f>IFERROR(__xludf.DUMMYFUNCTION("""COMPUTED_VALUE"""),"Nikita Kuzmin")</f>
        <v>Nikita Kuzmin</v>
      </c>
      <c r="H1535" s="26" t="b">
        <v>0</v>
      </c>
    </row>
    <row r="1536" hidden="1">
      <c r="A1536" s="26" t="str">
        <f>VLOOKUP(B1536,'2020 SRED (JIRA) - Issues and l'!$B:$C,2,FALSE)</f>
        <v>insite-workflow-SRED</v>
      </c>
      <c r="B1536" s="27" t="str">
        <f>IFERROR(__xludf.DUMMYFUNCTION("""COMPUTED_VALUE"""),"APPS-62")</f>
        <v>APPS-62</v>
      </c>
      <c r="C1536" s="26" t="str">
        <f>IFERROR(__xludf.DUMMYFUNCTION("""COMPUTED_VALUE"""),"As a salesperson, I can search for and insert objection responses and typical responses into prospect emails")</f>
        <v>As a salesperson, I can search for and insert objection responses and typical responses into prospect emails</v>
      </c>
      <c r="D1536" s="28">
        <f>IFERROR(__xludf.DUMMYFUNCTION("""COMPUTED_VALUE"""),7.0)</f>
        <v>7</v>
      </c>
      <c r="E1536" s="29">
        <f>IFERROR(__xludf.DUMMYFUNCTION("""COMPUTED_VALUE"""),44180.33333333333)</f>
        <v>44180.33333</v>
      </c>
      <c r="F1536" s="26" t="str">
        <f>IFERROR(__xludf.DUMMYFUNCTION("""COMPUTED_VALUE"""),"5ee7b6ce868ce30ac49e2521")</f>
        <v>5ee7b6ce868ce30ac49e2521</v>
      </c>
      <c r="G1536" s="26" t="str">
        <f>IFERROR(__xludf.DUMMYFUNCTION("""COMPUTED_VALUE"""),"Bryan Le")</f>
        <v>Bryan Le</v>
      </c>
      <c r="H1536" s="26" t="b">
        <v>0</v>
      </c>
    </row>
    <row r="1537" hidden="1">
      <c r="A1537" s="26" t="str">
        <f>VLOOKUP(B1537,'2020 SRED (JIRA) - Issues and l'!$B:$C,2,FALSE)</f>
        <v>insite-workflow-SRED</v>
      </c>
      <c r="B1537" s="27" t="str">
        <f>IFERROR(__xludf.DUMMYFUNCTION("""COMPUTED_VALUE"""),"APPS-244")</f>
        <v>APPS-244</v>
      </c>
      <c r="C1537" s="26" t="str">
        <f>IFERROR(__xludf.DUMMYFUNCTION("""COMPUTED_VALUE"""),"As a salesperson/prospect, I can see a real-time visual timeline or progression of my touchpoints as I am adding them to a new proposal")</f>
        <v>As a salesperson/prospect, I can see a real-time visual timeline or progression of my touchpoints as I am adding them to a new proposal</v>
      </c>
      <c r="D1537" s="28">
        <f>IFERROR(__xludf.DUMMYFUNCTION("""COMPUTED_VALUE"""),7.0)</f>
        <v>7</v>
      </c>
      <c r="E1537" s="29">
        <f>IFERROR(__xludf.DUMMYFUNCTION("""COMPUTED_VALUE"""),44180.33333333333)</f>
        <v>44180.33333</v>
      </c>
      <c r="F1537" s="26" t="str">
        <f>IFERROR(__xludf.DUMMYFUNCTION("""COMPUTED_VALUE"""),"5ee7b6cf02b4400ac4b65399")</f>
        <v>5ee7b6cf02b4400ac4b65399</v>
      </c>
      <c r="G1537" s="26" t="str">
        <f>IFERROR(__xludf.DUMMYFUNCTION("""COMPUTED_VALUE"""),"Jessica Obando")</f>
        <v>Jessica Obando</v>
      </c>
      <c r="H1537" s="26" t="b">
        <v>0</v>
      </c>
    </row>
    <row r="1538" hidden="1">
      <c r="A1538" s="26" t="str">
        <f>VLOOKUP(B1538,'2020 SRED (JIRA) - Issues and l'!$B:$C,2,FALSE)</f>
        <v>insite-event-SRED</v>
      </c>
      <c r="B1538" s="27" t="str">
        <f>IFERROR(__xludf.DUMMYFUNCTION("""COMPUTED_VALUE"""),"EB9-2")</f>
        <v>EB9-2</v>
      </c>
      <c r="C1538" s="26" t="str">
        <f>IFERROR(__xludf.DUMMYFUNCTION("""COMPUTED_VALUE"""),"Drupal 9 Migration Planning")</f>
        <v>Drupal 9 Migration Planning</v>
      </c>
      <c r="D1538" s="28">
        <f>IFERROR(__xludf.DUMMYFUNCTION("""COMPUTED_VALUE"""),0.25)</f>
        <v>0.25</v>
      </c>
      <c r="E1538" s="29">
        <f>IFERROR(__xludf.DUMMYFUNCTION("""COMPUTED_VALUE"""),44180.36458333333)</f>
        <v>44180.36458</v>
      </c>
      <c r="F1538" s="26" t="str">
        <f>IFERROR(__xludf.DUMMYFUNCTION("""COMPUTED_VALUE"""),"557058:3124a1f0-e92a-405c-93f2-c1d4e621bc77")</f>
        <v>557058:3124a1f0-e92a-405c-93f2-c1d4e621bc77</v>
      </c>
      <c r="G1538" s="26" t="str">
        <f>IFERROR(__xludf.DUMMYFUNCTION("""COMPUTED_VALUE"""),"Trevor Coehoorn")</f>
        <v>Trevor Coehoorn</v>
      </c>
      <c r="H1538" s="26" t="b">
        <v>0</v>
      </c>
    </row>
    <row r="1539" hidden="1">
      <c r="A1539" s="26" t="str">
        <f>VLOOKUP(B1539,'2020 SRED (JIRA) - Issues and l'!$B:$C,2,FALSE)</f>
        <v>insite-mapping-SRED</v>
      </c>
      <c r="B1539" s="27" t="str">
        <f>IFERROR(__xludf.DUMMYFUNCTION("""COMPUTED_VALUE"""),"IM-516")</f>
        <v>IM-516</v>
      </c>
      <c r="C1539" s="26" t="str">
        <f>IFERROR(__xludf.DUMMYFUNCTION("""COMPUTED_VALUE"""),"New Space for InSite Mapping™")</f>
        <v>New Space for InSite Mapping™</v>
      </c>
      <c r="D1539" s="28">
        <f>IFERROR(__xludf.DUMMYFUNCTION("""COMPUTED_VALUE"""),0.5)</f>
        <v>0.5</v>
      </c>
      <c r="E1539" s="29">
        <f>IFERROR(__xludf.DUMMYFUNCTION("""COMPUTED_VALUE"""),44180.39583333333)</f>
        <v>44180.39583</v>
      </c>
      <c r="F1539" s="26" t="str">
        <f>IFERROR(__xludf.DUMMYFUNCTION("""COMPUTED_VALUE"""),"5f5125a6333edb00434bffaf")</f>
        <v>5f5125a6333edb00434bffaf</v>
      </c>
      <c r="G1539" s="26" t="str">
        <f>IFERROR(__xludf.DUMMYFUNCTION("""COMPUTED_VALUE"""),"Terry Waldner")</f>
        <v>Terry Waldner</v>
      </c>
      <c r="H1539" s="26" t="b">
        <v>0</v>
      </c>
    </row>
    <row r="1540" hidden="1">
      <c r="A1540" s="26" t="str">
        <f>VLOOKUP(B1540,'2020 SRED (JIRA) - Issues and l'!$B:$C,2,FALSE)</f>
        <v>insite-mapping-SRED</v>
      </c>
      <c r="B1540" s="27" t="str">
        <f>IFERROR(__xludf.DUMMYFUNCTION("""COMPUTED_VALUE"""),"IM-516")</f>
        <v>IM-516</v>
      </c>
      <c r="C1540" s="26" t="str">
        <f>IFERROR(__xludf.DUMMYFUNCTION("""COMPUTED_VALUE"""),"New Space for InSite Mapping™")</f>
        <v>New Space for InSite Mapping™</v>
      </c>
      <c r="D1540" s="28">
        <f>IFERROR(__xludf.DUMMYFUNCTION("""COMPUTED_VALUE"""),2.0)</f>
        <v>2</v>
      </c>
      <c r="E1540" s="29">
        <f>IFERROR(__xludf.DUMMYFUNCTION("""COMPUTED_VALUE"""),44180.41666666667)</f>
        <v>44180.41667</v>
      </c>
      <c r="F1540" s="26" t="str">
        <f>IFERROR(__xludf.DUMMYFUNCTION("""COMPUTED_VALUE"""),"5ec3f07a5269230c34d51fd3")</f>
        <v>5ec3f07a5269230c34d51fd3</v>
      </c>
      <c r="G1540" s="26" t="str">
        <f>IFERROR(__xludf.DUMMYFUNCTION("""COMPUTED_VALUE"""),"Nikita Kuzmin")</f>
        <v>Nikita Kuzmin</v>
      </c>
      <c r="H1540" s="26" t="b">
        <v>0</v>
      </c>
    </row>
    <row r="1541" hidden="1">
      <c r="A1541" s="26" t="str">
        <f>VLOOKUP(B1541,'2020 SRED (JIRA) - Issues and l'!$B:$C,2,FALSE)</f>
        <v>insite-mapping-SRED</v>
      </c>
      <c r="B1541" s="27" t="str">
        <f>IFERROR(__xludf.DUMMYFUNCTION("""COMPUTED_VALUE"""),"IM-516")</f>
        <v>IM-516</v>
      </c>
      <c r="C1541" s="26" t="str">
        <f>IFERROR(__xludf.DUMMYFUNCTION("""COMPUTED_VALUE"""),"New Space for InSite Mapping™")</f>
        <v>New Space for InSite Mapping™</v>
      </c>
      <c r="D1541" s="28">
        <f>IFERROR(__xludf.DUMMYFUNCTION("""COMPUTED_VALUE"""),1.75)</f>
        <v>1.75</v>
      </c>
      <c r="E1541" s="29">
        <f>IFERROR(__xludf.DUMMYFUNCTION("""COMPUTED_VALUE"""),44180.5)</f>
        <v>44180.5</v>
      </c>
      <c r="F1541" s="26" t="str">
        <f>IFERROR(__xludf.DUMMYFUNCTION("""COMPUTED_VALUE"""),"5ec3f07a5269230c34d51fd3")</f>
        <v>5ec3f07a5269230c34d51fd3</v>
      </c>
      <c r="G1541" s="26" t="str">
        <f>IFERROR(__xludf.DUMMYFUNCTION("""COMPUTED_VALUE"""),"Nikita Kuzmin")</f>
        <v>Nikita Kuzmin</v>
      </c>
      <c r="H1541" s="26" t="b">
        <v>0</v>
      </c>
    </row>
    <row r="1542" hidden="1">
      <c r="A1542" s="26" t="str">
        <f>VLOOKUP(B1542,'2020 SRED (JIRA) - Issues and l'!$B:$C,2,FALSE)</f>
        <v>portal-builder-SRED</v>
      </c>
      <c r="B1542" s="27" t="str">
        <f>IFERROR(__xludf.DUMMYFUNCTION("""COMPUTED_VALUE"""),"ITP-1622")</f>
        <v>ITP-1622</v>
      </c>
      <c r="C1542" s="26" t="str">
        <f>IFERROR(__xludf.DUMMYFUNCTION("""COMPUTED_VALUE"""),"Clients are unable to download CV's from the activity tracker")</f>
        <v>Clients are unable to download CV's from the activity tracker</v>
      </c>
      <c r="D1542" s="28">
        <f>IFERROR(__xludf.DUMMYFUNCTION("""COMPUTED_VALUE"""),0.25)</f>
        <v>0.25</v>
      </c>
      <c r="E1542" s="29">
        <f>IFERROR(__xludf.DUMMYFUNCTION("""COMPUTED_VALUE"""),44181.30208333333)</f>
        <v>44181.30208</v>
      </c>
      <c r="F1542" s="26" t="str">
        <f>IFERROR(__xludf.DUMMYFUNCTION("""COMPUTED_VALUE"""),"5f5125a6333edb00434bffaf")</f>
        <v>5f5125a6333edb00434bffaf</v>
      </c>
      <c r="G1542" s="26" t="str">
        <f>IFERROR(__xludf.DUMMYFUNCTION("""COMPUTED_VALUE"""),"Terry Waldner")</f>
        <v>Terry Waldner</v>
      </c>
      <c r="H1542" s="26" t="b">
        <v>0</v>
      </c>
    </row>
    <row r="1543" hidden="1">
      <c r="A1543" s="26" t="str">
        <f>VLOOKUP(B1543,'2020 SRED (JIRA) - Issues and l'!$B:$C,2,FALSE)</f>
        <v>insite-workflow-SRED</v>
      </c>
      <c r="B1543" s="27" t="str">
        <f>IFERROR(__xludf.DUMMYFUNCTION("""COMPUTED_VALUE"""),"APPS-62")</f>
        <v>APPS-62</v>
      </c>
      <c r="C1543" s="26" t="str">
        <f>IFERROR(__xludf.DUMMYFUNCTION("""COMPUTED_VALUE"""),"As a salesperson, I can search for and insert objection responses and typical responses into prospect emails")</f>
        <v>As a salesperson, I can search for and insert objection responses and typical responses into prospect emails</v>
      </c>
      <c r="D1543" s="28">
        <f>IFERROR(__xludf.DUMMYFUNCTION("""COMPUTED_VALUE"""),4.0)</f>
        <v>4</v>
      </c>
      <c r="E1543" s="29">
        <f>IFERROR(__xludf.DUMMYFUNCTION("""COMPUTED_VALUE"""),44181.33333333333)</f>
        <v>44181.33333</v>
      </c>
      <c r="F1543" s="26" t="str">
        <f>IFERROR(__xludf.DUMMYFUNCTION("""COMPUTED_VALUE"""),"5ee7b6ce868ce30ac49e2521")</f>
        <v>5ee7b6ce868ce30ac49e2521</v>
      </c>
      <c r="G1543" s="26" t="str">
        <f>IFERROR(__xludf.DUMMYFUNCTION("""COMPUTED_VALUE"""),"Bryan Le")</f>
        <v>Bryan Le</v>
      </c>
      <c r="H1543" s="26" t="b">
        <v>0</v>
      </c>
    </row>
    <row r="1544" hidden="1">
      <c r="A1544" s="26" t="str">
        <f>VLOOKUP(B1544,'2020 SRED (JIRA) - Issues and l'!$B:$C,2,FALSE)</f>
        <v>insite-workflow-SRED</v>
      </c>
      <c r="B1544" s="27" t="str">
        <f>IFERROR(__xludf.DUMMYFUNCTION("""COMPUTED_VALUE"""),"APPS-244")</f>
        <v>APPS-244</v>
      </c>
      <c r="C1544" s="26" t="str">
        <f>IFERROR(__xludf.DUMMYFUNCTION("""COMPUTED_VALUE"""),"As a salesperson/prospect, I can see a real-time visual timeline or progression of my touchpoints as I am adding them to a new proposal")</f>
        <v>As a salesperson/prospect, I can see a real-time visual timeline or progression of my touchpoints as I am adding them to a new proposal</v>
      </c>
      <c r="D1544" s="28">
        <f>IFERROR(__xludf.DUMMYFUNCTION("""COMPUTED_VALUE"""),7.0)</f>
        <v>7</v>
      </c>
      <c r="E1544" s="29">
        <f>IFERROR(__xludf.DUMMYFUNCTION("""COMPUTED_VALUE"""),44181.33333333333)</f>
        <v>44181.33333</v>
      </c>
      <c r="F1544" s="26" t="str">
        <f>IFERROR(__xludf.DUMMYFUNCTION("""COMPUTED_VALUE"""),"5ee7b6cf02b4400ac4b65399")</f>
        <v>5ee7b6cf02b4400ac4b65399</v>
      </c>
      <c r="G1544" s="26" t="str">
        <f>IFERROR(__xludf.DUMMYFUNCTION("""COMPUTED_VALUE"""),"Jessica Obando")</f>
        <v>Jessica Obando</v>
      </c>
      <c r="H1544" s="26" t="b">
        <v>0</v>
      </c>
    </row>
    <row r="1545" hidden="1">
      <c r="A1545" s="26" t="str">
        <f>VLOOKUP(B1545,'2020 SRED (JIRA) - Issues and l'!$B:$C,2,FALSE)</f>
        <v>insite-event-SRED</v>
      </c>
      <c r="B1545" s="27" t="str">
        <f>IFERROR(__xludf.DUMMYFUNCTION("""COMPUTED_VALUE"""),"ZAPI-34")</f>
        <v>ZAPI-34</v>
      </c>
      <c r="C1545" s="26" t="str">
        <f>IFERROR(__xludf.DUMMYFUNCTION("""COMPUTED_VALUE"""),"Record web meeting attendance")</f>
        <v>Record web meeting attendance</v>
      </c>
      <c r="D1545" s="28">
        <f>IFERROR(__xludf.DUMMYFUNCTION("""COMPUTED_VALUE"""),0.25)</f>
        <v>0.25</v>
      </c>
      <c r="E1545" s="29">
        <f>IFERROR(__xludf.DUMMYFUNCTION("""COMPUTED_VALUE"""),44181.36458333333)</f>
        <v>44181.36458</v>
      </c>
      <c r="F1545" s="26" t="str">
        <f>IFERROR(__xludf.DUMMYFUNCTION("""COMPUTED_VALUE"""),"557058:3124a1f0-e92a-405c-93f2-c1d4e621bc77")</f>
        <v>557058:3124a1f0-e92a-405c-93f2-c1d4e621bc77</v>
      </c>
      <c r="G1545" s="26" t="str">
        <f>IFERROR(__xludf.DUMMYFUNCTION("""COMPUTED_VALUE"""),"Trevor Coehoorn")</f>
        <v>Trevor Coehoorn</v>
      </c>
      <c r="H1545" s="26" t="b">
        <v>0</v>
      </c>
    </row>
    <row r="1546" hidden="1">
      <c r="A1546" s="26" t="str">
        <f>VLOOKUP(B1546,'2020 SRED (JIRA) - Issues and l'!$B:$C,2,FALSE)</f>
        <v>insite-mapping-SRED</v>
      </c>
      <c r="B1546" s="27" t="str">
        <f>IFERROR(__xludf.DUMMYFUNCTION("""COMPUTED_VALUE"""),"IM-516")</f>
        <v>IM-516</v>
      </c>
      <c r="C1546" s="26" t="str">
        <f>IFERROR(__xludf.DUMMYFUNCTION("""COMPUTED_VALUE"""),"New Space for InSite Mapping™")</f>
        <v>New Space for InSite Mapping™</v>
      </c>
      <c r="D1546" s="28">
        <f>IFERROR(__xludf.DUMMYFUNCTION("""COMPUTED_VALUE"""),1.5)</f>
        <v>1.5</v>
      </c>
      <c r="E1546" s="29">
        <f>IFERROR(__xludf.DUMMYFUNCTION("""COMPUTED_VALUE"""),44181.39583333333)</f>
        <v>44181.39583</v>
      </c>
      <c r="F1546" s="26" t="str">
        <f>IFERROR(__xludf.DUMMYFUNCTION("""COMPUTED_VALUE"""),"5ec3f07a5269230c34d51fd3")</f>
        <v>5ec3f07a5269230c34d51fd3</v>
      </c>
      <c r="G1546" s="26" t="str">
        <f>IFERROR(__xludf.DUMMYFUNCTION("""COMPUTED_VALUE"""),"Nikita Kuzmin")</f>
        <v>Nikita Kuzmin</v>
      </c>
      <c r="H1546" s="26" t="b">
        <v>0</v>
      </c>
    </row>
    <row r="1547" hidden="1">
      <c r="A1547" s="26" t="str">
        <f>VLOOKUP(B1547,'2020 SRED (JIRA) - Issues and l'!$B:$C,2,FALSE)</f>
        <v>insite-mapping-SRED</v>
      </c>
      <c r="B1547" s="27" t="str">
        <f>IFERROR(__xludf.DUMMYFUNCTION("""COMPUTED_VALUE"""),"IM-516")</f>
        <v>IM-516</v>
      </c>
      <c r="C1547" s="26" t="str">
        <f>IFERROR(__xludf.DUMMYFUNCTION("""COMPUTED_VALUE"""),"New Space for InSite Mapping™")</f>
        <v>New Space for InSite Mapping™</v>
      </c>
      <c r="D1547" s="28">
        <f>IFERROR(__xludf.DUMMYFUNCTION("""COMPUTED_VALUE"""),0.25)</f>
        <v>0.25</v>
      </c>
      <c r="E1547" s="29">
        <f>IFERROR(__xludf.DUMMYFUNCTION("""COMPUTED_VALUE"""),44181.4375)</f>
        <v>44181.4375</v>
      </c>
      <c r="F1547" s="26" t="str">
        <f>IFERROR(__xludf.DUMMYFUNCTION("""COMPUTED_VALUE"""),"5f5125a6333edb00434bffaf")</f>
        <v>5f5125a6333edb00434bffaf</v>
      </c>
      <c r="G1547" s="26" t="str">
        <f>IFERROR(__xludf.DUMMYFUNCTION("""COMPUTED_VALUE"""),"Terry Waldner")</f>
        <v>Terry Waldner</v>
      </c>
      <c r="H1547" s="26" t="b">
        <v>0</v>
      </c>
    </row>
    <row r="1548" hidden="1">
      <c r="A1548" s="26" t="str">
        <f>VLOOKUP(B1548,'2020 SRED (JIRA) - Issues and l'!$B:$C,2,FALSE)</f>
        <v>insite-event-SRED</v>
      </c>
      <c r="B1548" s="27" t="str">
        <f>IFERROR(__xludf.DUMMYFUNCTION("""COMPUTED_VALUE"""),"ZAPI-34")</f>
        <v>ZAPI-34</v>
      </c>
      <c r="C1548" s="26" t="str">
        <f>IFERROR(__xludf.DUMMYFUNCTION("""COMPUTED_VALUE"""),"Record web meeting attendance")</f>
        <v>Record web meeting attendance</v>
      </c>
      <c r="D1548" s="28">
        <f>IFERROR(__xludf.DUMMYFUNCTION("""COMPUTED_VALUE"""),0.25)</f>
        <v>0.25</v>
      </c>
      <c r="E1548" s="29">
        <f>IFERROR(__xludf.DUMMYFUNCTION("""COMPUTED_VALUE"""),44181.45833333333)</f>
        <v>44181.45833</v>
      </c>
      <c r="F1548" s="26" t="str">
        <f>IFERROR(__xludf.DUMMYFUNCTION("""COMPUTED_VALUE"""),"5ec3f07a5269230c34d51fd3")</f>
        <v>5ec3f07a5269230c34d51fd3</v>
      </c>
      <c r="G1548" s="26" t="str">
        <f>IFERROR(__xludf.DUMMYFUNCTION("""COMPUTED_VALUE"""),"Nikita Kuzmin")</f>
        <v>Nikita Kuzmin</v>
      </c>
      <c r="H1548" s="26" t="b">
        <v>0</v>
      </c>
    </row>
    <row r="1549" hidden="1">
      <c r="A1549" s="26" t="str">
        <f>VLOOKUP(B1549,'2020 SRED (JIRA) - Issues and l'!$B:$C,2,FALSE)</f>
        <v>insite-mapping-SRED</v>
      </c>
      <c r="B1549" s="27" t="str">
        <f>IFERROR(__xludf.DUMMYFUNCTION("""COMPUTED_VALUE"""),"IM-516")</f>
        <v>IM-516</v>
      </c>
      <c r="C1549" s="26" t="str">
        <f>IFERROR(__xludf.DUMMYFUNCTION("""COMPUTED_VALUE"""),"New Space for InSite Mapping™")</f>
        <v>New Space for InSite Mapping™</v>
      </c>
      <c r="D1549" s="28">
        <f>IFERROR(__xludf.DUMMYFUNCTION("""COMPUTED_VALUE"""),1.25)</f>
        <v>1.25</v>
      </c>
      <c r="E1549" s="29">
        <f>IFERROR(__xludf.DUMMYFUNCTION("""COMPUTED_VALUE"""),44181.46875)</f>
        <v>44181.46875</v>
      </c>
      <c r="F1549" s="26" t="str">
        <f>IFERROR(__xludf.DUMMYFUNCTION("""COMPUTED_VALUE"""),"5ec3f07a5269230c34d51fd3")</f>
        <v>5ec3f07a5269230c34d51fd3</v>
      </c>
      <c r="G1549" s="26" t="str">
        <f>IFERROR(__xludf.DUMMYFUNCTION("""COMPUTED_VALUE"""),"Nikita Kuzmin")</f>
        <v>Nikita Kuzmin</v>
      </c>
      <c r="H1549" s="26" t="b">
        <v>0</v>
      </c>
    </row>
    <row r="1550" hidden="1">
      <c r="A1550" s="26" t="str">
        <f>VLOOKUP(B1550,'2020 SRED (JIRA) - Issues and l'!$B:$C,2,FALSE)</f>
        <v>portal-builder-SRED</v>
      </c>
      <c r="B1550" s="27" t="str">
        <f>IFERROR(__xludf.DUMMYFUNCTION("""COMPUTED_VALUE"""),"ITP-1877")</f>
        <v>ITP-1877</v>
      </c>
      <c r="C1550" s="26" t="str">
        <f>IFERROR(__xludf.DUMMYFUNCTION("""COMPUTED_VALUE"""),"TP builder makes pages with section titles longer than allowed character limit ")</f>
        <v>TP builder makes pages with section titles longer than allowed character limit </v>
      </c>
      <c r="D1550" s="28">
        <f>IFERROR(__xludf.DUMMYFUNCTION("""COMPUTED_VALUE"""),0.25)</f>
        <v>0.25</v>
      </c>
      <c r="E1550" s="29">
        <f>IFERROR(__xludf.DUMMYFUNCTION("""COMPUTED_VALUE"""),44181.54166666667)</f>
        <v>44181.54167</v>
      </c>
      <c r="F1550" s="26" t="str">
        <f>IFERROR(__xludf.DUMMYFUNCTION("""COMPUTED_VALUE"""),"5f5125a6333edb00434bffaf")</f>
        <v>5f5125a6333edb00434bffaf</v>
      </c>
      <c r="G1550" s="26" t="str">
        <f>IFERROR(__xludf.DUMMYFUNCTION("""COMPUTED_VALUE"""),"Terry Waldner")</f>
        <v>Terry Waldner</v>
      </c>
      <c r="H1550" s="26" t="b">
        <v>0</v>
      </c>
    </row>
    <row r="1551" hidden="1">
      <c r="A1551" s="26" t="str">
        <f>VLOOKUP(B1551,'2020 SRED (JIRA) - Issues and l'!$B:$C,2,FALSE)</f>
        <v>insite-workflow-SRED</v>
      </c>
      <c r="B1551" s="27" t="str">
        <f>IFERROR(__xludf.DUMMYFUNCTION("""COMPUTED_VALUE"""),"APPS-244")</f>
        <v>APPS-244</v>
      </c>
      <c r="C1551" s="26" t="str">
        <f>IFERROR(__xludf.DUMMYFUNCTION("""COMPUTED_VALUE"""),"As a salesperson/prospect, I can see a real-time visual timeline or progression of my touchpoints as I am adding them to a new proposal")</f>
        <v>As a salesperson/prospect, I can see a real-time visual timeline or progression of my touchpoints as I am adding them to a new proposal</v>
      </c>
      <c r="D1551" s="28">
        <f>IFERROR(__xludf.DUMMYFUNCTION("""COMPUTED_VALUE"""),2.0)</f>
        <v>2</v>
      </c>
      <c r="E1551" s="29">
        <f>IFERROR(__xludf.DUMMYFUNCTION("""COMPUTED_VALUE"""),44182.33333333333)</f>
        <v>44182.33333</v>
      </c>
      <c r="F1551" s="26" t="str">
        <f>IFERROR(__xludf.DUMMYFUNCTION("""COMPUTED_VALUE"""),"5ee7b6cf02b4400ac4b65399")</f>
        <v>5ee7b6cf02b4400ac4b65399</v>
      </c>
      <c r="G1551" s="26" t="str">
        <f>IFERROR(__xludf.DUMMYFUNCTION("""COMPUTED_VALUE"""),"Jessica Obando")</f>
        <v>Jessica Obando</v>
      </c>
      <c r="H1551" s="26" t="b">
        <v>0</v>
      </c>
    </row>
    <row r="1552" hidden="1">
      <c r="A1552" s="26" t="str">
        <f>VLOOKUP(B1552,'2020 SRED (JIRA) - Issues and l'!$B:$C,2,FALSE)</f>
        <v>insite-workflow-SRED</v>
      </c>
      <c r="B1552" s="27" t="str">
        <f>IFERROR(__xludf.DUMMYFUNCTION("""COMPUTED_VALUE"""),"APPS-557")</f>
        <v>APPS-557</v>
      </c>
      <c r="C1552" s="26" t="str">
        <f>IFERROR(__xludf.DUMMYFUNCTION("""COMPUTED_VALUE"""),"On Projects app, create new project form and insert as much proposal data as possible")</f>
        <v>On Projects app, create new project form and insert as much proposal data as possible</v>
      </c>
      <c r="D1552" s="28">
        <f>IFERROR(__xludf.DUMMYFUNCTION("""COMPUTED_VALUE"""),5.0)</f>
        <v>5</v>
      </c>
      <c r="E1552" s="29">
        <f>IFERROR(__xludf.DUMMYFUNCTION("""COMPUTED_VALUE"""),44182.41666666667)</f>
        <v>44182.41667</v>
      </c>
      <c r="F1552" s="26" t="str">
        <f>IFERROR(__xludf.DUMMYFUNCTION("""COMPUTED_VALUE"""),"5ee7b6cf02b4400ac4b65399")</f>
        <v>5ee7b6cf02b4400ac4b65399</v>
      </c>
      <c r="G1552" s="26" t="str">
        <f>IFERROR(__xludf.DUMMYFUNCTION("""COMPUTED_VALUE"""),"Jessica Obando")</f>
        <v>Jessica Obando</v>
      </c>
      <c r="H1552" s="26" t="b">
        <v>0</v>
      </c>
    </row>
    <row r="1553" hidden="1">
      <c r="A1553" s="26" t="str">
        <f>VLOOKUP(B1553,'2020 SRED (JIRA) - Issues and l'!$B:$C,2,FALSE)</f>
        <v>insite-workflow-SRED</v>
      </c>
      <c r="B1553" s="27" t="str">
        <f>IFERROR(__xludf.DUMMYFUNCTION("""COMPUTED_VALUE"""),"APPS-62")</f>
        <v>APPS-62</v>
      </c>
      <c r="C1553" s="26" t="str">
        <f>IFERROR(__xludf.DUMMYFUNCTION("""COMPUTED_VALUE"""),"As a salesperson, I can search for and insert objection responses and typical responses into prospect emails")</f>
        <v>As a salesperson, I can search for and insert objection responses and typical responses into prospect emails</v>
      </c>
      <c r="D1553" s="28">
        <f>IFERROR(__xludf.DUMMYFUNCTION("""COMPUTED_VALUE"""),3.0)</f>
        <v>3</v>
      </c>
      <c r="E1553" s="29">
        <f>IFERROR(__xludf.DUMMYFUNCTION("""COMPUTED_VALUE"""),44182.5)</f>
        <v>44182.5</v>
      </c>
      <c r="F1553" s="26" t="str">
        <f>IFERROR(__xludf.DUMMYFUNCTION("""COMPUTED_VALUE"""),"5ee7b6ce868ce30ac49e2521")</f>
        <v>5ee7b6ce868ce30ac49e2521</v>
      </c>
      <c r="G1553" s="26" t="str">
        <f>IFERROR(__xludf.DUMMYFUNCTION("""COMPUTED_VALUE"""),"Bryan Le")</f>
        <v>Bryan Le</v>
      </c>
      <c r="H1553" s="26" t="b">
        <v>0</v>
      </c>
    </row>
    <row r="1554" hidden="1">
      <c r="A1554" s="26" t="str">
        <f>VLOOKUP(B1554,'2020 SRED (JIRA) - Issues and l'!$B:$C,2,FALSE)</f>
        <v>insite-workflow-SRED</v>
      </c>
      <c r="B1554" s="27" t="str">
        <f>IFERROR(__xludf.DUMMYFUNCTION("""COMPUTED_VALUE"""),"APPS-525")</f>
        <v>APPS-525</v>
      </c>
      <c r="C1554" s="26" t="str">
        <f>IFERROR(__xludf.DUMMYFUNCTION("""COMPUTED_VALUE"""),"As a salesperson, I can save an email from a client as an ""interaction"" in the Sales Pipeline")</f>
        <v>As a salesperson, I can save an email from a client as an "interaction" in the Sales Pipeline</v>
      </c>
      <c r="D1554" s="28">
        <f>IFERROR(__xludf.DUMMYFUNCTION("""COMPUTED_VALUE"""),2.0)</f>
        <v>2</v>
      </c>
      <c r="E1554" s="29">
        <f>IFERROR(__xludf.DUMMYFUNCTION("""COMPUTED_VALUE"""),44183.33333333333)</f>
        <v>44183.33333</v>
      </c>
      <c r="F1554" s="26" t="str">
        <f>IFERROR(__xludf.DUMMYFUNCTION("""COMPUTED_VALUE"""),"5ee7b6ce868ce30ac49e2521")</f>
        <v>5ee7b6ce868ce30ac49e2521</v>
      </c>
      <c r="G1554" s="26" t="str">
        <f>IFERROR(__xludf.DUMMYFUNCTION("""COMPUTED_VALUE"""),"Bryan Le")</f>
        <v>Bryan Le</v>
      </c>
      <c r="H1554" s="26" t="b">
        <v>0</v>
      </c>
    </row>
    <row r="1555" hidden="1">
      <c r="A1555" s="26" t="str">
        <f>VLOOKUP(B1555,'2020 SRED (JIRA) - Issues and l'!$B:$C,2,FALSE)</f>
        <v>portal-builder-SRED</v>
      </c>
      <c r="B1555" s="27" t="str">
        <f>IFERROR(__xludf.DUMMYFUNCTION("""COMPUTED_VALUE"""),"ITP-1622")</f>
        <v>ITP-1622</v>
      </c>
      <c r="C1555" s="26" t="str">
        <f>IFERROR(__xludf.DUMMYFUNCTION("""COMPUTED_VALUE"""),"Clients are unable to download CV's from the activity tracker")</f>
        <v>Clients are unable to download CV's from the activity tracker</v>
      </c>
      <c r="D1555" s="28">
        <f>IFERROR(__xludf.DUMMYFUNCTION("""COMPUTED_VALUE"""),0.25)</f>
        <v>0.25</v>
      </c>
      <c r="E1555" s="29">
        <f>IFERROR(__xludf.DUMMYFUNCTION("""COMPUTED_VALUE"""),44183.48958333333)</f>
        <v>44183.48958</v>
      </c>
      <c r="F1555" s="26" t="str">
        <f>IFERROR(__xludf.DUMMYFUNCTION("""COMPUTED_VALUE"""),"557058:9827514e-9c5e-4d9d-af37-340b82b8423b")</f>
        <v>557058:9827514e-9c5e-4d9d-af37-340b82b8423b</v>
      </c>
      <c r="G1555" s="26" t="str">
        <f>IFERROR(__xludf.DUMMYFUNCTION("""COMPUTED_VALUE"""),"Alyssia Grant")</f>
        <v>Alyssia Grant</v>
      </c>
      <c r="H1555" s="26" t="b">
        <v>0</v>
      </c>
    </row>
    <row r="1556" hidden="1">
      <c r="A1556" s="26" t="str">
        <f>VLOOKUP(B1556,'2020 SRED (JIRA) - Issues and l'!$B:$C,2,FALSE)</f>
        <v>portal-builder-SRED</v>
      </c>
      <c r="B1556" s="27" t="str">
        <f>IFERROR(__xludf.DUMMYFUNCTION("""COMPUTED_VALUE"""),"ITP-1622")</f>
        <v>ITP-1622</v>
      </c>
      <c r="C1556" s="26" t="str">
        <f>IFERROR(__xludf.DUMMYFUNCTION("""COMPUTED_VALUE"""),"Clients are unable to download CV's from the activity tracker")</f>
        <v>Clients are unable to download CV's from the activity tracker</v>
      </c>
      <c r="D1556" s="28">
        <f>IFERROR(__xludf.DUMMYFUNCTION("""COMPUTED_VALUE"""),1.5)</f>
        <v>1.5</v>
      </c>
      <c r="E1556" s="29">
        <f>IFERROR(__xludf.DUMMYFUNCTION("""COMPUTED_VALUE"""),44188.33333333333)</f>
        <v>44188.33333</v>
      </c>
      <c r="F1556" s="26" t="str">
        <f>IFERROR(__xludf.DUMMYFUNCTION("""COMPUTED_VALUE"""),"5f5125a6333edb00434bffaf")</f>
        <v>5f5125a6333edb00434bffaf</v>
      </c>
      <c r="G1556" s="26" t="str">
        <f>IFERROR(__xludf.DUMMYFUNCTION("""COMPUTED_VALUE"""),"Terry Waldner")</f>
        <v>Terry Waldner</v>
      </c>
      <c r="H1556" s="26" t="b">
        <v>0</v>
      </c>
    </row>
    <row r="1557" hidden="1">
      <c r="A1557" s="31"/>
      <c r="B1557" s="32"/>
      <c r="C1557" s="31"/>
      <c r="D1557" s="33"/>
      <c r="E1557" s="34"/>
      <c r="F1557" s="31"/>
      <c r="G1557" s="31"/>
      <c r="H1557" s="31" t="b">
        <v>0</v>
      </c>
    </row>
    <row r="1558" hidden="1">
      <c r="A1558" s="35"/>
      <c r="B1558" s="36"/>
      <c r="C1558" s="35"/>
      <c r="D1558" s="37"/>
      <c r="E1558" s="38"/>
      <c r="F1558" s="35"/>
      <c r="G1558" s="35"/>
      <c r="H1558" s="35" t="b">
        <v>0</v>
      </c>
    </row>
    <row r="1559">
      <c r="A1559" s="26" t="s">
        <v>19</v>
      </c>
      <c r="B1559" s="27" t="s">
        <v>722</v>
      </c>
      <c r="C1559" s="26" t="s">
        <v>723</v>
      </c>
      <c r="D1559" s="28">
        <v>2.0</v>
      </c>
      <c r="E1559" s="29">
        <v>43903.375</v>
      </c>
      <c r="F1559" s="27" t="s">
        <v>722</v>
      </c>
      <c r="G1559" s="26" t="s">
        <v>724</v>
      </c>
      <c r="H1559" s="26" t="b">
        <v>0</v>
      </c>
    </row>
    <row r="1560">
      <c r="A1560" s="26" t="s">
        <v>19</v>
      </c>
      <c r="B1560" s="27" t="s">
        <v>722</v>
      </c>
      <c r="C1560" s="26" t="s">
        <v>725</v>
      </c>
      <c r="D1560" s="28">
        <v>1.0</v>
      </c>
      <c r="E1560" s="29">
        <v>44019.520833333336</v>
      </c>
      <c r="F1560" s="27" t="s">
        <v>722</v>
      </c>
      <c r="G1560" s="26" t="s">
        <v>724</v>
      </c>
      <c r="H1560" s="26" t="b">
        <v>0</v>
      </c>
    </row>
    <row r="1561">
      <c r="A1561" s="26" t="s">
        <v>19</v>
      </c>
      <c r="B1561" s="27" t="s">
        <v>722</v>
      </c>
      <c r="C1561" s="26" t="s">
        <v>726</v>
      </c>
      <c r="D1561" s="28">
        <v>2.5</v>
      </c>
      <c r="E1561" s="29">
        <v>44057.395833333336</v>
      </c>
      <c r="F1561" s="27" t="s">
        <v>722</v>
      </c>
      <c r="G1561" s="26" t="s">
        <v>724</v>
      </c>
      <c r="H1561" s="26" t="b">
        <v>0</v>
      </c>
    </row>
    <row r="1562">
      <c r="A1562" s="26" t="s">
        <v>19</v>
      </c>
      <c r="B1562" s="27" t="s">
        <v>722</v>
      </c>
      <c r="C1562" s="26" t="s">
        <v>727</v>
      </c>
      <c r="D1562" s="28">
        <v>1.0</v>
      </c>
      <c r="E1562" s="29">
        <v>44060.666666666664</v>
      </c>
      <c r="F1562" s="27" t="s">
        <v>722</v>
      </c>
      <c r="G1562" s="26" t="s">
        <v>724</v>
      </c>
      <c r="H1562" s="26" t="b">
        <v>0</v>
      </c>
    </row>
    <row r="1563">
      <c r="A1563" s="26" t="s">
        <v>19</v>
      </c>
      <c r="B1563" s="27" t="s">
        <v>722</v>
      </c>
      <c r="C1563" s="26" t="s">
        <v>728</v>
      </c>
      <c r="D1563" s="28">
        <v>0.5</v>
      </c>
      <c r="E1563" s="29">
        <v>44020.6875</v>
      </c>
      <c r="F1563" s="27" t="s">
        <v>722</v>
      </c>
      <c r="G1563" s="26" t="s">
        <v>724</v>
      </c>
      <c r="H1563" s="26" t="b">
        <v>0</v>
      </c>
    </row>
    <row r="1564">
      <c r="A1564" s="26" t="s">
        <v>19</v>
      </c>
      <c r="B1564" s="27" t="s">
        <v>722</v>
      </c>
      <c r="C1564" s="26" t="s">
        <v>728</v>
      </c>
      <c r="D1564" s="28">
        <v>0.5</v>
      </c>
      <c r="E1564" s="29">
        <v>44021.666666666664</v>
      </c>
      <c r="F1564" s="27" t="s">
        <v>722</v>
      </c>
      <c r="G1564" s="26" t="s">
        <v>724</v>
      </c>
      <c r="H1564" s="26" t="b">
        <v>0</v>
      </c>
    </row>
    <row r="1565">
      <c r="A1565" s="26" t="s">
        <v>19</v>
      </c>
      <c r="B1565" s="27" t="s">
        <v>722</v>
      </c>
      <c r="C1565" s="26" t="s">
        <v>728</v>
      </c>
      <c r="D1565" s="28">
        <v>0.5</v>
      </c>
      <c r="E1565" s="29">
        <v>44022.6875</v>
      </c>
      <c r="F1565" s="27" t="s">
        <v>722</v>
      </c>
      <c r="G1565" s="26" t="s">
        <v>724</v>
      </c>
      <c r="H1565" s="26" t="b">
        <v>0</v>
      </c>
    </row>
    <row r="1566">
      <c r="A1566" s="26" t="s">
        <v>19</v>
      </c>
      <c r="B1566" s="27" t="s">
        <v>722</v>
      </c>
      <c r="C1566" s="26" t="s">
        <v>728</v>
      </c>
      <c r="D1566" s="28">
        <v>0.5</v>
      </c>
      <c r="E1566" s="29">
        <v>44025.6875</v>
      </c>
      <c r="F1566" s="27" t="s">
        <v>722</v>
      </c>
      <c r="G1566" s="26" t="s">
        <v>724</v>
      </c>
      <c r="H1566" s="26" t="b">
        <v>0</v>
      </c>
    </row>
    <row r="1567">
      <c r="A1567" s="26" t="s">
        <v>19</v>
      </c>
      <c r="B1567" s="27" t="s">
        <v>722</v>
      </c>
      <c r="C1567" s="26" t="s">
        <v>728</v>
      </c>
      <c r="D1567" s="28">
        <v>0.75</v>
      </c>
      <c r="E1567" s="29">
        <v>44027.645833333336</v>
      </c>
      <c r="F1567" s="27" t="s">
        <v>722</v>
      </c>
      <c r="G1567" s="26" t="s">
        <v>724</v>
      </c>
      <c r="H1567" s="26" t="b">
        <v>0</v>
      </c>
    </row>
    <row r="1568">
      <c r="A1568" s="26" t="s">
        <v>19</v>
      </c>
      <c r="B1568" s="27" t="s">
        <v>722</v>
      </c>
      <c r="C1568" s="26" t="s">
        <v>728</v>
      </c>
      <c r="D1568" s="28">
        <v>0.75</v>
      </c>
      <c r="E1568" s="29">
        <v>44028.666666666664</v>
      </c>
      <c r="F1568" s="27" t="s">
        <v>722</v>
      </c>
      <c r="G1568" s="26" t="s">
        <v>724</v>
      </c>
      <c r="H1568" s="26" t="b">
        <v>0</v>
      </c>
    </row>
    <row r="1569">
      <c r="A1569" s="26" t="s">
        <v>19</v>
      </c>
      <c r="B1569" s="27" t="s">
        <v>722</v>
      </c>
      <c r="C1569" s="26" t="s">
        <v>728</v>
      </c>
      <c r="D1569" s="28">
        <v>0.75</v>
      </c>
      <c r="E1569" s="29">
        <v>44032.645833333336</v>
      </c>
      <c r="F1569" s="27" t="s">
        <v>722</v>
      </c>
      <c r="G1569" s="26" t="s">
        <v>724</v>
      </c>
      <c r="H1569" s="26" t="b">
        <v>0</v>
      </c>
    </row>
    <row r="1570">
      <c r="A1570" s="26" t="s">
        <v>19</v>
      </c>
      <c r="B1570" s="27" t="s">
        <v>722</v>
      </c>
      <c r="C1570" s="26" t="s">
        <v>728</v>
      </c>
      <c r="D1570" s="28">
        <v>0.75</v>
      </c>
      <c r="E1570" s="29">
        <v>44032.645833333336</v>
      </c>
      <c r="F1570" s="27" t="s">
        <v>722</v>
      </c>
      <c r="G1570" s="26" t="s">
        <v>724</v>
      </c>
      <c r="H1570" s="26" t="b">
        <v>0</v>
      </c>
    </row>
    <row r="1571">
      <c r="A1571" s="26" t="s">
        <v>19</v>
      </c>
      <c r="B1571" s="27" t="s">
        <v>722</v>
      </c>
      <c r="C1571" s="26" t="s">
        <v>728</v>
      </c>
      <c r="D1571" s="28">
        <v>0.75</v>
      </c>
      <c r="E1571" s="29">
        <v>44033.645833333336</v>
      </c>
      <c r="F1571" s="27" t="s">
        <v>722</v>
      </c>
      <c r="G1571" s="26" t="s">
        <v>724</v>
      </c>
      <c r="H1571" s="26" t="b">
        <v>0</v>
      </c>
    </row>
    <row r="1572">
      <c r="A1572" s="26" t="s">
        <v>19</v>
      </c>
      <c r="B1572" s="27" t="s">
        <v>722</v>
      </c>
      <c r="C1572" s="26" t="s">
        <v>728</v>
      </c>
      <c r="D1572" s="28">
        <v>0.5</v>
      </c>
      <c r="E1572" s="29">
        <v>44034.520833333336</v>
      </c>
      <c r="F1572" s="27" t="s">
        <v>722</v>
      </c>
      <c r="G1572" s="26" t="s">
        <v>724</v>
      </c>
      <c r="H1572" s="26" t="b">
        <v>0</v>
      </c>
    </row>
    <row r="1573">
      <c r="A1573" s="26" t="s">
        <v>19</v>
      </c>
      <c r="B1573" s="27" t="s">
        <v>722</v>
      </c>
      <c r="C1573" s="26" t="s">
        <v>728</v>
      </c>
      <c r="D1573" s="28">
        <v>1.25</v>
      </c>
      <c r="E1573" s="29">
        <v>44035.645833333336</v>
      </c>
      <c r="F1573" s="27" t="s">
        <v>722</v>
      </c>
      <c r="G1573" s="26" t="s">
        <v>724</v>
      </c>
      <c r="H1573" s="26" t="b">
        <v>0</v>
      </c>
    </row>
    <row r="1574">
      <c r="A1574" s="26" t="s">
        <v>19</v>
      </c>
      <c r="B1574" s="27" t="s">
        <v>722</v>
      </c>
      <c r="C1574" s="26" t="s">
        <v>728</v>
      </c>
      <c r="D1574" s="28">
        <v>1.0</v>
      </c>
      <c r="E1574" s="29">
        <v>44039.697916666664</v>
      </c>
      <c r="F1574" s="27" t="s">
        <v>722</v>
      </c>
      <c r="G1574" s="26" t="s">
        <v>724</v>
      </c>
      <c r="H1574" s="26" t="b">
        <v>0</v>
      </c>
    </row>
    <row r="1575">
      <c r="A1575" s="26" t="s">
        <v>19</v>
      </c>
      <c r="B1575" s="27" t="s">
        <v>722</v>
      </c>
      <c r="C1575" s="26" t="s">
        <v>728</v>
      </c>
      <c r="D1575" s="28">
        <v>1.25</v>
      </c>
      <c r="E1575" s="29">
        <v>44040.645833333336</v>
      </c>
      <c r="F1575" s="27" t="s">
        <v>722</v>
      </c>
      <c r="G1575" s="26" t="s">
        <v>724</v>
      </c>
      <c r="H1575" s="26" t="b">
        <v>0</v>
      </c>
    </row>
    <row r="1576">
      <c r="A1576" s="26" t="s">
        <v>19</v>
      </c>
      <c r="B1576" s="27" t="s">
        <v>722</v>
      </c>
      <c r="C1576" s="26" t="s">
        <v>728</v>
      </c>
      <c r="D1576" s="28">
        <v>0.75</v>
      </c>
      <c r="E1576" s="29">
        <v>44042.572916666664</v>
      </c>
      <c r="F1576" s="27" t="s">
        <v>722</v>
      </c>
      <c r="G1576" s="26" t="s">
        <v>724</v>
      </c>
      <c r="H1576" s="26" t="b">
        <v>0</v>
      </c>
    </row>
    <row r="1577">
      <c r="A1577" s="26" t="s">
        <v>19</v>
      </c>
      <c r="B1577" s="27" t="s">
        <v>722</v>
      </c>
      <c r="C1577" s="26" t="s">
        <v>728</v>
      </c>
      <c r="D1577" s="28">
        <v>0.75</v>
      </c>
      <c r="E1577" s="29">
        <v>44047.666666666664</v>
      </c>
      <c r="F1577" s="27" t="s">
        <v>722</v>
      </c>
      <c r="G1577" s="26" t="s">
        <v>724</v>
      </c>
      <c r="H1577" s="26" t="b">
        <v>0</v>
      </c>
    </row>
    <row r="1578">
      <c r="A1578" s="26" t="s">
        <v>19</v>
      </c>
      <c r="B1578" s="27" t="s">
        <v>722</v>
      </c>
      <c r="C1578" s="26" t="s">
        <v>728</v>
      </c>
      <c r="D1578" s="28">
        <v>0.75</v>
      </c>
      <c r="E1578" s="29">
        <v>44048.552083333336</v>
      </c>
      <c r="F1578" s="27" t="s">
        <v>722</v>
      </c>
      <c r="G1578" s="26" t="s">
        <v>724</v>
      </c>
      <c r="H1578" s="26" t="b">
        <v>0</v>
      </c>
    </row>
    <row r="1579">
      <c r="A1579" s="26" t="s">
        <v>19</v>
      </c>
      <c r="B1579" s="27" t="s">
        <v>722</v>
      </c>
      <c r="C1579" s="26" t="s">
        <v>729</v>
      </c>
      <c r="D1579" s="28">
        <v>0.5</v>
      </c>
      <c r="E1579" s="29">
        <v>43998.5</v>
      </c>
      <c r="F1579" s="27" t="s">
        <v>722</v>
      </c>
      <c r="G1579" s="26" t="s">
        <v>724</v>
      </c>
      <c r="H1579" s="26" t="b">
        <v>0</v>
      </c>
    </row>
    <row r="1580">
      <c r="A1580" s="26" t="s">
        <v>19</v>
      </c>
      <c r="B1580" s="27" t="s">
        <v>722</v>
      </c>
      <c r="C1580" s="26" t="s">
        <v>729</v>
      </c>
      <c r="D1580" s="28">
        <v>0.5</v>
      </c>
      <c r="E1580" s="29">
        <v>43998.541666666664</v>
      </c>
      <c r="F1580" s="27" t="s">
        <v>722</v>
      </c>
      <c r="G1580" s="26" t="s">
        <v>724</v>
      </c>
      <c r="H1580" s="26" t="b">
        <v>0</v>
      </c>
    </row>
    <row r="1581">
      <c r="A1581" s="26" t="s">
        <v>19</v>
      </c>
      <c r="B1581" s="27" t="s">
        <v>722</v>
      </c>
      <c r="C1581" s="26" t="s">
        <v>729</v>
      </c>
      <c r="D1581" s="28">
        <v>0.5</v>
      </c>
      <c r="E1581" s="29">
        <v>44005.520833333336</v>
      </c>
      <c r="F1581" s="27" t="s">
        <v>722</v>
      </c>
      <c r="G1581" s="26" t="s">
        <v>724</v>
      </c>
      <c r="H1581" s="26" t="b">
        <v>0</v>
      </c>
    </row>
    <row r="1582">
      <c r="A1582" s="26" t="s">
        <v>19</v>
      </c>
      <c r="B1582" s="27" t="s">
        <v>722</v>
      </c>
      <c r="C1582" s="26" t="s">
        <v>729</v>
      </c>
      <c r="D1582" s="28">
        <v>1.5</v>
      </c>
      <c r="E1582" s="29">
        <v>44006.541666666664</v>
      </c>
      <c r="F1582" s="27" t="s">
        <v>722</v>
      </c>
      <c r="G1582" s="26" t="s">
        <v>724</v>
      </c>
      <c r="H1582" s="26" t="b">
        <v>0</v>
      </c>
    </row>
    <row r="1583">
      <c r="A1583" s="26" t="s">
        <v>19</v>
      </c>
      <c r="B1583" s="27" t="s">
        <v>722</v>
      </c>
      <c r="C1583" s="26" t="s">
        <v>729</v>
      </c>
      <c r="D1583" s="28">
        <v>0.5</v>
      </c>
      <c r="E1583" s="29">
        <v>44011.5</v>
      </c>
      <c r="F1583" s="27" t="s">
        <v>722</v>
      </c>
      <c r="G1583" s="26" t="s">
        <v>724</v>
      </c>
      <c r="H1583" s="26" t="b">
        <v>0</v>
      </c>
    </row>
    <row r="1584">
      <c r="A1584" s="26" t="s">
        <v>19</v>
      </c>
      <c r="B1584" s="27" t="s">
        <v>722</v>
      </c>
      <c r="C1584" s="26" t="s">
        <v>729</v>
      </c>
      <c r="D1584" s="28">
        <v>0.5</v>
      </c>
      <c r="E1584" s="29">
        <v>44012.5</v>
      </c>
      <c r="F1584" s="27" t="s">
        <v>722</v>
      </c>
      <c r="G1584" s="26" t="s">
        <v>724</v>
      </c>
      <c r="H1584" s="26" t="b">
        <v>0</v>
      </c>
    </row>
    <row r="1585">
      <c r="A1585" s="26" t="s">
        <v>19</v>
      </c>
      <c r="B1585" s="27" t="s">
        <v>722</v>
      </c>
      <c r="C1585" s="26" t="s">
        <v>729</v>
      </c>
      <c r="D1585" s="28">
        <v>0.5</v>
      </c>
      <c r="E1585" s="29">
        <v>44014.5</v>
      </c>
      <c r="F1585" s="27" t="s">
        <v>722</v>
      </c>
      <c r="G1585" s="26" t="s">
        <v>724</v>
      </c>
      <c r="H1585" s="26" t="b">
        <v>0</v>
      </c>
    </row>
    <row r="1586">
      <c r="A1586" s="26" t="s">
        <v>19</v>
      </c>
      <c r="B1586" s="27" t="s">
        <v>722</v>
      </c>
      <c r="C1586" s="26" t="s">
        <v>729</v>
      </c>
      <c r="D1586" s="28">
        <v>0.5</v>
      </c>
      <c r="E1586" s="29">
        <v>44014.5</v>
      </c>
      <c r="F1586" s="27" t="s">
        <v>722</v>
      </c>
      <c r="G1586" s="26" t="s">
        <v>724</v>
      </c>
      <c r="H1586" s="26" t="b">
        <v>0</v>
      </c>
    </row>
    <row r="1587">
      <c r="A1587" s="26" t="s">
        <v>19</v>
      </c>
      <c r="B1587" s="27" t="s">
        <v>722</v>
      </c>
      <c r="C1587" s="26" t="s">
        <v>729</v>
      </c>
      <c r="D1587" s="28">
        <v>0.5</v>
      </c>
      <c r="E1587" s="29">
        <v>44015.5</v>
      </c>
      <c r="F1587" s="27" t="s">
        <v>722</v>
      </c>
      <c r="G1587" s="26" t="s">
        <v>724</v>
      </c>
      <c r="H1587" s="26" t="b">
        <v>0</v>
      </c>
    </row>
    <row r="1588">
      <c r="A1588" s="26" t="s">
        <v>19</v>
      </c>
      <c r="B1588" s="27" t="s">
        <v>722</v>
      </c>
      <c r="C1588" s="26" t="s">
        <v>729</v>
      </c>
      <c r="D1588" s="28">
        <v>0.5</v>
      </c>
      <c r="E1588" s="29">
        <v>44018.625</v>
      </c>
      <c r="F1588" s="27" t="s">
        <v>722</v>
      </c>
      <c r="G1588" s="26" t="s">
        <v>724</v>
      </c>
      <c r="H1588" s="26" t="b">
        <v>0</v>
      </c>
    </row>
    <row r="1589">
      <c r="A1589" s="26" t="s">
        <v>19</v>
      </c>
      <c r="B1589" s="27" t="s">
        <v>722</v>
      </c>
      <c r="C1589" s="26" t="s">
        <v>729</v>
      </c>
      <c r="D1589" s="28">
        <v>0.5</v>
      </c>
      <c r="E1589" s="29">
        <v>44099.479166666664</v>
      </c>
      <c r="F1589" s="27" t="s">
        <v>722</v>
      </c>
      <c r="G1589" s="26" t="s">
        <v>724</v>
      </c>
      <c r="H1589" s="26" t="b">
        <v>0</v>
      </c>
    </row>
    <row r="1590">
      <c r="A1590" s="26" t="s">
        <v>19</v>
      </c>
      <c r="B1590" s="27" t="s">
        <v>722</v>
      </c>
      <c r="C1590" s="26" t="s">
        <v>729</v>
      </c>
      <c r="D1590" s="28">
        <v>0.5</v>
      </c>
      <c r="E1590" s="29">
        <v>44099.479166666664</v>
      </c>
      <c r="F1590" s="27" t="s">
        <v>722</v>
      </c>
      <c r="G1590" s="26" t="s">
        <v>724</v>
      </c>
      <c r="H1590" s="26" t="b">
        <v>0</v>
      </c>
    </row>
    <row r="1591">
      <c r="A1591" s="26" t="s">
        <v>19</v>
      </c>
      <c r="B1591" s="27" t="s">
        <v>722</v>
      </c>
      <c r="C1591" s="26" t="s">
        <v>729</v>
      </c>
      <c r="D1591" s="28">
        <v>0.5</v>
      </c>
      <c r="E1591" s="29">
        <v>44106.479166666664</v>
      </c>
      <c r="F1591" s="27" t="s">
        <v>722</v>
      </c>
      <c r="G1591" s="26" t="s">
        <v>724</v>
      </c>
      <c r="H1591" s="26" t="b">
        <v>0</v>
      </c>
    </row>
    <row r="1592">
      <c r="A1592" s="26" t="s">
        <v>19</v>
      </c>
      <c r="B1592" s="27" t="s">
        <v>722</v>
      </c>
      <c r="C1592" s="26" t="s">
        <v>729</v>
      </c>
      <c r="D1592" s="28">
        <v>0.5</v>
      </c>
      <c r="E1592" s="29">
        <v>44113.479166666664</v>
      </c>
      <c r="F1592" s="27" t="s">
        <v>722</v>
      </c>
      <c r="G1592" s="26" t="s">
        <v>724</v>
      </c>
      <c r="H1592" s="26" t="b">
        <v>0</v>
      </c>
    </row>
    <row r="1593">
      <c r="A1593" s="26" t="s">
        <v>19</v>
      </c>
      <c r="B1593" s="27" t="s">
        <v>722</v>
      </c>
      <c r="C1593" s="26" t="s">
        <v>729</v>
      </c>
      <c r="D1593" s="28">
        <v>0.5</v>
      </c>
      <c r="E1593" s="29">
        <v>44120.479166666664</v>
      </c>
      <c r="F1593" s="27" t="s">
        <v>722</v>
      </c>
      <c r="G1593" s="26" t="s">
        <v>724</v>
      </c>
      <c r="H1593" s="26" t="b">
        <v>0</v>
      </c>
    </row>
    <row r="1594">
      <c r="A1594" s="26" t="s">
        <v>16</v>
      </c>
      <c r="B1594" s="27" t="s">
        <v>722</v>
      </c>
      <c r="C1594" s="26" t="s">
        <v>730</v>
      </c>
      <c r="D1594" s="28">
        <v>0.5</v>
      </c>
      <c r="E1594" s="29">
        <v>43936.364583333336</v>
      </c>
      <c r="F1594" s="27" t="s">
        <v>722</v>
      </c>
      <c r="G1594" s="26" t="s">
        <v>724</v>
      </c>
      <c r="H1594" s="26" t="b">
        <v>0</v>
      </c>
    </row>
    <row r="1595">
      <c r="A1595" s="26" t="s">
        <v>16</v>
      </c>
      <c r="B1595" s="27" t="s">
        <v>722</v>
      </c>
      <c r="C1595" s="26" t="s">
        <v>730</v>
      </c>
      <c r="D1595" s="28">
        <v>0.5</v>
      </c>
      <c r="E1595" s="29">
        <v>43978.364583333336</v>
      </c>
      <c r="F1595" s="27" t="s">
        <v>722</v>
      </c>
      <c r="G1595" s="26" t="s">
        <v>724</v>
      </c>
      <c r="H1595" s="26" t="b">
        <v>0</v>
      </c>
    </row>
    <row r="1596">
      <c r="A1596" s="26" t="s">
        <v>16</v>
      </c>
      <c r="B1596" s="27" t="s">
        <v>722</v>
      </c>
      <c r="C1596" s="26" t="s">
        <v>730</v>
      </c>
      <c r="D1596" s="28">
        <v>0.5</v>
      </c>
      <c r="E1596" s="29">
        <v>43979.364583333336</v>
      </c>
      <c r="F1596" s="27" t="s">
        <v>722</v>
      </c>
      <c r="G1596" s="26" t="s">
        <v>724</v>
      </c>
      <c r="H1596" s="26" t="b">
        <v>0</v>
      </c>
    </row>
    <row r="1597">
      <c r="A1597" s="26" t="s">
        <v>16</v>
      </c>
      <c r="B1597" s="27" t="s">
        <v>722</v>
      </c>
      <c r="C1597" s="26" t="s">
        <v>730</v>
      </c>
      <c r="D1597" s="28">
        <v>0.5</v>
      </c>
      <c r="E1597" s="29">
        <v>43987.458333333336</v>
      </c>
      <c r="F1597" s="27" t="s">
        <v>722</v>
      </c>
      <c r="G1597" s="26" t="s">
        <v>724</v>
      </c>
      <c r="H1597" s="26" t="b">
        <v>0</v>
      </c>
    </row>
    <row r="1598">
      <c r="A1598" s="26" t="s">
        <v>16</v>
      </c>
      <c r="B1598" s="27" t="s">
        <v>722</v>
      </c>
      <c r="C1598" s="26" t="s">
        <v>730</v>
      </c>
      <c r="D1598" s="28">
        <v>0.5</v>
      </c>
      <c r="E1598" s="29">
        <v>44014.364583333336</v>
      </c>
      <c r="F1598" s="27" t="s">
        <v>722</v>
      </c>
      <c r="G1598" s="26" t="s">
        <v>724</v>
      </c>
      <c r="H1598" s="26" t="b">
        <v>0</v>
      </c>
    </row>
    <row r="1599">
      <c r="A1599" s="26" t="s">
        <v>16</v>
      </c>
      <c r="B1599" s="27" t="s">
        <v>722</v>
      </c>
      <c r="C1599" s="26" t="s">
        <v>730</v>
      </c>
      <c r="D1599" s="28">
        <v>0.5</v>
      </c>
      <c r="E1599" s="29">
        <v>44029.333333333336</v>
      </c>
      <c r="F1599" s="27" t="s">
        <v>722</v>
      </c>
      <c r="G1599" s="26" t="s">
        <v>724</v>
      </c>
      <c r="H1599" s="26" t="b">
        <v>0</v>
      </c>
    </row>
    <row r="1600">
      <c r="A1600" s="26" t="s">
        <v>16</v>
      </c>
      <c r="B1600" s="27" t="s">
        <v>722</v>
      </c>
      <c r="C1600" s="26" t="s">
        <v>730</v>
      </c>
      <c r="D1600" s="28">
        <v>0.5</v>
      </c>
      <c r="E1600" s="29">
        <v>44034.375</v>
      </c>
      <c r="F1600" s="27" t="s">
        <v>722</v>
      </c>
      <c r="G1600" s="26" t="s">
        <v>724</v>
      </c>
      <c r="H1600" s="26" t="b">
        <v>0</v>
      </c>
    </row>
    <row r="1601">
      <c r="A1601" s="26" t="s">
        <v>16</v>
      </c>
      <c r="B1601" s="27" t="s">
        <v>722</v>
      </c>
      <c r="C1601" s="26" t="s">
        <v>730</v>
      </c>
      <c r="D1601" s="28">
        <v>0.5</v>
      </c>
      <c r="E1601" s="29">
        <v>44036.364583333336</v>
      </c>
      <c r="F1601" s="27" t="s">
        <v>722</v>
      </c>
      <c r="G1601" s="26" t="s">
        <v>724</v>
      </c>
      <c r="H1601" s="26" t="b">
        <v>0</v>
      </c>
    </row>
    <row r="1602">
      <c r="A1602" s="26" t="s">
        <v>16</v>
      </c>
      <c r="B1602" s="27" t="s">
        <v>722</v>
      </c>
      <c r="C1602" s="26" t="s">
        <v>731</v>
      </c>
      <c r="D1602" s="28">
        <v>0.5</v>
      </c>
      <c r="E1602" s="29">
        <v>44006.479166666664</v>
      </c>
      <c r="F1602" s="27" t="s">
        <v>722</v>
      </c>
      <c r="G1602" s="26" t="s">
        <v>724</v>
      </c>
      <c r="H1602" s="26" t="b">
        <v>0</v>
      </c>
    </row>
    <row r="1603">
      <c r="A1603" s="26" t="s">
        <v>16</v>
      </c>
      <c r="B1603" s="27" t="s">
        <v>722</v>
      </c>
      <c r="C1603" s="26" t="s">
        <v>732</v>
      </c>
      <c r="D1603" s="28">
        <v>0.5</v>
      </c>
      <c r="E1603" s="29">
        <v>44090.364583333336</v>
      </c>
      <c r="F1603" s="27" t="s">
        <v>722</v>
      </c>
      <c r="G1603" s="26" t="s">
        <v>724</v>
      </c>
      <c r="H1603" s="26" t="b">
        <v>0</v>
      </c>
    </row>
    <row r="1604">
      <c r="A1604" s="26" t="s">
        <v>16</v>
      </c>
      <c r="B1604" s="27" t="s">
        <v>722</v>
      </c>
      <c r="C1604" s="26" t="s">
        <v>732</v>
      </c>
      <c r="D1604" s="28">
        <v>0.5</v>
      </c>
      <c r="E1604" s="29">
        <v>44090.364583333336</v>
      </c>
      <c r="F1604" s="27" t="s">
        <v>722</v>
      </c>
      <c r="G1604" s="26" t="s">
        <v>724</v>
      </c>
      <c r="H1604" s="26" t="b">
        <v>0</v>
      </c>
    </row>
    <row r="1605">
      <c r="A1605" s="26" t="s">
        <v>16</v>
      </c>
      <c r="B1605" s="27" t="s">
        <v>722</v>
      </c>
      <c r="C1605" s="26" t="s">
        <v>732</v>
      </c>
      <c r="D1605" s="28">
        <v>0.5</v>
      </c>
      <c r="E1605" s="29">
        <v>44091.364583333336</v>
      </c>
      <c r="F1605" s="27" t="s">
        <v>722</v>
      </c>
      <c r="G1605" s="26" t="s">
        <v>724</v>
      </c>
      <c r="H1605" s="26" t="b">
        <v>0</v>
      </c>
    </row>
    <row r="1606">
      <c r="A1606" s="26" t="s">
        <v>16</v>
      </c>
      <c r="B1606" s="27" t="s">
        <v>722</v>
      </c>
      <c r="C1606" s="26" t="s">
        <v>732</v>
      </c>
      <c r="D1606" s="28">
        <v>0.5</v>
      </c>
      <c r="E1606" s="29">
        <v>44092.364583333336</v>
      </c>
      <c r="F1606" s="27" t="s">
        <v>722</v>
      </c>
      <c r="G1606" s="26" t="s">
        <v>724</v>
      </c>
      <c r="H1606" s="26" t="b">
        <v>0</v>
      </c>
    </row>
    <row r="1607">
      <c r="A1607" s="26" t="s">
        <v>16</v>
      </c>
      <c r="B1607" s="27" t="s">
        <v>722</v>
      </c>
      <c r="C1607" s="26" t="s">
        <v>732</v>
      </c>
      <c r="D1607" s="28">
        <v>0.5</v>
      </c>
      <c r="E1607" s="29">
        <v>44097.364583333336</v>
      </c>
      <c r="F1607" s="27" t="s">
        <v>722</v>
      </c>
      <c r="G1607" s="26" t="s">
        <v>724</v>
      </c>
      <c r="H1607" s="26" t="b">
        <v>0</v>
      </c>
    </row>
    <row r="1608">
      <c r="A1608" s="26" t="s">
        <v>16</v>
      </c>
      <c r="B1608" s="27" t="s">
        <v>722</v>
      </c>
      <c r="C1608" s="26" t="s">
        <v>733</v>
      </c>
      <c r="D1608" s="28">
        <v>0.5</v>
      </c>
      <c r="E1608" s="29">
        <v>43986.479166666664</v>
      </c>
      <c r="F1608" s="27" t="s">
        <v>722</v>
      </c>
      <c r="G1608" s="26" t="s">
        <v>724</v>
      </c>
      <c r="H1608" s="26" t="b">
        <v>0</v>
      </c>
    </row>
    <row r="1609">
      <c r="A1609" s="26" t="s">
        <v>16</v>
      </c>
      <c r="B1609" s="27" t="s">
        <v>722</v>
      </c>
      <c r="C1609" s="26" t="s">
        <v>734</v>
      </c>
      <c r="D1609" s="28">
        <v>0.5</v>
      </c>
      <c r="E1609" s="29">
        <v>44021.479166666664</v>
      </c>
      <c r="F1609" s="27" t="s">
        <v>722</v>
      </c>
      <c r="G1609" s="26" t="s">
        <v>724</v>
      </c>
      <c r="H1609" s="26" t="b">
        <v>0</v>
      </c>
    </row>
    <row r="1610">
      <c r="A1610" s="26" t="s">
        <v>16</v>
      </c>
      <c r="B1610" s="27" t="s">
        <v>722</v>
      </c>
      <c r="C1610" s="26" t="s">
        <v>734</v>
      </c>
      <c r="D1610" s="28">
        <v>0.5</v>
      </c>
      <c r="E1610" s="29">
        <v>44034.541666666664</v>
      </c>
      <c r="F1610" s="27" t="s">
        <v>722</v>
      </c>
      <c r="G1610" s="26" t="s">
        <v>724</v>
      </c>
      <c r="H1610" s="26" t="b">
        <v>0</v>
      </c>
    </row>
    <row r="1611">
      <c r="A1611" s="26" t="s">
        <v>16</v>
      </c>
      <c r="B1611" s="27" t="s">
        <v>722</v>
      </c>
      <c r="C1611" s="26" t="s">
        <v>734</v>
      </c>
      <c r="D1611" s="28">
        <v>0.5</v>
      </c>
      <c r="E1611" s="29">
        <v>44049.479166666664</v>
      </c>
      <c r="F1611" s="27" t="s">
        <v>722</v>
      </c>
      <c r="G1611" s="26" t="s">
        <v>724</v>
      </c>
      <c r="H1611" s="26" t="b">
        <v>0</v>
      </c>
    </row>
    <row r="1612">
      <c r="A1612" s="26" t="s">
        <v>16</v>
      </c>
      <c r="B1612" s="27" t="s">
        <v>722</v>
      </c>
      <c r="C1612" s="26" t="s">
        <v>734</v>
      </c>
      <c r="D1612" s="28">
        <v>0.5</v>
      </c>
      <c r="E1612" s="29">
        <v>44063.479166666664</v>
      </c>
      <c r="F1612" s="27" t="s">
        <v>722</v>
      </c>
      <c r="G1612" s="26" t="s">
        <v>724</v>
      </c>
      <c r="H1612" s="26" t="b">
        <v>0</v>
      </c>
    </row>
    <row r="1613">
      <c r="A1613" s="26" t="s">
        <v>16</v>
      </c>
      <c r="B1613" s="27" t="s">
        <v>722</v>
      </c>
      <c r="C1613" s="26" t="s">
        <v>735</v>
      </c>
      <c r="D1613" s="28">
        <v>0.5</v>
      </c>
      <c r="E1613" s="29">
        <v>44047.364583333336</v>
      </c>
      <c r="F1613" s="27" t="s">
        <v>722</v>
      </c>
      <c r="G1613" s="26" t="s">
        <v>724</v>
      </c>
      <c r="H1613" s="26" t="b">
        <v>0</v>
      </c>
    </row>
    <row r="1614">
      <c r="A1614" s="26" t="s">
        <v>16</v>
      </c>
      <c r="B1614" s="27" t="s">
        <v>722</v>
      </c>
      <c r="C1614" s="26" t="s">
        <v>735</v>
      </c>
      <c r="D1614" s="28">
        <v>0.5</v>
      </c>
      <c r="E1614" s="29">
        <v>44047.375</v>
      </c>
      <c r="F1614" s="27" t="s">
        <v>722</v>
      </c>
      <c r="G1614" s="26" t="s">
        <v>724</v>
      </c>
      <c r="H1614" s="26" t="b">
        <v>0</v>
      </c>
    </row>
    <row r="1615">
      <c r="A1615" s="26" t="s">
        <v>16</v>
      </c>
      <c r="B1615" s="27" t="s">
        <v>722</v>
      </c>
      <c r="C1615" s="26" t="s">
        <v>735</v>
      </c>
      <c r="D1615" s="28">
        <v>0.5</v>
      </c>
      <c r="E1615" s="29">
        <v>44060.364583333336</v>
      </c>
      <c r="F1615" s="27" t="s">
        <v>722</v>
      </c>
      <c r="G1615" s="26" t="s">
        <v>724</v>
      </c>
      <c r="H1615" s="26" t="b">
        <v>0</v>
      </c>
    </row>
    <row r="1616">
      <c r="A1616" s="26" t="s">
        <v>16</v>
      </c>
      <c r="B1616" s="27" t="s">
        <v>722</v>
      </c>
      <c r="C1616" s="26" t="s">
        <v>735</v>
      </c>
      <c r="D1616" s="28">
        <v>0.5</v>
      </c>
      <c r="E1616" s="29">
        <v>44071.364583333336</v>
      </c>
      <c r="F1616" s="27" t="s">
        <v>722</v>
      </c>
      <c r="G1616" s="26" t="s">
        <v>724</v>
      </c>
      <c r="H1616" s="26" t="b">
        <v>0</v>
      </c>
    </row>
    <row r="1617">
      <c r="A1617" s="26" t="s">
        <v>16</v>
      </c>
      <c r="B1617" s="27" t="s">
        <v>722</v>
      </c>
      <c r="C1617" s="26" t="s">
        <v>735</v>
      </c>
      <c r="D1617" s="28">
        <v>0.5</v>
      </c>
      <c r="E1617" s="29">
        <v>44078.364583333336</v>
      </c>
      <c r="F1617" s="27" t="s">
        <v>722</v>
      </c>
      <c r="G1617" s="26" t="s">
        <v>724</v>
      </c>
      <c r="H1617" s="26" t="b">
        <v>0</v>
      </c>
    </row>
    <row r="1618">
      <c r="A1618" s="26" t="s">
        <v>16</v>
      </c>
      <c r="B1618" s="27" t="s">
        <v>722</v>
      </c>
      <c r="C1618" s="26" t="s">
        <v>735</v>
      </c>
      <c r="D1618" s="28">
        <v>0.5</v>
      </c>
      <c r="E1618" s="29">
        <v>44078.364583333336</v>
      </c>
      <c r="F1618" s="27" t="s">
        <v>722</v>
      </c>
      <c r="G1618" s="26" t="s">
        <v>724</v>
      </c>
      <c r="H1618" s="26" t="b">
        <v>0</v>
      </c>
    </row>
    <row r="1619">
      <c r="A1619" s="26" t="s">
        <v>16</v>
      </c>
      <c r="B1619" s="27" t="s">
        <v>722</v>
      </c>
      <c r="C1619" s="26" t="s">
        <v>735</v>
      </c>
      <c r="D1619" s="28">
        <v>0.5</v>
      </c>
      <c r="E1619" s="29">
        <v>44082.364583333336</v>
      </c>
      <c r="F1619" s="27" t="s">
        <v>722</v>
      </c>
      <c r="G1619" s="26" t="s">
        <v>724</v>
      </c>
      <c r="H1619" s="26" t="b">
        <v>0</v>
      </c>
    </row>
    <row r="1620">
      <c r="A1620" s="26" t="s">
        <v>16</v>
      </c>
      <c r="B1620" s="27" t="s">
        <v>722</v>
      </c>
      <c r="C1620" s="26" t="s">
        <v>735</v>
      </c>
      <c r="D1620" s="28">
        <v>0.5</v>
      </c>
      <c r="E1620" s="29">
        <v>44082.364583333336</v>
      </c>
      <c r="F1620" s="27" t="s">
        <v>722</v>
      </c>
      <c r="G1620" s="26" t="s">
        <v>724</v>
      </c>
      <c r="H1620" s="26" t="b">
        <v>0</v>
      </c>
    </row>
    <row r="1621">
      <c r="A1621" s="26" t="s">
        <v>16</v>
      </c>
      <c r="B1621" s="27" t="s">
        <v>722</v>
      </c>
      <c r="C1621" s="26" t="s">
        <v>735</v>
      </c>
      <c r="D1621" s="28">
        <v>0.5</v>
      </c>
      <c r="E1621" s="29">
        <v>44083.364583333336</v>
      </c>
      <c r="F1621" s="27" t="s">
        <v>722</v>
      </c>
      <c r="G1621" s="26" t="s">
        <v>724</v>
      </c>
      <c r="H1621" s="26" t="b">
        <v>0</v>
      </c>
    </row>
    <row r="1622">
      <c r="A1622" s="26" t="s">
        <v>16</v>
      </c>
      <c r="B1622" s="27" t="s">
        <v>722</v>
      </c>
      <c r="C1622" s="26" t="s">
        <v>735</v>
      </c>
      <c r="D1622" s="28">
        <v>0.5</v>
      </c>
      <c r="E1622" s="29">
        <v>44083.364583333336</v>
      </c>
      <c r="F1622" s="27" t="s">
        <v>722</v>
      </c>
      <c r="G1622" s="26" t="s">
        <v>724</v>
      </c>
      <c r="H1622" s="26" t="b">
        <v>0</v>
      </c>
    </row>
    <row r="1623">
      <c r="A1623" s="26" t="s">
        <v>16</v>
      </c>
      <c r="B1623" s="27" t="s">
        <v>722</v>
      </c>
      <c r="C1623" s="26" t="s">
        <v>735</v>
      </c>
      <c r="D1623" s="28">
        <v>0.5</v>
      </c>
      <c r="E1623" s="29">
        <v>44084.364583333336</v>
      </c>
      <c r="F1623" s="27" t="s">
        <v>722</v>
      </c>
      <c r="G1623" s="26" t="s">
        <v>724</v>
      </c>
      <c r="H1623" s="26" t="b">
        <v>0</v>
      </c>
    </row>
    <row r="1624">
      <c r="A1624" s="26" t="s">
        <v>16</v>
      </c>
      <c r="B1624" s="27" t="s">
        <v>722</v>
      </c>
      <c r="C1624" s="26" t="s">
        <v>735</v>
      </c>
      <c r="D1624" s="28">
        <v>0.5</v>
      </c>
      <c r="E1624" s="29">
        <v>44085.375</v>
      </c>
      <c r="F1624" s="27" t="s">
        <v>722</v>
      </c>
      <c r="G1624" s="26" t="s">
        <v>724</v>
      </c>
      <c r="H1624" s="26" t="b">
        <v>0</v>
      </c>
    </row>
    <row r="1625">
      <c r="A1625" s="26" t="s">
        <v>16</v>
      </c>
      <c r="B1625" s="27" t="s">
        <v>722</v>
      </c>
      <c r="C1625" s="26" t="s">
        <v>735</v>
      </c>
      <c r="D1625" s="28">
        <v>0.5</v>
      </c>
      <c r="E1625" s="29">
        <v>44088.364583333336</v>
      </c>
      <c r="F1625" s="27" t="s">
        <v>722</v>
      </c>
      <c r="G1625" s="26" t="s">
        <v>724</v>
      </c>
      <c r="H1625" s="26" t="b">
        <v>0</v>
      </c>
    </row>
    <row r="1626">
      <c r="A1626" s="26" t="s">
        <v>16</v>
      </c>
      <c r="B1626" s="27" t="s">
        <v>722</v>
      </c>
      <c r="C1626" s="26" t="s">
        <v>736</v>
      </c>
      <c r="D1626" s="28">
        <v>0.25</v>
      </c>
      <c r="E1626" s="29">
        <v>44103.489583333336</v>
      </c>
      <c r="F1626" s="27" t="s">
        <v>722</v>
      </c>
      <c r="G1626" s="26" t="s">
        <v>724</v>
      </c>
      <c r="H1626" s="26" t="b">
        <v>0</v>
      </c>
    </row>
    <row r="1627">
      <c r="A1627" s="26" t="s">
        <v>16</v>
      </c>
      <c r="B1627" s="27" t="s">
        <v>722</v>
      </c>
      <c r="C1627" s="26" t="s">
        <v>737</v>
      </c>
      <c r="D1627" s="28">
        <v>0.25</v>
      </c>
      <c r="E1627" s="29">
        <v>44138.489583333336</v>
      </c>
      <c r="F1627" s="27" t="s">
        <v>722</v>
      </c>
      <c r="G1627" s="26" t="s">
        <v>724</v>
      </c>
      <c r="H1627" s="26" t="b">
        <v>0</v>
      </c>
    </row>
    <row r="1628">
      <c r="A1628" s="26" t="s">
        <v>16</v>
      </c>
      <c r="B1628" s="27" t="s">
        <v>722</v>
      </c>
      <c r="C1628" s="26" t="s">
        <v>738</v>
      </c>
      <c r="D1628" s="28">
        <v>0.5</v>
      </c>
      <c r="E1628" s="29">
        <v>43936.458333333336</v>
      </c>
      <c r="F1628" s="27" t="s">
        <v>722</v>
      </c>
      <c r="G1628" s="26" t="s">
        <v>724</v>
      </c>
      <c r="H1628" s="26" t="b">
        <v>0</v>
      </c>
    </row>
    <row r="1629">
      <c r="A1629" s="26" t="s">
        <v>16</v>
      </c>
      <c r="B1629" s="27" t="s">
        <v>722</v>
      </c>
      <c r="C1629" s="26" t="s">
        <v>739</v>
      </c>
      <c r="D1629" s="28">
        <v>0.75</v>
      </c>
      <c r="E1629" s="29">
        <v>44001.666666666664</v>
      </c>
      <c r="F1629" s="27" t="s">
        <v>722</v>
      </c>
      <c r="G1629" s="26" t="s">
        <v>724</v>
      </c>
      <c r="H1629" s="26" t="b">
        <v>0</v>
      </c>
    </row>
    <row r="1630">
      <c r="A1630" s="26" t="s">
        <v>16</v>
      </c>
      <c r="B1630" s="27" t="s">
        <v>722</v>
      </c>
      <c r="C1630" s="26" t="s">
        <v>740</v>
      </c>
      <c r="D1630" s="28">
        <v>1.5</v>
      </c>
      <c r="E1630" s="29">
        <v>43935.375</v>
      </c>
      <c r="F1630" s="27" t="s">
        <v>722</v>
      </c>
      <c r="G1630" s="26" t="s">
        <v>724</v>
      </c>
      <c r="H1630" s="26" t="b">
        <v>0</v>
      </c>
    </row>
    <row r="1631">
      <c r="A1631" s="26" t="s">
        <v>16</v>
      </c>
      <c r="B1631" s="27" t="s">
        <v>722</v>
      </c>
      <c r="C1631" s="26" t="s">
        <v>741</v>
      </c>
      <c r="D1631" s="28">
        <v>1.0</v>
      </c>
      <c r="E1631" s="29">
        <v>43942.520833333336</v>
      </c>
      <c r="F1631" s="27" t="s">
        <v>722</v>
      </c>
      <c r="G1631" s="26" t="s">
        <v>724</v>
      </c>
      <c r="H1631" s="26" t="b">
        <v>0</v>
      </c>
    </row>
    <row r="1632">
      <c r="A1632" s="26" t="s">
        <v>16</v>
      </c>
      <c r="B1632" s="27" t="s">
        <v>722</v>
      </c>
      <c r="C1632" s="26" t="s">
        <v>742</v>
      </c>
      <c r="D1632" s="28">
        <v>0.5</v>
      </c>
      <c r="E1632" s="29">
        <v>44097.364583333336</v>
      </c>
      <c r="F1632" s="27" t="s">
        <v>722</v>
      </c>
      <c r="G1632" s="26" t="s">
        <v>724</v>
      </c>
      <c r="H1632" s="26" t="b">
        <v>0</v>
      </c>
    </row>
    <row r="1633">
      <c r="A1633" s="26" t="s">
        <v>16</v>
      </c>
      <c r="B1633" s="27" t="s">
        <v>722</v>
      </c>
      <c r="C1633" s="26" t="s">
        <v>742</v>
      </c>
      <c r="D1633" s="28">
        <v>0.5</v>
      </c>
      <c r="E1633" s="29">
        <v>44098.364583333336</v>
      </c>
      <c r="F1633" s="27" t="s">
        <v>722</v>
      </c>
      <c r="G1633" s="26" t="s">
        <v>724</v>
      </c>
      <c r="H1633" s="26" t="b">
        <v>0</v>
      </c>
    </row>
    <row r="1634">
      <c r="A1634" s="26" t="s">
        <v>16</v>
      </c>
      <c r="B1634" s="27" t="s">
        <v>722</v>
      </c>
      <c r="C1634" s="26" t="s">
        <v>742</v>
      </c>
      <c r="D1634" s="28">
        <v>0.5</v>
      </c>
      <c r="E1634" s="29">
        <v>44098.364583333336</v>
      </c>
      <c r="F1634" s="27" t="s">
        <v>722</v>
      </c>
      <c r="G1634" s="26" t="s">
        <v>724</v>
      </c>
      <c r="H1634" s="26" t="b">
        <v>0</v>
      </c>
    </row>
    <row r="1635">
      <c r="A1635" s="26" t="s">
        <v>16</v>
      </c>
      <c r="B1635" s="27" t="s">
        <v>722</v>
      </c>
      <c r="C1635" s="26" t="s">
        <v>742</v>
      </c>
      <c r="D1635" s="28">
        <v>0.5</v>
      </c>
      <c r="E1635" s="29">
        <v>44099.354166666664</v>
      </c>
      <c r="F1635" s="27" t="s">
        <v>722</v>
      </c>
      <c r="G1635" s="26" t="s">
        <v>724</v>
      </c>
      <c r="H1635" s="26" t="b">
        <v>0</v>
      </c>
    </row>
    <row r="1636">
      <c r="A1636" s="26" t="s">
        <v>16</v>
      </c>
      <c r="B1636" s="27" t="s">
        <v>722</v>
      </c>
      <c r="C1636" s="26" t="s">
        <v>742</v>
      </c>
      <c r="D1636" s="28">
        <v>0.5</v>
      </c>
      <c r="E1636" s="29">
        <v>44102.364583333336</v>
      </c>
      <c r="F1636" s="27" t="s">
        <v>722</v>
      </c>
      <c r="G1636" s="26" t="s">
        <v>724</v>
      </c>
      <c r="H1636" s="26" t="b">
        <v>0</v>
      </c>
    </row>
    <row r="1637">
      <c r="A1637" s="26" t="s">
        <v>19</v>
      </c>
      <c r="B1637" s="27" t="s">
        <v>722</v>
      </c>
      <c r="C1637" s="26" t="s">
        <v>743</v>
      </c>
      <c r="D1637" s="28">
        <v>0.5</v>
      </c>
      <c r="E1637" s="29">
        <v>44011.708333333336</v>
      </c>
      <c r="F1637" s="27" t="s">
        <v>722</v>
      </c>
      <c r="G1637" s="26" t="s">
        <v>724</v>
      </c>
      <c r="H1637" s="26" t="b">
        <v>0</v>
      </c>
    </row>
    <row r="1638">
      <c r="A1638" s="26" t="s">
        <v>19</v>
      </c>
      <c r="B1638" s="27" t="s">
        <v>722</v>
      </c>
      <c r="C1638" s="26" t="s">
        <v>744</v>
      </c>
      <c r="D1638" s="28">
        <v>1.5</v>
      </c>
      <c r="E1638" s="29">
        <v>43928.770833333336</v>
      </c>
      <c r="F1638" s="27" t="s">
        <v>722</v>
      </c>
      <c r="G1638" s="26" t="s">
        <v>724</v>
      </c>
      <c r="H1638" s="26" t="b">
        <v>0</v>
      </c>
    </row>
    <row r="1639">
      <c r="A1639" s="26" t="s">
        <v>19</v>
      </c>
      <c r="B1639" s="27" t="s">
        <v>722</v>
      </c>
      <c r="C1639" s="26" t="s">
        <v>745</v>
      </c>
      <c r="D1639" s="28">
        <v>0.25</v>
      </c>
      <c r="E1639" s="29">
        <v>44160.375</v>
      </c>
      <c r="F1639" s="27" t="s">
        <v>722</v>
      </c>
      <c r="G1639" s="26" t="s">
        <v>724</v>
      </c>
      <c r="H1639" s="26" t="b">
        <v>0</v>
      </c>
    </row>
    <row r="1640">
      <c r="A1640" s="26" t="s">
        <v>19</v>
      </c>
      <c r="B1640" s="27" t="s">
        <v>722</v>
      </c>
      <c r="C1640" s="26" t="s">
        <v>746</v>
      </c>
      <c r="D1640" s="28">
        <v>0.25</v>
      </c>
      <c r="E1640" s="29">
        <v>44159.479166666664</v>
      </c>
      <c r="F1640" s="27" t="s">
        <v>722</v>
      </c>
      <c r="G1640" s="26" t="s">
        <v>724</v>
      </c>
      <c r="H1640" s="26" t="b">
        <v>0</v>
      </c>
    </row>
    <row r="1641">
      <c r="A1641" s="26" t="s">
        <v>19</v>
      </c>
      <c r="B1641" s="27" t="s">
        <v>722</v>
      </c>
      <c r="C1641" s="26" t="s">
        <v>747</v>
      </c>
      <c r="D1641" s="28">
        <v>0.75</v>
      </c>
      <c r="E1641" s="29">
        <v>44029.520833333336</v>
      </c>
      <c r="F1641" s="27" t="s">
        <v>722</v>
      </c>
      <c r="G1641" s="26" t="s">
        <v>724</v>
      </c>
      <c r="H1641" s="26" t="b">
        <v>0</v>
      </c>
    </row>
    <row r="1642">
      <c r="A1642" s="26" t="s">
        <v>19</v>
      </c>
      <c r="B1642" s="27" t="s">
        <v>722</v>
      </c>
      <c r="C1642" s="26" t="s">
        <v>748</v>
      </c>
      <c r="D1642" s="28">
        <v>0.5</v>
      </c>
      <c r="E1642" s="29">
        <v>44167.583333333336</v>
      </c>
      <c r="F1642" s="27" t="s">
        <v>722</v>
      </c>
      <c r="G1642" s="26" t="s">
        <v>724</v>
      </c>
      <c r="H1642" s="26" t="b">
        <v>0</v>
      </c>
    </row>
    <row r="1643">
      <c r="A1643" s="26" t="s">
        <v>19</v>
      </c>
      <c r="B1643" s="27" t="s">
        <v>722</v>
      </c>
      <c r="C1643" s="26" t="s">
        <v>749</v>
      </c>
      <c r="D1643" s="28">
        <v>2.25</v>
      </c>
      <c r="E1643" s="29">
        <v>43889.375</v>
      </c>
      <c r="F1643" s="27" t="s">
        <v>722</v>
      </c>
      <c r="G1643" s="26" t="s">
        <v>724</v>
      </c>
      <c r="H1643" s="26" t="b">
        <v>0</v>
      </c>
    </row>
    <row r="1644">
      <c r="A1644" s="26" t="s">
        <v>19</v>
      </c>
      <c r="B1644" s="27" t="s">
        <v>722</v>
      </c>
      <c r="C1644" s="26" t="s">
        <v>750</v>
      </c>
      <c r="D1644" s="28">
        <v>0.75</v>
      </c>
      <c r="E1644" s="29">
        <v>44174.447916666664</v>
      </c>
      <c r="F1644" s="27" t="s">
        <v>722</v>
      </c>
      <c r="G1644" s="26" t="s">
        <v>724</v>
      </c>
      <c r="H1644" s="26" t="b">
        <v>0</v>
      </c>
    </row>
    <row r="1645">
      <c r="A1645" s="26" t="s">
        <v>19</v>
      </c>
      <c r="B1645" s="27" t="s">
        <v>722</v>
      </c>
      <c r="C1645" s="26" t="s">
        <v>751</v>
      </c>
      <c r="D1645" s="28">
        <v>0.5</v>
      </c>
      <c r="E1645" s="29">
        <v>44035.625</v>
      </c>
      <c r="F1645" s="27" t="s">
        <v>722</v>
      </c>
      <c r="G1645" s="26" t="s">
        <v>724</v>
      </c>
      <c r="H1645" s="26" t="b">
        <v>0</v>
      </c>
    </row>
    <row r="1646">
      <c r="A1646" s="26" t="s">
        <v>19</v>
      </c>
      <c r="B1646" s="27" t="s">
        <v>722</v>
      </c>
      <c r="C1646" s="26" t="s">
        <v>752</v>
      </c>
      <c r="D1646" s="28">
        <v>0.75</v>
      </c>
      <c r="E1646" s="29">
        <v>43935.489583333336</v>
      </c>
      <c r="F1646" s="27" t="s">
        <v>722</v>
      </c>
      <c r="G1646" s="26" t="s">
        <v>724</v>
      </c>
      <c r="H1646" s="26" t="b">
        <v>0</v>
      </c>
    </row>
    <row r="1647">
      <c r="A1647" s="26" t="s">
        <v>19</v>
      </c>
      <c r="B1647" s="27" t="s">
        <v>722</v>
      </c>
      <c r="C1647" s="26" t="s">
        <v>753</v>
      </c>
      <c r="D1647" s="28">
        <v>0.25</v>
      </c>
      <c r="E1647" s="29">
        <v>44152.708333333336</v>
      </c>
      <c r="F1647" s="27" t="s">
        <v>722</v>
      </c>
      <c r="G1647" s="26" t="s">
        <v>724</v>
      </c>
      <c r="H1647" s="26" t="b">
        <v>0</v>
      </c>
    </row>
    <row r="1648">
      <c r="A1648" s="26" t="s">
        <v>19</v>
      </c>
      <c r="B1648" s="27" t="s">
        <v>722</v>
      </c>
      <c r="C1648" s="26" t="s">
        <v>754</v>
      </c>
      <c r="D1648" s="28">
        <v>0.75</v>
      </c>
      <c r="E1648" s="29">
        <v>44085.427083333336</v>
      </c>
      <c r="F1648" s="27" t="s">
        <v>722</v>
      </c>
      <c r="G1648" s="26" t="s">
        <v>724</v>
      </c>
      <c r="H1648" s="26" t="b">
        <v>0</v>
      </c>
    </row>
    <row r="1649">
      <c r="A1649" s="26" t="s">
        <v>19</v>
      </c>
      <c r="B1649" s="27" t="s">
        <v>722</v>
      </c>
      <c r="C1649" s="26" t="s">
        <v>755</v>
      </c>
      <c r="D1649" s="28">
        <v>0.5</v>
      </c>
      <c r="E1649" s="29">
        <v>44145.510416666664</v>
      </c>
      <c r="F1649" s="27" t="s">
        <v>722</v>
      </c>
      <c r="G1649" s="26" t="s">
        <v>724</v>
      </c>
      <c r="H1649" s="26" t="b">
        <v>0</v>
      </c>
    </row>
    <row r="1650">
      <c r="A1650" s="26" t="s">
        <v>19</v>
      </c>
      <c r="B1650" s="27" t="s">
        <v>722</v>
      </c>
      <c r="C1650" s="26" t="s">
        <v>756</v>
      </c>
      <c r="D1650" s="28">
        <v>1.0</v>
      </c>
      <c r="E1650" s="29">
        <v>43924.625</v>
      </c>
      <c r="F1650" s="27" t="s">
        <v>722</v>
      </c>
      <c r="G1650" s="26" t="s">
        <v>724</v>
      </c>
      <c r="H1650" s="26" t="b">
        <v>0</v>
      </c>
    </row>
    <row r="1651">
      <c r="A1651" s="26" t="s">
        <v>19</v>
      </c>
      <c r="B1651" s="27" t="s">
        <v>722</v>
      </c>
      <c r="C1651" s="26" t="s">
        <v>757</v>
      </c>
      <c r="D1651" s="28">
        <v>0.5</v>
      </c>
      <c r="E1651" s="29">
        <v>43887.625</v>
      </c>
      <c r="F1651" s="27" t="s">
        <v>722</v>
      </c>
      <c r="G1651" s="26" t="s">
        <v>724</v>
      </c>
      <c r="H1651" s="26" t="b">
        <v>0</v>
      </c>
    </row>
    <row r="1652">
      <c r="A1652" s="26" t="s">
        <v>19</v>
      </c>
      <c r="B1652" s="27" t="s">
        <v>722</v>
      </c>
      <c r="C1652" s="26" t="s">
        <v>758</v>
      </c>
      <c r="D1652" s="28">
        <v>0.5</v>
      </c>
      <c r="E1652" s="29">
        <v>44049.541666666664</v>
      </c>
      <c r="F1652" s="27" t="s">
        <v>722</v>
      </c>
      <c r="G1652" s="26" t="s">
        <v>724</v>
      </c>
      <c r="H1652" s="26" t="b">
        <v>0</v>
      </c>
    </row>
    <row r="1653">
      <c r="A1653" s="26" t="s">
        <v>19</v>
      </c>
      <c r="B1653" s="27" t="s">
        <v>722</v>
      </c>
      <c r="C1653" s="26" t="s">
        <v>758</v>
      </c>
      <c r="D1653" s="28">
        <v>0.5</v>
      </c>
      <c r="E1653" s="29">
        <v>44053.541666666664</v>
      </c>
      <c r="F1653" s="27" t="s">
        <v>722</v>
      </c>
      <c r="G1653" s="26" t="s">
        <v>724</v>
      </c>
      <c r="H1653" s="26" t="b">
        <v>0</v>
      </c>
    </row>
    <row r="1654">
      <c r="A1654" s="26" t="s">
        <v>19</v>
      </c>
      <c r="B1654" s="27" t="s">
        <v>722</v>
      </c>
      <c r="C1654" s="26" t="s">
        <v>758</v>
      </c>
      <c r="D1654" s="28">
        <v>0.5</v>
      </c>
      <c r="E1654" s="29">
        <v>44054.5625</v>
      </c>
      <c r="F1654" s="27" t="s">
        <v>722</v>
      </c>
      <c r="G1654" s="26" t="s">
        <v>724</v>
      </c>
      <c r="H1654" s="26" t="b">
        <v>0</v>
      </c>
    </row>
    <row r="1655">
      <c r="A1655" s="26" t="s">
        <v>19</v>
      </c>
      <c r="B1655" s="27" t="s">
        <v>722</v>
      </c>
      <c r="C1655" s="26" t="s">
        <v>758</v>
      </c>
      <c r="D1655" s="28">
        <v>0.5</v>
      </c>
      <c r="E1655" s="29">
        <v>44057.666666666664</v>
      </c>
      <c r="F1655" s="27" t="s">
        <v>722</v>
      </c>
      <c r="G1655" s="26" t="s">
        <v>724</v>
      </c>
      <c r="H1655" s="26" t="b">
        <v>0</v>
      </c>
    </row>
    <row r="1656">
      <c r="A1656" s="26" t="s">
        <v>19</v>
      </c>
      <c r="B1656" s="27" t="s">
        <v>722</v>
      </c>
      <c r="C1656" s="26" t="s">
        <v>758</v>
      </c>
      <c r="D1656" s="28">
        <v>1.0</v>
      </c>
      <c r="E1656" s="29">
        <v>44060.541666666664</v>
      </c>
      <c r="F1656" s="27" t="s">
        <v>722</v>
      </c>
      <c r="G1656" s="26" t="s">
        <v>724</v>
      </c>
      <c r="H1656" s="26" t="b">
        <v>0</v>
      </c>
    </row>
    <row r="1657">
      <c r="A1657" s="26" t="s">
        <v>19</v>
      </c>
      <c r="B1657" s="27" t="s">
        <v>722</v>
      </c>
      <c r="C1657" s="26" t="s">
        <v>758</v>
      </c>
      <c r="D1657" s="28">
        <v>0.5</v>
      </c>
      <c r="E1657" s="29">
        <v>44061.5625</v>
      </c>
      <c r="F1657" s="27" t="s">
        <v>722</v>
      </c>
      <c r="G1657" s="26" t="s">
        <v>724</v>
      </c>
      <c r="H1657" s="26" t="b">
        <v>0</v>
      </c>
    </row>
    <row r="1658">
      <c r="A1658" s="26" t="s">
        <v>19</v>
      </c>
      <c r="B1658" s="27" t="s">
        <v>722</v>
      </c>
      <c r="C1658" s="26" t="s">
        <v>758</v>
      </c>
      <c r="D1658" s="28">
        <v>0.5</v>
      </c>
      <c r="E1658" s="29">
        <v>44062.5625</v>
      </c>
      <c r="F1658" s="27" t="s">
        <v>722</v>
      </c>
      <c r="G1658" s="26" t="s">
        <v>724</v>
      </c>
      <c r="H1658" s="26" t="b">
        <v>0</v>
      </c>
    </row>
    <row r="1659">
      <c r="A1659" s="26" t="s">
        <v>19</v>
      </c>
      <c r="B1659" s="27" t="s">
        <v>722</v>
      </c>
      <c r="C1659" s="26" t="s">
        <v>758</v>
      </c>
      <c r="D1659" s="28">
        <v>0.5</v>
      </c>
      <c r="E1659" s="29">
        <v>44063.645833333336</v>
      </c>
      <c r="F1659" s="27" t="s">
        <v>722</v>
      </c>
      <c r="G1659" s="26" t="s">
        <v>724</v>
      </c>
      <c r="H1659" s="26" t="b">
        <v>0</v>
      </c>
    </row>
    <row r="1660">
      <c r="A1660" s="26" t="s">
        <v>19</v>
      </c>
      <c r="B1660" s="27" t="s">
        <v>722</v>
      </c>
      <c r="C1660" s="26" t="s">
        <v>758</v>
      </c>
      <c r="D1660" s="28">
        <v>0.5</v>
      </c>
      <c r="E1660" s="29">
        <v>44064.697916666664</v>
      </c>
      <c r="F1660" s="27" t="s">
        <v>722</v>
      </c>
      <c r="G1660" s="26" t="s">
        <v>724</v>
      </c>
      <c r="H1660" s="26" t="b">
        <v>0</v>
      </c>
    </row>
    <row r="1661">
      <c r="A1661" s="26" t="s">
        <v>19</v>
      </c>
      <c r="B1661" s="27" t="s">
        <v>722</v>
      </c>
      <c r="C1661" s="26" t="s">
        <v>758</v>
      </c>
      <c r="D1661" s="28">
        <v>0.5</v>
      </c>
      <c r="E1661" s="29">
        <v>44071.541666666664</v>
      </c>
      <c r="F1661" s="27" t="s">
        <v>722</v>
      </c>
      <c r="G1661" s="26" t="s">
        <v>724</v>
      </c>
      <c r="H1661" s="26" t="b">
        <v>0</v>
      </c>
    </row>
    <row r="1662">
      <c r="A1662" s="26" t="s">
        <v>19</v>
      </c>
      <c r="B1662" s="27" t="s">
        <v>722</v>
      </c>
      <c r="C1662" s="26" t="s">
        <v>758</v>
      </c>
      <c r="D1662" s="28">
        <v>0.5</v>
      </c>
      <c r="E1662" s="29">
        <v>44075.520833333336</v>
      </c>
      <c r="F1662" s="27" t="s">
        <v>722</v>
      </c>
      <c r="G1662" s="26" t="s">
        <v>724</v>
      </c>
      <c r="H1662" s="26" t="b">
        <v>0</v>
      </c>
    </row>
    <row r="1663">
      <c r="A1663" s="26" t="s">
        <v>19</v>
      </c>
      <c r="B1663" s="27" t="s">
        <v>722</v>
      </c>
      <c r="C1663" s="26" t="s">
        <v>758</v>
      </c>
      <c r="D1663" s="28">
        <v>1.0</v>
      </c>
      <c r="E1663" s="29">
        <v>44076.541666666664</v>
      </c>
      <c r="F1663" s="27" t="s">
        <v>722</v>
      </c>
      <c r="G1663" s="26" t="s">
        <v>724</v>
      </c>
      <c r="H1663" s="26" t="b">
        <v>0</v>
      </c>
    </row>
    <row r="1664">
      <c r="A1664" s="26" t="s">
        <v>19</v>
      </c>
      <c r="B1664" s="27" t="s">
        <v>722</v>
      </c>
      <c r="C1664" s="26" t="s">
        <v>758</v>
      </c>
      <c r="D1664" s="28">
        <v>0.5</v>
      </c>
      <c r="E1664" s="29">
        <v>44077.541666666664</v>
      </c>
      <c r="F1664" s="27" t="s">
        <v>722</v>
      </c>
      <c r="G1664" s="26" t="s">
        <v>724</v>
      </c>
      <c r="H1664" s="26" t="b">
        <v>0</v>
      </c>
    </row>
    <row r="1665">
      <c r="A1665" s="26" t="s">
        <v>19</v>
      </c>
      <c r="B1665" s="27" t="s">
        <v>722</v>
      </c>
      <c r="C1665" s="26" t="s">
        <v>758</v>
      </c>
      <c r="D1665" s="28">
        <v>0.5</v>
      </c>
      <c r="E1665" s="29">
        <v>44078.541666666664</v>
      </c>
      <c r="F1665" s="27" t="s">
        <v>722</v>
      </c>
      <c r="G1665" s="26" t="s">
        <v>724</v>
      </c>
      <c r="H1665" s="26" t="b">
        <v>0</v>
      </c>
    </row>
    <row r="1666">
      <c r="A1666" s="26" t="s">
        <v>19</v>
      </c>
      <c r="B1666" s="27" t="s">
        <v>722</v>
      </c>
      <c r="C1666" s="26" t="s">
        <v>758</v>
      </c>
      <c r="D1666" s="28">
        <v>0.5</v>
      </c>
      <c r="E1666" s="29">
        <v>44082.708333333336</v>
      </c>
      <c r="F1666" s="27" t="s">
        <v>722</v>
      </c>
      <c r="G1666" s="26" t="s">
        <v>724</v>
      </c>
      <c r="H1666" s="26" t="b">
        <v>0</v>
      </c>
    </row>
    <row r="1667">
      <c r="A1667" s="26" t="s">
        <v>19</v>
      </c>
      <c r="B1667" s="27" t="s">
        <v>722</v>
      </c>
      <c r="C1667" s="26" t="s">
        <v>758</v>
      </c>
      <c r="D1667" s="28">
        <v>0.5</v>
      </c>
      <c r="E1667" s="29">
        <v>44083.666666666664</v>
      </c>
      <c r="F1667" s="27" t="s">
        <v>722</v>
      </c>
      <c r="G1667" s="26" t="s">
        <v>724</v>
      </c>
      <c r="H1667" s="26" t="b">
        <v>0</v>
      </c>
    </row>
    <row r="1668">
      <c r="A1668" s="26" t="s">
        <v>19</v>
      </c>
      <c r="B1668" s="27" t="s">
        <v>722</v>
      </c>
      <c r="C1668" s="26" t="s">
        <v>758</v>
      </c>
      <c r="D1668" s="28">
        <v>0.5</v>
      </c>
      <c r="E1668" s="29">
        <v>44084.708333333336</v>
      </c>
      <c r="F1668" s="27" t="s">
        <v>722</v>
      </c>
      <c r="G1668" s="26" t="s">
        <v>724</v>
      </c>
      <c r="H1668" s="26" t="b">
        <v>0</v>
      </c>
    </row>
    <row r="1669">
      <c r="A1669" s="26" t="s">
        <v>19</v>
      </c>
      <c r="B1669" s="27" t="s">
        <v>722</v>
      </c>
      <c r="C1669" s="26" t="s">
        <v>758</v>
      </c>
      <c r="D1669" s="28">
        <v>0.5</v>
      </c>
      <c r="E1669" s="29">
        <v>44085.541666666664</v>
      </c>
      <c r="F1669" s="27" t="s">
        <v>722</v>
      </c>
      <c r="G1669" s="26" t="s">
        <v>724</v>
      </c>
      <c r="H1669" s="26" t="b">
        <v>0</v>
      </c>
    </row>
    <row r="1670">
      <c r="A1670" s="26" t="s">
        <v>19</v>
      </c>
      <c r="B1670" s="27" t="s">
        <v>722</v>
      </c>
      <c r="C1670" s="26" t="s">
        <v>758</v>
      </c>
      <c r="D1670" s="28">
        <v>0.5</v>
      </c>
      <c r="E1670" s="29">
        <v>44088.541666666664</v>
      </c>
      <c r="F1670" s="27" t="s">
        <v>722</v>
      </c>
      <c r="G1670" s="26" t="s">
        <v>724</v>
      </c>
      <c r="H1670" s="26" t="b">
        <v>0</v>
      </c>
    </row>
    <row r="1671">
      <c r="A1671" s="26" t="s">
        <v>19</v>
      </c>
      <c r="B1671" s="27" t="s">
        <v>722</v>
      </c>
      <c r="C1671" s="26" t="s">
        <v>758</v>
      </c>
      <c r="D1671" s="28">
        <v>0.5</v>
      </c>
      <c r="E1671" s="29">
        <v>44089.666666666664</v>
      </c>
      <c r="F1671" s="27" t="s">
        <v>722</v>
      </c>
      <c r="G1671" s="26" t="s">
        <v>724</v>
      </c>
      <c r="H1671" s="26" t="b">
        <v>0</v>
      </c>
    </row>
    <row r="1672">
      <c r="A1672" s="26" t="s">
        <v>19</v>
      </c>
      <c r="B1672" s="27" t="s">
        <v>722</v>
      </c>
      <c r="C1672" s="26" t="s">
        <v>758</v>
      </c>
      <c r="D1672" s="28">
        <v>0.5</v>
      </c>
      <c r="E1672" s="29">
        <v>44090.541666666664</v>
      </c>
      <c r="F1672" s="27" t="s">
        <v>722</v>
      </c>
      <c r="G1672" s="26" t="s">
        <v>724</v>
      </c>
      <c r="H1672" s="26" t="b">
        <v>0</v>
      </c>
    </row>
    <row r="1673">
      <c r="A1673" s="26" t="s">
        <v>19</v>
      </c>
      <c r="B1673" s="27" t="s">
        <v>722</v>
      </c>
      <c r="C1673" s="26" t="s">
        <v>758</v>
      </c>
      <c r="D1673" s="28">
        <v>0.5</v>
      </c>
      <c r="E1673" s="29">
        <v>44091.666666666664</v>
      </c>
      <c r="F1673" s="27" t="s">
        <v>722</v>
      </c>
      <c r="G1673" s="26" t="s">
        <v>724</v>
      </c>
      <c r="H1673" s="26" t="b">
        <v>0</v>
      </c>
    </row>
    <row r="1674">
      <c r="A1674" s="26" t="s">
        <v>19</v>
      </c>
      <c r="B1674" s="27" t="s">
        <v>722</v>
      </c>
      <c r="C1674" s="26" t="s">
        <v>758</v>
      </c>
      <c r="D1674" s="28">
        <v>0.5</v>
      </c>
      <c r="E1674" s="29">
        <v>44092.541666666664</v>
      </c>
      <c r="F1674" s="27" t="s">
        <v>722</v>
      </c>
      <c r="G1674" s="26" t="s">
        <v>724</v>
      </c>
      <c r="H1674" s="26" t="b">
        <v>0</v>
      </c>
    </row>
    <row r="1675">
      <c r="A1675" s="26" t="s">
        <v>19</v>
      </c>
      <c r="B1675" s="27" t="s">
        <v>722</v>
      </c>
      <c r="C1675" s="26" t="s">
        <v>758</v>
      </c>
      <c r="D1675" s="28">
        <v>0.5</v>
      </c>
      <c r="E1675" s="29">
        <v>44097.541666666664</v>
      </c>
      <c r="F1675" s="27" t="s">
        <v>722</v>
      </c>
      <c r="G1675" s="26" t="s">
        <v>724</v>
      </c>
      <c r="H1675" s="26" t="b">
        <v>0</v>
      </c>
    </row>
    <row r="1676">
      <c r="A1676" s="26" t="s">
        <v>19</v>
      </c>
      <c r="B1676" s="27" t="s">
        <v>722</v>
      </c>
      <c r="C1676" s="26" t="s">
        <v>759</v>
      </c>
      <c r="D1676" s="28">
        <v>0.5</v>
      </c>
      <c r="E1676" s="29">
        <v>43951.395833333336</v>
      </c>
      <c r="F1676" s="27" t="s">
        <v>722</v>
      </c>
      <c r="G1676" s="26" t="s">
        <v>724</v>
      </c>
      <c r="H1676" s="26" t="b">
        <v>0</v>
      </c>
    </row>
    <row r="1677">
      <c r="A1677" s="26" t="s">
        <v>19</v>
      </c>
      <c r="B1677" s="27" t="s">
        <v>722</v>
      </c>
      <c r="C1677" s="26" t="s">
        <v>760</v>
      </c>
      <c r="D1677" s="28">
        <v>0.5</v>
      </c>
      <c r="E1677" s="29">
        <v>44062.46875</v>
      </c>
      <c r="F1677" s="27" t="s">
        <v>722</v>
      </c>
      <c r="G1677" s="26" t="s">
        <v>724</v>
      </c>
      <c r="H1677" s="26" t="b">
        <v>0</v>
      </c>
    </row>
    <row r="1678">
      <c r="A1678" s="26" t="s">
        <v>19</v>
      </c>
      <c r="B1678" s="27" t="s">
        <v>722</v>
      </c>
      <c r="C1678" s="26" t="s">
        <v>761</v>
      </c>
      <c r="D1678" s="28">
        <v>0.5</v>
      </c>
      <c r="E1678" s="29">
        <v>44025.541666666664</v>
      </c>
      <c r="F1678" s="27" t="s">
        <v>722</v>
      </c>
      <c r="G1678" s="26" t="s">
        <v>724</v>
      </c>
      <c r="H1678" s="26" t="b">
        <v>0</v>
      </c>
    </row>
    <row r="1679">
      <c r="A1679" s="26" t="s">
        <v>19</v>
      </c>
      <c r="B1679" s="27" t="s">
        <v>722</v>
      </c>
      <c r="C1679" s="26" t="s">
        <v>762</v>
      </c>
      <c r="D1679" s="28">
        <v>0.5</v>
      </c>
      <c r="E1679" s="29">
        <v>44127.5625</v>
      </c>
      <c r="F1679" s="27" t="s">
        <v>722</v>
      </c>
      <c r="G1679" s="26" t="s">
        <v>724</v>
      </c>
      <c r="H1679" s="26" t="b">
        <v>0</v>
      </c>
    </row>
    <row r="1680">
      <c r="A1680" s="26" t="s">
        <v>19</v>
      </c>
      <c r="B1680" s="27" t="s">
        <v>722</v>
      </c>
      <c r="C1680" s="26" t="s">
        <v>762</v>
      </c>
      <c r="D1680" s="28">
        <v>0.5</v>
      </c>
      <c r="E1680" s="29">
        <v>44140.5625</v>
      </c>
      <c r="F1680" s="27" t="s">
        <v>722</v>
      </c>
      <c r="G1680" s="26" t="s">
        <v>724</v>
      </c>
      <c r="H1680" s="26" t="b">
        <v>0</v>
      </c>
    </row>
    <row r="1681">
      <c r="A1681" s="26" t="s">
        <v>19</v>
      </c>
      <c r="B1681" s="27" t="s">
        <v>722</v>
      </c>
      <c r="C1681" s="26" t="s">
        <v>762</v>
      </c>
      <c r="D1681" s="28">
        <v>0.5</v>
      </c>
      <c r="E1681" s="29">
        <v>44148.5625</v>
      </c>
      <c r="F1681" s="27" t="s">
        <v>722</v>
      </c>
      <c r="G1681" s="26" t="s">
        <v>724</v>
      </c>
      <c r="H1681" s="26" t="b">
        <v>0</v>
      </c>
    </row>
    <row r="1682">
      <c r="A1682" s="26" t="s">
        <v>19</v>
      </c>
      <c r="B1682" s="27" t="s">
        <v>722</v>
      </c>
      <c r="C1682" s="26" t="s">
        <v>762</v>
      </c>
      <c r="D1682" s="28">
        <v>0.5</v>
      </c>
      <c r="E1682" s="29">
        <v>44155.604166666664</v>
      </c>
      <c r="F1682" s="27" t="s">
        <v>722</v>
      </c>
      <c r="G1682" s="26" t="s">
        <v>724</v>
      </c>
      <c r="H1682" s="26" t="b">
        <v>0</v>
      </c>
    </row>
    <row r="1683">
      <c r="A1683" s="26" t="s">
        <v>19</v>
      </c>
      <c r="B1683" s="27" t="s">
        <v>722</v>
      </c>
      <c r="C1683" s="26" t="s">
        <v>762</v>
      </c>
      <c r="D1683" s="28">
        <v>0.5</v>
      </c>
      <c r="E1683" s="29">
        <v>44162.5625</v>
      </c>
      <c r="F1683" s="27" t="s">
        <v>722</v>
      </c>
      <c r="G1683" s="26" t="s">
        <v>724</v>
      </c>
      <c r="H1683" s="26" t="b">
        <v>0</v>
      </c>
    </row>
    <row r="1684">
      <c r="A1684" s="26" t="s">
        <v>19</v>
      </c>
      <c r="B1684" s="27" t="s">
        <v>722</v>
      </c>
      <c r="C1684" s="26" t="s">
        <v>762</v>
      </c>
      <c r="D1684" s="28">
        <v>0.5</v>
      </c>
      <c r="E1684" s="29">
        <v>44162.572916666664</v>
      </c>
      <c r="F1684" s="27" t="s">
        <v>722</v>
      </c>
      <c r="G1684" s="26" t="s">
        <v>724</v>
      </c>
      <c r="H1684" s="26" t="b">
        <v>0</v>
      </c>
    </row>
    <row r="1685">
      <c r="A1685" s="26" t="s">
        <v>19</v>
      </c>
      <c r="B1685" s="27" t="s">
        <v>722</v>
      </c>
      <c r="C1685" s="26" t="s">
        <v>762</v>
      </c>
      <c r="D1685" s="28">
        <v>0.5</v>
      </c>
      <c r="E1685" s="29">
        <v>44169.5625</v>
      </c>
      <c r="F1685" s="27" t="s">
        <v>722</v>
      </c>
      <c r="G1685" s="26" t="s">
        <v>724</v>
      </c>
      <c r="H1685" s="26" t="b">
        <v>0</v>
      </c>
    </row>
  </sheetData>
  <autoFilter ref="$A$1:$H$1685">
    <filterColumn colId="6">
      <filters>
        <filter val="Mark Corrigan"/>
      </filters>
    </filterColumn>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2.29"/>
    <col customWidth="1" min="2" max="4" width="19.57"/>
    <col customWidth="1" min="5" max="5" width="91.71"/>
    <col customWidth="1" min="6" max="6" width="14.43"/>
  </cols>
  <sheetData>
    <row r="1">
      <c r="A1" s="39" t="s">
        <v>763</v>
      </c>
      <c r="B1" s="39" t="s">
        <v>764</v>
      </c>
      <c r="C1" s="39" t="s">
        <v>765</v>
      </c>
      <c r="D1" s="39" t="s">
        <v>766</v>
      </c>
      <c r="E1" s="39" t="s">
        <v>767</v>
      </c>
      <c r="F1" s="39" t="s">
        <v>768</v>
      </c>
    </row>
    <row r="2">
      <c r="A2" s="39" t="s">
        <v>757</v>
      </c>
      <c r="B2" s="39" t="b">
        <v>1</v>
      </c>
      <c r="C2" s="40">
        <v>43887.625</v>
      </c>
      <c r="D2" s="40">
        <v>43887.645833333336</v>
      </c>
      <c r="E2" s="39" t="s">
        <v>769</v>
      </c>
      <c r="F2" s="39">
        <v>0.5</v>
      </c>
    </row>
    <row r="3">
      <c r="A3" s="39" t="s">
        <v>749</v>
      </c>
      <c r="B3" s="39" t="b">
        <v>1</v>
      </c>
      <c r="C3" s="40">
        <v>43889.375</v>
      </c>
      <c r="D3" s="40">
        <v>43889.46875</v>
      </c>
      <c r="F3" s="39">
        <v>2.25</v>
      </c>
    </row>
    <row r="4">
      <c r="A4" s="39" t="s">
        <v>723</v>
      </c>
      <c r="B4" s="39" t="b">
        <v>1</v>
      </c>
      <c r="C4" s="40">
        <v>43903.375</v>
      </c>
      <c r="D4" s="40">
        <v>43903.458333333336</v>
      </c>
      <c r="F4" s="39">
        <v>2.0</v>
      </c>
    </row>
    <row r="5">
      <c r="A5" s="39" t="s">
        <v>756</v>
      </c>
      <c r="B5" s="39" t="b">
        <v>1</v>
      </c>
      <c r="C5" s="40">
        <v>43924.625</v>
      </c>
      <c r="D5" s="40">
        <v>43924.666666666664</v>
      </c>
      <c r="E5" s="39" t="s">
        <v>770</v>
      </c>
      <c r="F5" s="39">
        <v>1.0</v>
      </c>
    </row>
    <row r="6">
      <c r="A6" s="39" t="s">
        <v>744</v>
      </c>
      <c r="B6" s="39" t="b">
        <v>1</v>
      </c>
      <c r="C6" s="40">
        <v>43928.770833333336</v>
      </c>
      <c r="D6" s="40">
        <v>43928.833333333336</v>
      </c>
      <c r="F6" s="39">
        <v>1.5</v>
      </c>
    </row>
    <row r="7">
      <c r="A7" s="39" t="s">
        <v>740</v>
      </c>
      <c r="B7" s="39" t="b">
        <v>1</v>
      </c>
      <c r="C7" s="40">
        <v>43935.375</v>
      </c>
      <c r="D7" s="40">
        <v>43935.4375</v>
      </c>
      <c r="F7" s="39">
        <v>1.5</v>
      </c>
    </row>
    <row r="8">
      <c r="A8" s="39" t="s">
        <v>752</v>
      </c>
      <c r="B8" s="39" t="b">
        <v>1</v>
      </c>
      <c r="C8" s="40">
        <v>43935.489583333336</v>
      </c>
      <c r="D8" s="40">
        <v>43935.520833333336</v>
      </c>
      <c r="F8" s="39">
        <v>0.75</v>
      </c>
    </row>
    <row r="9">
      <c r="A9" s="39" t="s">
        <v>730</v>
      </c>
      <c r="B9" s="39" t="b">
        <v>1</v>
      </c>
      <c r="C9" s="40">
        <v>43936.364583333336</v>
      </c>
      <c r="D9" s="40">
        <v>43936.385416666664</v>
      </c>
      <c r="E9" s="39" t="s">
        <v>771</v>
      </c>
      <c r="F9" s="39">
        <v>0.5</v>
      </c>
    </row>
    <row r="10">
      <c r="A10" s="39" t="s">
        <v>738</v>
      </c>
      <c r="B10" s="39" t="b">
        <v>1</v>
      </c>
      <c r="C10" s="40">
        <v>43936.458333333336</v>
      </c>
      <c r="D10" s="40">
        <v>43936.479166666664</v>
      </c>
      <c r="F10" s="39">
        <v>0.5</v>
      </c>
    </row>
    <row r="11">
      <c r="A11" s="39" t="s">
        <v>741</v>
      </c>
      <c r="B11" s="39" t="b">
        <v>1</v>
      </c>
      <c r="C11" s="40">
        <v>43942.520833333336</v>
      </c>
      <c r="D11" s="40">
        <v>43942.5625</v>
      </c>
      <c r="F11" s="39">
        <v>1.0</v>
      </c>
    </row>
    <row r="12">
      <c r="A12" s="39" t="s">
        <v>759</v>
      </c>
      <c r="B12" s="39" t="b">
        <v>1</v>
      </c>
      <c r="C12" s="40">
        <v>43951.395833333336</v>
      </c>
      <c r="D12" s="40">
        <v>43951.416666666664</v>
      </c>
      <c r="F12" s="39">
        <v>0.5</v>
      </c>
    </row>
    <row r="13">
      <c r="A13" s="39" t="s">
        <v>730</v>
      </c>
      <c r="B13" s="39" t="b">
        <v>1</v>
      </c>
      <c r="C13" s="40">
        <v>43978.364583333336</v>
      </c>
      <c r="D13" s="40">
        <v>43978.385416666664</v>
      </c>
      <c r="E13" s="39" t="s">
        <v>771</v>
      </c>
      <c r="F13" s="39">
        <v>0.5</v>
      </c>
    </row>
    <row r="14">
      <c r="A14" s="39" t="s">
        <v>730</v>
      </c>
      <c r="B14" s="39" t="b">
        <v>1</v>
      </c>
      <c r="C14" s="40">
        <v>43979.364583333336</v>
      </c>
      <c r="D14" s="40">
        <v>43979.385416666664</v>
      </c>
      <c r="E14" s="39" t="s">
        <v>771</v>
      </c>
      <c r="F14" s="39">
        <v>0.5</v>
      </c>
    </row>
    <row r="15">
      <c r="A15" s="39" t="s">
        <v>733</v>
      </c>
      <c r="B15" s="39" t="b">
        <v>1</v>
      </c>
      <c r="C15" s="40">
        <v>43986.479166666664</v>
      </c>
      <c r="D15" s="40">
        <v>43986.5</v>
      </c>
      <c r="E15" s="39" t="s">
        <v>772</v>
      </c>
      <c r="F15" s="39">
        <v>0.5</v>
      </c>
    </row>
    <row r="16">
      <c r="A16" s="39" t="s">
        <v>730</v>
      </c>
      <c r="B16" s="39" t="b">
        <v>1</v>
      </c>
      <c r="C16" s="40">
        <v>43987.458333333336</v>
      </c>
      <c r="D16" s="40">
        <v>43987.479166666664</v>
      </c>
      <c r="E16" s="39" t="s">
        <v>771</v>
      </c>
      <c r="F16" s="39">
        <v>0.5</v>
      </c>
    </row>
    <row r="17">
      <c r="A17" s="39" t="s">
        <v>729</v>
      </c>
      <c r="B17" s="39" t="b">
        <v>1</v>
      </c>
      <c r="C17" s="40">
        <v>43998.5</v>
      </c>
      <c r="D17" s="40">
        <v>43998.520833333336</v>
      </c>
      <c r="E17" s="39" t="s">
        <v>773</v>
      </c>
      <c r="F17" s="39">
        <v>0.5</v>
      </c>
    </row>
    <row r="18">
      <c r="A18" s="39" t="s">
        <v>729</v>
      </c>
      <c r="B18" s="39" t="b">
        <v>1</v>
      </c>
      <c r="C18" s="40">
        <v>43998.541666666664</v>
      </c>
      <c r="D18" s="40">
        <v>43998.5625</v>
      </c>
      <c r="E18" s="39" t="s">
        <v>773</v>
      </c>
      <c r="F18" s="39">
        <v>0.5</v>
      </c>
    </row>
    <row r="19">
      <c r="A19" s="39" t="s">
        <v>739</v>
      </c>
      <c r="B19" s="39" t="b">
        <v>1</v>
      </c>
      <c r="C19" s="40">
        <v>44001.666666666664</v>
      </c>
      <c r="D19" s="40">
        <v>44001.697916666664</v>
      </c>
      <c r="E19" s="39" t="s">
        <v>770</v>
      </c>
      <c r="F19" s="39">
        <v>0.75</v>
      </c>
    </row>
    <row r="20">
      <c r="A20" s="39" t="s">
        <v>729</v>
      </c>
      <c r="B20" s="39" t="b">
        <v>1</v>
      </c>
      <c r="C20" s="40">
        <v>44005.520833333336</v>
      </c>
      <c r="D20" s="40">
        <v>44005.541666666664</v>
      </c>
      <c r="E20" s="39" t="s">
        <v>773</v>
      </c>
      <c r="F20" s="39">
        <v>0.5</v>
      </c>
    </row>
    <row r="21">
      <c r="A21" s="39" t="s">
        <v>731</v>
      </c>
      <c r="B21" s="39" t="b">
        <v>1</v>
      </c>
      <c r="C21" s="40">
        <v>44006.479166666664</v>
      </c>
      <c r="D21" s="40">
        <v>44006.5</v>
      </c>
      <c r="E21" s="39" t="s">
        <v>774</v>
      </c>
      <c r="F21" s="39">
        <v>0.5</v>
      </c>
    </row>
    <row r="22">
      <c r="A22" s="39" t="s">
        <v>729</v>
      </c>
      <c r="B22" s="39" t="b">
        <v>1</v>
      </c>
      <c r="C22" s="40">
        <v>44006.541666666664</v>
      </c>
      <c r="D22" s="40">
        <v>44006.604166666664</v>
      </c>
      <c r="E22" s="39" t="s">
        <v>773</v>
      </c>
      <c r="F22" s="39">
        <v>1.5</v>
      </c>
    </row>
    <row r="23">
      <c r="A23" s="39" t="s">
        <v>729</v>
      </c>
      <c r="B23" s="39" t="b">
        <v>1</v>
      </c>
      <c r="C23" s="40">
        <v>44011.5</v>
      </c>
      <c r="D23" s="40">
        <v>44011.520833333336</v>
      </c>
      <c r="E23" s="39" t="s">
        <v>775</v>
      </c>
      <c r="F23" s="39">
        <v>0.5</v>
      </c>
    </row>
    <row r="24">
      <c r="A24" s="39" t="s">
        <v>743</v>
      </c>
      <c r="B24" s="39" t="b">
        <v>1</v>
      </c>
      <c r="C24" s="40">
        <v>44011.708333333336</v>
      </c>
      <c r="D24" s="40">
        <v>44011.729166666664</v>
      </c>
      <c r="E24" s="39" t="s">
        <v>776</v>
      </c>
      <c r="F24" s="39">
        <v>0.5</v>
      </c>
    </row>
    <row r="25">
      <c r="A25" s="39" t="s">
        <v>729</v>
      </c>
      <c r="B25" s="39" t="b">
        <v>1</v>
      </c>
      <c r="C25" s="40">
        <v>44012.5</v>
      </c>
      <c r="D25" s="40">
        <v>44012.520833333336</v>
      </c>
      <c r="E25" s="39" t="s">
        <v>777</v>
      </c>
      <c r="F25" s="39">
        <v>0.5</v>
      </c>
    </row>
    <row r="26">
      <c r="A26" s="39" t="s">
        <v>730</v>
      </c>
      <c r="B26" s="39" t="b">
        <v>1</v>
      </c>
      <c r="C26" s="40">
        <v>44014.364583333336</v>
      </c>
      <c r="D26" s="40">
        <v>44014.385416666664</v>
      </c>
      <c r="E26" s="39" t="s">
        <v>771</v>
      </c>
      <c r="F26" s="39">
        <v>0.5</v>
      </c>
    </row>
    <row r="27">
      <c r="A27" s="39" t="s">
        <v>729</v>
      </c>
      <c r="B27" s="39" t="b">
        <v>1</v>
      </c>
      <c r="C27" s="40">
        <v>44014.5</v>
      </c>
      <c r="D27" s="40">
        <v>44014.520833333336</v>
      </c>
      <c r="E27" s="39" t="s">
        <v>777</v>
      </c>
      <c r="F27" s="39">
        <v>0.5</v>
      </c>
    </row>
    <row r="28">
      <c r="A28" s="39" t="s">
        <v>729</v>
      </c>
      <c r="B28" s="39" t="b">
        <v>1</v>
      </c>
      <c r="C28" s="40">
        <v>44014.5</v>
      </c>
      <c r="D28" s="40">
        <v>44014.520833333336</v>
      </c>
      <c r="E28" s="39" t="s">
        <v>777</v>
      </c>
      <c r="F28" s="39">
        <v>0.5</v>
      </c>
    </row>
    <row r="29">
      <c r="A29" s="39" t="s">
        <v>729</v>
      </c>
      <c r="B29" s="39" t="b">
        <v>1</v>
      </c>
      <c r="C29" s="40">
        <v>44015.5</v>
      </c>
      <c r="D29" s="40">
        <v>44015.520833333336</v>
      </c>
      <c r="E29" s="39" t="s">
        <v>777</v>
      </c>
      <c r="F29" s="39">
        <v>0.5</v>
      </c>
    </row>
    <row r="30">
      <c r="A30" s="39" t="s">
        <v>729</v>
      </c>
      <c r="B30" s="39" t="b">
        <v>1</v>
      </c>
      <c r="C30" s="40">
        <v>44018.625</v>
      </c>
      <c r="D30" s="40">
        <v>44018.645833333336</v>
      </c>
      <c r="E30" s="39" t="s">
        <v>775</v>
      </c>
      <c r="F30" s="39">
        <v>0.5</v>
      </c>
    </row>
    <row r="31">
      <c r="A31" s="39" t="s">
        <v>725</v>
      </c>
      <c r="B31" s="39" t="b">
        <v>1</v>
      </c>
      <c r="C31" s="40">
        <v>44019.520833333336</v>
      </c>
      <c r="D31" s="40">
        <v>44019.5625</v>
      </c>
      <c r="F31" s="39">
        <v>1.0</v>
      </c>
    </row>
    <row r="32">
      <c r="A32" s="39" t="s">
        <v>728</v>
      </c>
      <c r="B32" s="39" t="b">
        <v>1</v>
      </c>
      <c r="C32" s="40">
        <v>44020.6875</v>
      </c>
      <c r="D32" s="40">
        <v>44020.708333333336</v>
      </c>
      <c r="E32" s="39" t="s">
        <v>778</v>
      </c>
      <c r="F32" s="39">
        <v>0.5</v>
      </c>
    </row>
    <row r="33">
      <c r="A33" s="39" t="s">
        <v>734</v>
      </c>
      <c r="B33" s="39" t="b">
        <v>1</v>
      </c>
      <c r="C33" s="40">
        <v>44021.479166666664</v>
      </c>
      <c r="D33" s="40">
        <v>44021.5</v>
      </c>
      <c r="E33" s="39" t="s">
        <v>779</v>
      </c>
      <c r="F33" s="39">
        <v>0.5</v>
      </c>
    </row>
    <row r="34">
      <c r="A34" s="39" t="s">
        <v>728</v>
      </c>
      <c r="B34" s="39" t="b">
        <v>1</v>
      </c>
      <c r="C34" s="40">
        <v>44021.666666666664</v>
      </c>
      <c r="D34" s="40">
        <v>44021.6875</v>
      </c>
      <c r="E34" s="39" t="s">
        <v>778</v>
      </c>
      <c r="F34" s="39">
        <v>0.5</v>
      </c>
    </row>
    <row r="35">
      <c r="A35" s="39" t="s">
        <v>728</v>
      </c>
      <c r="B35" s="39" t="b">
        <v>1</v>
      </c>
      <c r="C35" s="40">
        <v>44022.6875</v>
      </c>
      <c r="D35" s="40">
        <v>44022.708333333336</v>
      </c>
      <c r="E35" s="39" t="s">
        <v>778</v>
      </c>
      <c r="F35" s="39">
        <v>0.5</v>
      </c>
    </row>
    <row r="36">
      <c r="A36" s="39" t="s">
        <v>761</v>
      </c>
      <c r="B36" s="39" t="b">
        <v>1</v>
      </c>
      <c r="C36" s="40">
        <v>44025.541666666664</v>
      </c>
      <c r="D36" s="40">
        <v>44025.5625</v>
      </c>
      <c r="E36" s="39" t="s">
        <v>780</v>
      </c>
      <c r="F36" s="39">
        <v>0.5</v>
      </c>
    </row>
    <row r="37">
      <c r="A37" s="39" t="s">
        <v>728</v>
      </c>
      <c r="B37" s="39" t="b">
        <v>1</v>
      </c>
      <c r="C37" s="40">
        <v>44025.6875</v>
      </c>
      <c r="D37" s="40">
        <v>44025.708333333336</v>
      </c>
      <c r="E37" s="39" t="s">
        <v>778</v>
      </c>
      <c r="F37" s="39">
        <v>0.5</v>
      </c>
    </row>
    <row r="38">
      <c r="A38" s="39" t="s">
        <v>728</v>
      </c>
      <c r="B38" s="39" t="b">
        <v>1</v>
      </c>
      <c r="C38" s="40">
        <v>44027.645833333336</v>
      </c>
      <c r="D38" s="40">
        <v>44027.677083333336</v>
      </c>
      <c r="E38" s="39" t="s">
        <v>778</v>
      </c>
      <c r="F38" s="39">
        <v>0.75</v>
      </c>
    </row>
    <row r="39">
      <c r="A39" s="39" t="s">
        <v>728</v>
      </c>
      <c r="B39" s="39" t="b">
        <v>1</v>
      </c>
      <c r="C39" s="40">
        <v>44028.666666666664</v>
      </c>
      <c r="D39" s="40">
        <v>44028.697916666664</v>
      </c>
      <c r="E39" s="39" t="s">
        <v>778</v>
      </c>
      <c r="F39" s="39">
        <v>0.75</v>
      </c>
    </row>
    <row r="40">
      <c r="A40" s="39" t="s">
        <v>730</v>
      </c>
      <c r="B40" s="39" t="b">
        <v>1</v>
      </c>
      <c r="C40" s="40">
        <v>44029.333333333336</v>
      </c>
      <c r="D40" s="40">
        <v>44029.354166666664</v>
      </c>
      <c r="E40" s="39" t="s">
        <v>781</v>
      </c>
      <c r="F40" s="39">
        <v>0.5</v>
      </c>
    </row>
    <row r="41">
      <c r="A41" s="39" t="s">
        <v>747</v>
      </c>
      <c r="B41" s="39" t="b">
        <v>1</v>
      </c>
      <c r="C41" s="40">
        <v>44029.520833333336</v>
      </c>
      <c r="D41" s="40">
        <v>44029.552083333336</v>
      </c>
      <c r="E41" s="39" t="s">
        <v>782</v>
      </c>
      <c r="F41" s="39">
        <v>0.75</v>
      </c>
    </row>
    <row r="42">
      <c r="A42" s="39" t="s">
        <v>728</v>
      </c>
      <c r="B42" s="39" t="b">
        <v>1</v>
      </c>
      <c r="C42" s="40">
        <v>44032.645833333336</v>
      </c>
      <c r="D42" s="40">
        <v>44032.677083333336</v>
      </c>
      <c r="E42" s="39" t="s">
        <v>778</v>
      </c>
      <c r="F42" s="39">
        <v>0.75</v>
      </c>
    </row>
    <row r="43">
      <c r="A43" s="39" t="s">
        <v>728</v>
      </c>
      <c r="B43" s="39" t="b">
        <v>1</v>
      </c>
      <c r="C43" s="40">
        <v>44032.645833333336</v>
      </c>
      <c r="D43" s="40">
        <v>44032.677083333336</v>
      </c>
      <c r="E43" s="39" t="s">
        <v>778</v>
      </c>
      <c r="F43" s="39">
        <v>0.75</v>
      </c>
    </row>
    <row r="44">
      <c r="A44" s="39" t="s">
        <v>728</v>
      </c>
      <c r="B44" s="39" t="b">
        <v>1</v>
      </c>
      <c r="C44" s="40">
        <v>44033.645833333336</v>
      </c>
      <c r="D44" s="40">
        <v>44033.677083333336</v>
      </c>
      <c r="E44" s="39" t="s">
        <v>778</v>
      </c>
      <c r="F44" s="39">
        <v>0.75</v>
      </c>
    </row>
    <row r="45">
      <c r="A45" s="39" t="s">
        <v>730</v>
      </c>
      <c r="B45" s="39" t="b">
        <v>1</v>
      </c>
      <c r="C45" s="40">
        <v>44034.375</v>
      </c>
      <c r="D45" s="40">
        <v>44034.395833333336</v>
      </c>
      <c r="E45" s="39" t="s">
        <v>771</v>
      </c>
      <c r="F45" s="39">
        <v>0.5</v>
      </c>
    </row>
    <row r="46">
      <c r="A46" s="39" t="s">
        <v>728</v>
      </c>
      <c r="B46" s="39" t="b">
        <v>1</v>
      </c>
      <c r="C46" s="40">
        <v>44034.520833333336</v>
      </c>
      <c r="D46" s="40">
        <v>44034.541666666664</v>
      </c>
      <c r="E46" s="39" t="s">
        <v>778</v>
      </c>
      <c r="F46" s="39">
        <v>0.5</v>
      </c>
    </row>
    <row r="47">
      <c r="A47" s="39" t="s">
        <v>734</v>
      </c>
      <c r="B47" s="39" t="b">
        <v>1</v>
      </c>
      <c r="C47" s="40">
        <v>44034.541666666664</v>
      </c>
      <c r="D47" s="40">
        <v>44034.5625</v>
      </c>
      <c r="E47" s="39" t="s">
        <v>779</v>
      </c>
      <c r="F47" s="39">
        <v>0.5</v>
      </c>
    </row>
    <row r="48">
      <c r="A48" s="39" t="s">
        <v>751</v>
      </c>
      <c r="B48" s="39" t="b">
        <v>1</v>
      </c>
      <c r="C48" s="40">
        <v>44035.625</v>
      </c>
      <c r="D48" s="40">
        <v>44035.645833333336</v>
      </c>
      <c r="F48" s="39">
        <v>0.5</v>
      </c>
    </row>
    <row r="49">
      <c r="A49" s="39" t="s">
        <v>728</v>
      </c>
      <c r="B49" s="39" t="b">
        <v>1</v>
      </c>
      <c r="C49" s="40">
        <v>44035.645833333336</v>
      </c>
      <c r="D49" s="40">
        <v>44035.697916666664</v>
      </c>
      <c r="E49" s="39" t="s">
        <v>783</v>
      </c>
      <c r="F49" s="39">
        <v>1.25</v>
      </c>
    </row>
    <row r="50">
      <c r="A50" s="39" t="s">
        <v>730</v>
      </c>
      <c r="B50" s="39" t="b">
        <v>1</v>
      </c>
      <c r="C50" s="40">
        <v>44036.364583333336</v>
      </c>
      <c r="D50" s="40">
        <v>44036.385416666664</v>
      </c>
      <c r="E50" s="39" t="s">
        <v>771</v>
      </c>
      <c r="F50" s="39">
        <v>0.5</v>
      </c>
    </row>
    <row r="51">
      <c r="A51" s="39" t="s">
        <v>728</v>
      </c>
      <c r="B51" s="39" t="b">
        <v>1</v>
      </c>
      <c r="C51" s="40">
        <v>44039.697916666664</v>
      </c>
      <c r="D51" s="40">
        <v>44039.739583333336</v>
      </c>
      <c r="E51" s="39" t="s">
        <v>778</v>
      </c>
      <c r="F51" s="39">
        <v>1.0</v>
      </c>
    </row>
    <row r="52">
      <c r="A52" s="39" t="s">
        <v>728</v>
      </c>
      <c r="B52" s="39" t="b">
        <v>1</v>
      </c>
      <c r="C52" s="40">
        <v>44040.645833333336</v>
      </c>
      <c r="D52" s="40">
        <v>44040.697916666664</v>
      </c>
      <c r="E52" s="39" t="s">
        <v>778</v>
      </c>
      <c r="F52" s="39">
        <v>1.25</v>
      </c>
    </row>
    <row r="53">
      <c r="A53" s="39" t="s">
        <v>728</v>
      </c>
      <c r="B53" s="39" t="b">
        <v>1</v>
      </c>
      <c r="C53" s="40">
        <v>44042.572916666664</v>
      </c>
      <c r="D53" s="40">
        <v>44042.604166666664</v>
      </c>
      <c r="E53" s="39" t="s">
        <v>778</v>
      </c>
      <c r="F53" s="39">
        <v>0.75</v>
      </c>
    </row>
    <row r="54">
      <c r="A54" s="39" t="s">
        <v>735</v>
      </c>
      <c r="B54" s="39" t="b">
        <v>1</v>
      </c>
      <c r="C54" s="40">
        <v>44047.364583333336</v>
      </c>
      <c r="D54" s="40">
        <v>44047.385416666664</v>
      </c>
      <c r="E54" s="39" t="s">
        <v>771</v>
      </c>
      <c r="F54" s="39">
        <v>0.5</v>
      </c>
    </row>
    <row r="55">
      <c r="A55" s="39" t="s">
        <v>735</v>
      </c>
      <c r="B55" s="39" t="b">
        <v>1</v>
      </c>
      <c r="C55" s="40">
        <v>44047.375</v>
      </c>
      <c r="D55" s="40">
        <v>44047.395833333336</v>
      </c>
      <c r="E55" s="39" t="s">
        <v>771</v>
      </c>
      <c r="F55" s="39">
        <v>0.5</v>
      </c>
    </row>
    <row r="56">
      <c r="A56" s="39" t="s">
        <v>728</v>
      </c>
      <c r="B56" s="39" t="b">
        <v>1</v>
      </c>
      <c r="C56" s="40">
        <v>44047.666666666664</v>
      </c>
      <c r="D56" s="40">
        <v>44047.697916666664</v>
      </c>
      <c r="E56" s="39" t="s">
        <v>778</v>
      </c>
      <c r="F56" s="39">
        <v>0.75</v>
      </c>
    </row>
    <row r="57">
      <c r="A57" s="39" t="s">
        <v>728</v>
      </c>
      <c r="B57" s="39" t="b">
        <v>1</v>
      </c>
      <c r="C57" s="40">
        <v>44048.552083333336</v>
      </c>
      <c r="D57" s="40">
        <v>44048.583333333336</v>
      </c>
      <c r="E57" s="39" t="s">
        <v>778</v>
      </c>
      <c r="F57" s="39">
        <v>0.75</v>
      </c>
    </row>
    <row r="58">
      <c r="A58" s="39" t="s">
        <v>734</v>
      </c>
      <c r="B58" s="39" t="b">
        <v>1</v>
      </c>
      <c r="C58" s="40">
        <v>44049.479166666664</v>
      </c>
      <c r="D58" s="40">
        <v>44049.5</v>
      </c>
      <c r="E58" s="39" t="s">
        <v>784</v>
      </c>
      <c r="F58" s="39">
        <v>0.5</v>
      </c>
    </row>
    <row r="59">
      <c r="A59" s="39" t="s">
        <v>758</v>
      </c>
      <c r="B59" s="39" t="b">
        <v>1</v>
      </c>
      <c r="C59" s="40">
        <v>44049.541666666664</v>
      </c>
      <c r="D59" s="40">
        <v>44049.5625</v>
      </c>
      <c r="E59" s="39" t="s">
        <v>785</v>
      </c>
      <c r="F59" s="39">
        <v>0.5</v>
      </c>
    </row>
    <row r="60">
      <c r="A60" s="39" t="s">
        <v>758</v>
      </c>
      <c r="B60" s="39" t="b">
        <v>1</v>
      </c>
      <c r="C60" s="40">
        <v>44053.541666666664</v>
      </c>
      <c r="D60" s="40">
        <v>44053.5625</v>
      </c>
      <c r="E60" s="39" t="s">
        <v>785</v>
      </c>
      <c r="F60" s="39">
        <v>0.5</v>
      </c>
    </row>
    <row r="61">
      <c r="A61" s="39" t="s">
        <v>758</v>
      </c>
      <c r="B61" s="39" t="b">
        <v>1</v>
      </c>
      <c r="C61" s="40">
        <v>44054.5625</v>
      </c>
      <c r="D61" s="40">
        <v>44054.583333333336</v>
      </c>
      <c r="E61" s="39" t="s">
        <v>785</v>
      </c>
      <c r="F61" s="39">
        <v>0.5</v>
      </c>
    </row>
    <row r="62">
      <c r="A62" s="39" t="s">
        <v>726</v>
      </c>
      <c r="B62" s="39" t="b">
        <v>1</v>
      </c>
      <c r="C62" s="40">
        <v>44057.395833333336</v>
      </c>
      <c r="D62" s="40">
        <v>44057.5</v>
      </c>
      <c r="F62" s="39">
        <v>2.5</v>
      </c>
    </row>
    <row r="63">
      <c r="A63" s="39" t="s">
        <v>758</v>
      </c>
      <c r="B63" s="39" t="b">
        <v>1</v>
      </c>
      <c r="C63" s="40">
        <v>44057.666666666664</v>
      </c>
      <c r="D63" s="40">
        <v>44057.6875</v>
      </c>
      <c r="E63" s="39" t="s">
        <v>785</v>
      </c>
      <c r="F63" s="39">
        <v>0.5</v>
      </c>
    </row>
    <row r="64">
      <c r="A64" s="39" t="s">
        <v>735</v>
      </c>
      <c r="B64" s="39" t="b">
        <v>1</v>
      </c>
      <c r="C64" s="40">
        <v>44060.364583333336</v>
      </c>
      <c r="D64" s="40">
        <v>44060.385416666664</v>
      </c>
      <c r="E64" s="39" t="s">
        <v>786</v>
      </c>
      <c r="F64" s="39">
        <v>0.5</v>
      </c>
    </row>
    <row r="65">
      <c r="A65" s="39" t="s">
        <v>758</v>
      </c>
      <c r="B65" s="39" t="b">
        <v>1</v>
      </c>
      <c r="C65" s="40">
        <v>44060.541666666664</v>
      </c>
      <c r="D65" s="40">
        <v>44060.583333333336</v>
      </c>
      <c r="E65" s="39" t="s">
        <v>785</v>
      </c>
      <c r="F65" s="39">
        <v>1.0</v>
      </c>
    </row>
    <row r="66">
      <c r="A66" s="39" t="s">
        <v>727</v>
      </c>
      <c r="B66" s="39" t="b">
        <v>1</v>
      </c>
      <c r="C66" s="40">
        <v>44060.666666666664</v>
      </c>
      <c r="D66" s="40">
        <v>44060.708333333336</v>
      </c>
      <c r="E66" s="39" t="s">
        <v>787</v>
      </c>
      <c r="F66" s="39">
        <v>1.0</v>
      </c>
    </row>
    <row r="67">
      <c r="A67" s="39" t="s">
        <v>758</v>
      </c>
      <c r="B67" s="39" t="b">
        <v>1</v>
      </c>
      <c r="C67" s="40">
        <v>44061.5625</v>
      </c>
      <c r="D67" s="40">
        <v>44061.583333333336</v>
      </c>
      <c r="E67" s="39" t="s">
        <v>785</v>
      </c>
      <c r="F67" s="39">
        <v>0.5</v>
      </c>
    </row>
    <row r="68">
      <c r="A68" s="39" t="s">
        <v>760</v>
      </c>
      <c r="B68" s="39" t="b">
        <v>1</v>
      </c>
      <c r="C68" s="40">
        <v>44062.46875</v>
      </c>
      <c r="D68" s="40">
        <v>44062.489583333336</v>
      </c>
      <c r="E68" s="39" t="s">
        <v>776</v>
      </c>
      <c r="F68" s="39">
        <v>0.5</v>
      </c>
    </row>
    <row r="69">
      <c r="A69" s="39" t="s">
        <v>758</v>
      </c>
      <c r="B69" s="39" t="b">
        <v>1</v>
      </c>
      <c r="C69" s="40">
        <v>44062.5625</v>
      </c>
      <c r="D69" s="40">
        <v>44062.583333333336</v>
      </c>
      <c r="E69" s="39" t="s">
        <v>785</v>
      </c>
      <c r="F69" s="39">
        <v>0.5</v>
      </c>
    </row>
    <row r="70">
      <c r="A70" s="39" t="s">
        <v>734</v>
      </c>
      <c r="B70" s="39" t="b">
        <v>1</v>
      </c>
      <c r="C70" s="40">
        <v>44063.479166666664</v>
      </c>
      <c r="D70" s="40">
        <v>44063.5</v>
      </c>
      <c r="E70" s="39" t="s">
        <v>788</v>
      </c>
      <c r="F70" s="39">
        <v>0.5</v>
      </c>
    </row>
    <row r="71">
      <c r="A71" s="39" t="s">
        <v>789</v>
      </c>
      <c r="B71" s="39" t="b">
        <v>1</v>
      </c>
      <c r="C71" s="40">
        <v>44063.583333333336</v>
      </c>
      <c r="D71" s="40">
        <v>44063.625</v>
      </c>
      <c r="E71" s="39" t="s">
        <v>724</v>
      </c>
      <c r="F71" s="39">
        <v>1.0</v>
      </c>
    </row>
    <row r="72">
      <c r="A72" s="39" t="s">
        <v>758</v>
      </c>
      <c r="B72" s="39" t="b">
        <v>1</v>
      </c>
      <c r="C72" s="40">
        <v>44063.645833333336</v>
      </c>
      <c r="D72" s="40">
        <v>44063.666666666664</v>
      </c>
      <c r="E72" s="39" t="s">
        <v>785</v>
      </c>
      <c r="F72" s="39">
        <v>0.5</v>
      </c>
    </row>
    <row r="73">
      <c r="A73" s="39" t="s">
        <v>758</v>
      </c>
      <c r="B73" s="39" t="b">
        <v>1</v>
      </c>
      <c r="C73" s="40">
        <v>44064.697916666664</v>
      </c>
      <c r="D73" s="40">
        <v>44064.71875</v>
      </c>
      <c r="E73" s="39" t="s">
        <v>785</v>
      </c>
      <c r="F73" s="39">
        <v>0.5</v>
      </c>
    </row>
    <row r="74">
      <c r="A74" s="39" t="s">
        <v>735</v>
      </c>
      <c r="B74" s="39" t="b">
        <v>1</v>
      </c>
      <c r="C74" s="40">
        <v>44071.364583333336</v>
      </c>
      <c r="D74" s="40">
        <v>44071.385416666664</v>
      </c>
      <c r="E74" s="39" t="s">
        <v>786</v>
      </c>
      <c r="F74" s="39">
        <v>0.5</v>
      </c>
    </row>
    <row r="75">
      <c r="A75" s="39" t="s">
        <v>758</v>
      </c>
      <c r="B75" s="39" t="b">
        <v>1</v>
      </c>
      <c r="C75" s="40">
        <v>44071.541666666664</v>
      </c>
      <c r="D75" s="40">
        <v>44071.5625</v>
      </c>
      <c r="E75" s="39" t="s">
        <v>785</v>
      </c>
      <c r="F75" s="39">
        <v>0.5</v>
      </c>
    </row>
    <row r="76">
      <c r="A76" s="39" t="s">
        <v>758</v>
      </c>
      <c r="B76" s="39" t="b">
        <v>1</v>
      </c>
      <c r="C76" s="40">
        <v>44075.520833333336</v>
      </c>
      <c r="D76" s="40">
        <v>44075.541666666664</v>
      </c>
      <c r="E76" s="39" t="s">
        <v>785</v>
      </c>
      <c r="F76" s="39">
        <v>0.5</v>
      </c>
    </row>
    <row r="77">
      <c r="A77" s="39" t="s">
        <v>790</v>
      </c>
      <c r="B77" s="39" t="b">
        <v>1</v>
      </c>
      <c r="C77" s="40">
        <v>44075.635416666664</v>
      </c>
      <c r="D77" s="40">
        <v>44075.666666666664</v>
      </c>
      <c r="E77" s="39" t="s">
        <v>791</v>
      </c>
      <c r="F77" s="39">
        <v>0.75</v>
      </c>
    </row>
    <row r="78">
      <c r="A78" s="39" t="s">
        <v>758</v>
      </c>
      <c r="B78" s="39" t="b">
        <v>1</v>
      </c>
      <c r="C78" s="40">
        <v>44076.541666666664</v>
      </c>
      <c r="D78" s="40">
        <v>44076.583333333336</v>
      </c>
      <c r="E78" s="39" t="s">
        <v>785</v>
      </c>
      <c r="F78" s="39">
        <v>1.0</v>
      </c>
    </row>
    <row r="79">
      <c r="A79" s="39" t="s">
        <v>758</v>
      </c>
      <c r="B79" s="39" t="b">
        <v>1</v>
      </c>
      <c r="C79" s="40">
        <v>44077.541666666664</v>
      </c>
      <c r="D79" s="40">
        <v>44077.5625</v>
      </c>
      <c r="E79" s="39" t="s">
        <v>785</v>
      </c>
      <c r="F79" s="39">
        <v>0.5</v>
      </c>
    </row>
    <row r="80">
      <c r="A80" s="39" t="s">
        <v>735</v>
      </c>
      <c r="B80" s="39" t="b">
        <v>1</v>
      </c>
      <c r="C80" s="40">
        <v>44078.364583333336</v>
      </c>
      <c r="D80" s="40">
        <v>44078.385416666664</v>
      </c>
      <c r="E80" s="39" t="s">
        <v>786</v>
      </c>
      <c r="F80" s="39">
        <v>0.5</v>
      </c>
    </row>
    <row r="81">
      <c r="A81" s="39" t="s">
        <v>735</v>
      </c>
      <c r="B81" s="39" t="b">
        <v>1</v>
      </c>
      <c r="C81" s="40">
        <v>44078.364583333336</v>
      </c>
      <c r="D81" s="40">
        <v>44078.385416666664</v>
      </c>
      <c r="E81" s="39" t="s">
        <v>786</v>
      </c>
      <c r="F81" s="39">
        <v>0.5</v>
      </c>
    </row>
    <row r="82">
      <c r="A82" s="39" t="s">
        <v>758</v>
      </c>
      <c r="B82" s="39" t="b">
        <v>1</v>
      </c>
      <c r="C82" s="40">
        <v>44078.541666666664</v>
      </c>
      <c r="D82" s="40">
        <v>44078.5625</v>
      </c>
      <c r="E82" s="39" t="s">
        <v>785</v>
      </c>
      <c r="F82" s="39">
        <v>0.5</v>
      </c>
    </row>
    <row r="83">
      <c r="A83" s="39" t="s">
        <v>735</v>
      </c>
      <c r="B83" s="39" t="b">
        <v>1</v>
      </c>
      <c r="C83" s="40">
        <v>44082.364583333336</v>
      </c>
      <c r="D83" s="40">
        <v>44082.385416666664</v>
      </c>
      <c r="E83" s="39" t="s">
        <v>792</v>
      </c>
      <c r="F83" s="39">
        <v>0.5</v>
      </c>
    </row>
    <row r="84">
      <c r="A84" s="39" t="s">
        <v>735</v>
      </c>
      <c r="B84" s="39" t="b">
        <v>1</v>
      </c>
      <c r="C84" s="40">
        <v>44082.364583333336</v>
      </c>
      <c r="D84" s="40">
        <v>44082.385416666664</v>
      </c>
      <c r="E84" s="39" t="s">
        <v>792</v>
      </c>
      <c r="F84" s="39">
        <v>0.5</v>
      </c>
    </row>
    <row r="85">
      <c r="A85" s="39" t="s">
        <v>758</v>
      </c>
      <c r="B85" s="39" t="b">
        <v>1</v>
      </c>
      <c r="C85" s="40">
        <v>44082.708333333336</v>
      </c>
      <c r="D85" s="40">
        <v>44082.729166666664</v>
      </c>
      <c r="E85" s="39" t="s">
        <v>785</v>
      </c>
      <c r="F85" s="39">
        <v>0.5</v>
      </c>
    </row>
    <row r="86">
      <c r="A86" s="39" t="s">
        <v>735</v>
      </c>
      <c r="B86" s="39" t="b">
        <v>1</v>
      </c>
      <c r="C86" s="40">
        <v>44083.364583333336</v>
      </c>
      <c r="D86" s="40">
        <v>44083.385416666664</v>
      </c>
      <c r="E86" s="39" t="s">
        <v>792</v>
      </c>
      <c r="F86" s="39">
        <v>0.5</v>
      </c>
    </row>
    <row r="87">
      <c r="A87" s="39" t="s">
        <v>735</v>
      </c>
      <c r="B87" s="39" t="b">
        <v>1</v>
      </c>
      <c r="C87" s="40">
        <v>44083.364583333336</v>
      </c>
      <c r="D87" s="40">
        <v>44083.385416666664</v>
      </c>
      <c r="E87" s="39" t="s">
        <v>792</v>
      </c>
      <c r="F87" s="39">
        <v>0.5</v>
      </c>
    </row>
    <row r="88">
      <c r="A88" s="39" t="s">
        <v>758</v>
      </c>
      <c r="B88" s="39" t="b">
        <v>1</v>
      </c>
      <c r="C88" s="40">
        <v>44083.666666666664</v>
      </c>
      <c r="D88" s="40">
        <v>44083.6875</v>
      </c>
      <c r="E88" s="39" t="s">
        <v>785</v>
      </c>
      <c r="F88" s="39">
        <v>0.5</v>
      </c>
    </row>
    <row r="89">
      <c r="A89" s="39" t="s">
        <v>735</v>
      </c>
      <c r="B89" s="39" t="b">
        <v>1</v>
      </c>
      <c r="C89" s="40">
        <v>44084.364583333336</v>
      </c>
      <c r="D89" s="40">
        <v>44084.385416666664</v>
      </c>
      <c r="E89" s="39" t="s">
        <v>792</v>
      </c>
      <c r="F89" s="39">
        <v>0.5</v>
      </c>
    </row>
    <row r="90">
      <c r="A90" s="39" t="s">
        <v>758</v>
      </c>
      <c r="B90" s="39" t="b">
        <v>1</v>
      </c>
      <c r="C90" s="40">
        <v>44084.708333333336</v>
      </c>
      <c r="D90" s="40">
        <v>44084.729166666664</v>
      </c>
      <c r="E90" s="39" t="s">
        <v>785</v>
      </c>
      <c r="F90" s="39">
        <v>0.5</v>
      </c>
    </row>
    <row r="91">
      <c r="A91" s="39" t="s">
        <v>735</v>
      </c>
      <c r="B91" s="39" t="b">
        <v>1</v>
      </c>
      <c r="C91" s="40">
        <v>44085.375</v>
      </c>
      <c r="D91" s="40">
        <v>44085.395833333336</v>
      </c>
      <c r="E91" s="39" t="s">
        <v>792</v>
      </c>
      <c r="F91" s="39">
        <v>0.5</v>
      </c>
    </row>
    <row r="92">
      <c r="A92" s="39" t="s">
        <v>754</v>
      </c>
      <c r="B92" s="39" t="b">
        <v>1</v>
      </c>
      <c r="C92" s="40">
        <v>44085.427083333336</v>
      </c>
      <c r="D92" s="40">
        <v>44085.458333333336</v>
      </c>
      <c r="E92" s="39" t="s">
        <v>793</v>
      </c>
      <c r="F92" s="39">
        <v>0.75</v>
      </c>
    </row>
    <row r="93">
      <c r="A93" s="39" t="s">
        <v>758</v>
      </c>
      <c r="B93" s="39" t="b">
        <v>1</v>
      </c>
      <c r="C93" s="40">
        <v>44085.541666666664</v>
      </c>
      <c r="D93" s="40">
        <v>44085.5625</v>
      </c>
      <c r="E93" s="39" t="s">
        <v>785</v>
      </c>
      <c r="F93" s="39">
        <v>0.5</v>
      </c>
    </row>
    <row r="94">
      <c r="A94" s="39" t="s">
        <v>735</v>
      </c>
      <c r="B94" s="39" t="b">
        <v>1</v>
      </c>
      <c r="C94" s="40">
        <v>44088.364583333336</v>
      </c>
      <c r="D94" s="40">
        <v>44088.385416666664</v>
      </c>
      <c r="E94" s="39" t="s">
        <v>792</v>
      </c>
      <c r="F94" s="39">
        <v>0.5</v>
      </c>
    </row>
    <row r="95">
      <c r="A95" s="39" t="s">
        <v>758</v>
      </c>
      <c r="B95" s="39" t="b">
        <v>1</v>
      </c>
      <c r="C95" s="40">
        <v>44088.541666666664</v>
      </c>
      <c r="D95" s="40">
        <v>44088.5625</v>
      </c>
      <c r="E95" s="39" t="s">
        <v>785</v>
      </c>
      <c r="F95" s="39">
        <v>0.5</v>
      </c>
    </row>
    <row r="96">
      <c r="A96" s="39" t="s">
        <v>758</v>
      </c>
      <c r="B96" s="39" t="b">
        <v>1</v>
      </c>
      <c r="C96" s="40">
        <v>44089.666666666664</v>
      </c>
      <c r="D96" s="40">
        <v>44089.6875</v>
      </c>
      <c r="E96" s="39" t="s">
        <v>785</v>
      </c>
      <c r="F96" s="39">
        <v>0.5</v>
      </c>
    </row>
    <row r="97">
      <c r="A97" s="39" t="s">
        <v>732</v>
      </c>
      <c r="B97" s="39" t="b">
        <v>1</v>
      </c>
      <c r="C97" s="40">
        <v>44090.364583333336</v>
      </c>
      <c r="D97" s="40">
        <v>44090.385416666664</v>
      </c>
      <c r="E97" s="39" t="s">
        <v>794</v>
      </c>
      <c r="F97" s="39">
        <v>0.5</v>
      </c>
    </row>
    <row r="98">
      <c r="A98" s="39" t="s">
        <v>732</v>
      </c>
      <c r="B98" s="39" t="b">
        <v>1</v>
      </c>
      <c r="C98" s="40">
        <v>44090.364583333336</v>
      </c>
      <c r="D98" s="40">
        <v>44090.385416666664</v>
      </c>
      <c r="E98" s="39" t="s">
        <v>795</v>
      </c>
      <c r="F98" s="39">
        <v>0.5</v>
      </c>
    </row>
    <row r="99">
      <c r="A99" s="39" t="s">
        <v>758</v>
      </c>
      <c r="B99" s="39" t="b">
        <v>1</v>
      </c>
      <c r="C99" s="40">
        <v>44090.541666666664</v>
      </c>
      <c r="D99" s="40">
        <v>44090.5625</v>
      </c>
      <c r="E99" s="39" t="s">
        <v>785</v>
      </c>
      <c r="F99" s="39">
        <v>0.5</v>
      </c>
    </row>
    <row r="100">
      <c r="A100" s="39" t="s">
        <v>732</v>
      </c>
      <c r="B100" s="39" t="b">
        <v>1</v>
      </c>
      <c r="C100" s="40">
        <v>44091.364583333336</v>
      </c>
      <c r="D100" s="40">
        <v>44091.385416666664</v>
      </c>
      <c r="E100" s="39" t="s">
        <v>795</v>
      </c>
      <c r="F100" s="39">
        <v>0.5</v>
      </c>
    </row>
    <row r="101">
      <c r="A101" s="39" t="s">
        <v>758</v>
      </c>
      <c r="B101" s="39" t="b">
        <v>1</v>
      </c>
      <c r="C101" s="40">
        <v>44091.666666666664</v>
      </c>
      <c r="D101" s="40">
        <v>44091.6875</v>
      </c>
      <c r="E101" s="39" t="s">
        <v>785</v>
      </c>
      <c r="F101" s="39">
        <v>0.5</v>
      </c>
    </row>
    <row r="102">
      <c r="A102" s="39" t="s">
        <v>732</v>
      </c>
      <c r="B102" s="39" t="b">
        <v>1</v>
      </c>
      <c r="C102" s="40">
        <v>44092.364583333336</v>
      </c>
      <c r="D102" s="40">
        <v>44092.385416666664</v>
      </c>
      <c r="E102" s="39" t="s">
        <v>795</v>
      </c>
      <c r="F102" s="39">
        <v>0.5</v>
      </c>
    </row>
    <row r="103">
      <c r="A103" s="39" t="s">
        <v>758</v>
      </c>
      <c r="B103" s="39" t="b">
        <v>1</v>
      </c>
      <c r="C103" s="40">
        <v>44092.541666666664</v>
      </c>
      <c r="D103" s="40">
        <v>44092.5625</v>
      </c>
      <c r="E103" s="39" t="s">
        <v>785</v>
      </c>
      <c r="F103" s="39">
        <v>0.5</v>
      </c>
    </row>
    <row r="104">
      <c r="A104" s="39" t="s">
        <v>742</v>
      </c>
      <c r="B104" s="39" t="b">
        <v>1</v>
      </c>
      <c r="C104" s="40">
        <v>44097.364583333336</v>
      </c>
      <c r="D104" s="40">
        <v>44097.385416666664</v>
      </c>
      <c r="E104" s="39" t="s">
        <v>796</v>
      </c>
      <c r="F104" s="39">
        <v>0.5</v>
      </c>
    </row>
    <row r="105">
      <c r="A105" s="39" t="s">
        <v>732</v>
      </c>
      <c r="B105" s="39" t="b">
        <v>1</v>
      </c>
      <c r="C105" s="40">
        <v>44097.364583333336</v>
      </c>
      <c r="D105" s="40">
        <v>44097.385416666664</v>
      </c>
      <c r="E105" s="39" t="s">
        <v>776</v>
      </c>
      <c r="F105" s="39">
        <v>0.5</v>
      </c>
    </row>
    <row r="106">
      <c r="A106" s="39" t="s">
        <v>758</v>
      </c>
      <c r="B106" s="39" t="b">
        <v>1</v>
      </c>
      <c r="C106" s="40">
        <v>44097.541666666664</v>
      </c>
      <c r="D106" s="40">
        <v>44097.5625</v>
      </c>
      <c r="E106" s="39" t="s">
        <v>785</v>
      </c>
      <c r="F106" s="39">
        <v>0.5</v>
      </c>
    </row>
    <row r="107">
      <c r="A107" s="39" t="s">
        <v>742</v>
      </c>
      <c r="B107" s="39" t="b">
        <v>1</v>
      </c>
      <c r="C107" s="40">
        <v>44098.364583333336</v>
      </c>
      <c r="D107" s="40">
        <v>44098.385416666664</v>
      </c>
      <c r="E107" s="39" t="s">
        <v>796</v>
      </c>
      <c r="F107" s="39">
        <v>0.5</v>
      </c>
    </row>
    <row r="108">
      <c r="A108" s="39" t="s">
        <v>742</v>
      </c>
      <c r="B108" s="39" t="b">
        <v>1</v>
      </c>
      <c r="C108" s="40">
        <v>44098.364583333336</v>
      </c>
      <c r="D108" s="40">
        <v>44098.385416666664</v>
      </c>
      <c r="E108" s="39" t="s">
        <v>796</v>
      </c>
      <c r="F108" s="39">
        <v>0.5</v>
      </c>
    </row>
    <row r="109">
      <c r="A109" s="39" t="s">
        <v>742</v>
      </c>
      <c r="B109" s="39" t="b">
        <v>1</v>
      </c>
      <c r="C109" s="40">
        <v>44099.354166666664</v>
      </c>
      <c r="D109" s="40">
        <v>44099.375</v>
      </c>
      <c r="E109" s="39" t="s">
        <v>796</v>
      </c>
      <c r="F109" s="39">
        <v>0.5</v>
      </c>
    </row>
    <row r="110">
      <c r="A110" s="39" t="s">
        <v>729</v>
      </c>
      <c r="B110" s="39" t="b">
        <v>1</v>
      </c>
      <c r="C110" s="40">
        <v>44099.479166666664</v>
      </c>
      <c r="D110" s="40">
        <v>44099.5</v>
      </c>
      <c r="E110" s="39" t="s">
        <v>797</v>
      </c>
      <c r="F110" s="39">
        <v>0.5</v>
      </c>
    </row>
    <row r="111">
      <c r="A111" s="39" t="s">
        <v>729</v>
      </c>
      <c r="B111" s="39" t="b">
        <v>1</v>
      </c>
      <c r="C111" s="40">
        <v>44099.479166666664</v>
      </c>
      <c r="D111" s="40">
        <v>44099.5</v>
      </c>
      <c r="E111" s="39" t="s">
        <v>797</v>
      </c>
      <c r="F111" s="39">
        <v>0.5</v>
      </c>
    </row>
    <row r="112">
      <c r="A112" s="39" t="s">
        <v>742</v>
      </c>
      <c r="B112" s="39" t="b">
        <v>1</v>
      </c>
      <c r="C112" s="40">
        <v>44102.364583333336</v>
      </c>
      <c r="D112" s="40">
        <v>44102.385416666664</v>
      </c>
      <c r="E112" s="39" t="s">
        <v>796</v>
      </c>
      <c r="F112" s="39">
        <v>0.5</v>
      </c>
    </row>
    <row r="113">
      <c r="A113" s="39" t="s">
        <v>736</v>
      </c>
      <c r="B113" s="39" t="b">
        <v>1</v>
      </c>
      <c r="C113" s="40">
        <v>44103.489583333336</v>
      </c>
      <c r="D113" s="40">
        <v>44103.5</v>
      </c>
      <c r="E113" s="39" t="s">
        <v>770</v>
      </c>
      <c r="F113" s="39">
        <v>0.25</v>
      </c>
    </row>
    <row r="114">
      <c r="A114" s="39" t="s">
        <v>729</v>
      </c>
      <c r="B114" s="39" t="b">
        <v>1</v>
      </c>
      <c r="C114" s="40">
        <v>44106.479166666664</v>
      </c>
      <c r="D114" s="40">
        <v>44106.5</v>
      </c>
      <c r="E114" s="39" t="s">
        <v>797</v>
      </c>
      <c r="F114" s="39">
        <v>0.5</v>
      </c>
    </row>
    <row r="115">
      <c r="A115" s="39" t="s">
        <v>729</v>
      </c>
      <c r="B115" s="39" t="b">
        <v>1</v>
      </c>
      <c r="C115" s="40">
        <v>44113.479166666664</v>
      </c>
      <c r="D115" s="40">
        <v>44113.5</v>
      </c>
      <c r="E115" s="39" t="s">
        <v>797</v>
      </c>
      <c r="F115" s="39">
        <v>0.5</v>
      </c>
    </row>
    <row r="116">
      <c r="A116" s="39" t="s">
        <v>729</v>
      </c>
      <c r="B116" s="39" t="b">
        <v>1</v>
      </c>
      <c r="C116" s="40">
        <v>44120.479166666664</v>
      </c>
      <c r="D116" s="40">
        <v>44120.5</v>
      </c>
      <c r="E116" s="39" t="s">
        <v>797</v>
      </c>
      <c r="F116" s="39">
        <v>0.5</v>
      </c>
    </row>
    <row r="117">
      <c r="A117" s="39" t="s">
        <v>762</v>
      </c>
      <c r="B117" s="39" t="b">
        <v>1</v>
      </c>
      <c r="C117" s="40">
        <v>44127.5625</v>
      </c>
      <c r="D117" s="40">
        <v>44127.583333333336</v>
      </c>
      <c r="E117" s="39" t="s">
        <v>798</v>
      </c>
      <c r="F117" s="39">
        <v>0.5</v>
      </c>
    </row>
    <row r="118">
      <c r="A118" s="39" t="s">
        <v>737</v>
      </c>
      <c r="B118" s="39" t="b">
        <v>1</v>
      </c>
      <c r="C118" s="40">
        <v>44138.489583333336</v>
      </c>
      <c r="D118" s="40">
        <v>44138.5</v>
      </c>
      <c r="E118" s="39" t="s">
        <v>799</v>
      </c>
      <c r="F118" s="39">
        <v>0.25</v>
      </c>
    </row>
    <row r="119">
      <c r="A119" s="39" t="s">
        <v>762</v>
      </c>
      <c r="B119" s="39" t="b">
        <v>1</v>
      </c>
      <c r="C119" s="40">
        <v>44140.5625</v>
      </c>
      <c r="D119" s="40">
        <v>44140.583333333336</v>
      </c>
      <c r="E119" s="39" t="s">
        <v>798</v>
      </c>
      <c r="F119" s="39">
        <v>0.5</v>
      </c>
    </row>
    <row r="120">
      <c r="A120" s="39" t="s">
        <v>755</v>
      </c>
      <c r="B120" s="39" t="b">
        <v>1</v>
      </c>
      <c r="C120" s="40">
        <v>44145.510416666664</v>
      </c>
      <c r="D120" s="40">
        <v>44145.53125</v>
      </c>
      <c r="E120" s="39" t="s">
        <v>800</v>
      </c>
      <c r="F120" s="39">
        <v>0.5</v>
      </c>
    </row>
    <row r="121">
      <c r="A121" s="39" t="s">
        <v>762</v>
      </c>
      <c r="B121" s="39" t="b">
        <v>1</v>
      </c>
      <c r="C121" s="40">
        <v>44148.5625</v>
      </c>
      <c r="D121" s="40">
        <v>44148.583333333336</v>
      </c>
      <c r="E121" s="39" t="s">
        <v>798</v>
      </c>
      <c r="F121" s="39">
        <v>0.5</v>
      </c>
    </row>
    <row r="122">
      <c r="A122" s="39" t="s">
        <v>753</v>
      </c>
      <c r="B122" s="39" t="b">
        <v>1</v>
      </c>
      <c r="C122" s="40">
        <v>44152.708333333336</v>
      </c>
      <c r="D122" s="40">
        <v>44152.71875</v>
      </c>
      <c r="E122" s="39" t="s">
        <v>778</v>
      </c>
      <c r="F122" s="39">
        <v>0.25</v>
      </c>
    </row>
    <row r="123">
      <c r="A123" s="39" t="s">
        <v>762</v>
      </c>
      <c r="B123" s="39" t="b">
        <v>1</v>
      </c>
      <c r="C123" s="40">
        <v>44155.604166666664</v>
      </c>
      <c r="D123" s="40">
        <v>44155.625</v>
      </c>
      <c r="E123" s="39" t="s">
        <v>798</v>
      </c>
      <c r="F123" s="39">
        <v>0.5</v>
      </c>
    </row>
    <row r="124">
      <c r="A124" s="39" t="s">
        <v>746</v>
      </c>
      <c r="B124" s="39" t="b">
        <v>1</v>
      </c>
      <c r="C124" s="40">
        <v>44159.479166666664</v>
      </c>
      <c r="D124" s="40">
        <v>44159.489583333336</v>
      </c>
      <c r="E124" s="39" t="s">
        <v>801</v>
      </c>
      <c r="F124" s="39">
        <v>0.25</v>
      </c>
    </row>
    <row r="125">
      <c r="A125" s="39" t="s">
        <v>745</v>
      </c>
      <c r="B125" s="39" t="b">
        <v>1</v>
      </c>
      <c r="C125" s="40">
        <v>44160.375</v>
      </c>
      <c r="D125" s="40">
        <v>44160.385416666664</v>
      </c>
      <c r="E125" s="39" t="s">
        <v>800</v>
      </c>
      <c r="F125" s="39">
        <v>0.25</v>
      </c>
    </row>
    <row r="126">
      <c r="A126" s="39" t="s">
        <v>762</v>
      </c>
      <c r="B126" s="39" t="b">
        <v>1</v>
      </c>
      <c r="C126" s="40">
        <v>44162.5625</v>
      </c>
      <c r="D126" s="40">
        <v>44162.583333333336</v>
      </c>
      <c r="E126" s="39" t="s">
        <v>773</v>
      </c>
      <c r="F126" s="39">
        <v>0.5</v>
      </c>
    </row>
    <row r="127">
      <c r="A127" s="39" t="s">
        <v>762</v>
      </c>
      <c r="B127" s="39" t="b">
        <v>1</v>
      </c>
      <c r="C127" s="40">
        <v>44162.572916666664</v>
      </c>
      <c r="D127" s="40">
        <v>44162.59375</v>
      </c>
      <c r="E127" s="39" t="s">
        <v>773</v>
      </c>
      <c r="F127" s="39">
        <v>0.5</v>
      </c>
    </row>
    <row r="128">
      <c r="A128" s="39" t="s">
        <v>748</v>
      </c>
      <c r="B128" s="39" t="b">
        <v>1</v>
      </c>
      <c r="C128" s="40">
        <v>44167.583333333336</v>
      </c>
      <c r="D128" s="40">
        <v>44167.604166666664</v>
      </c>
      <c r="E128" s="39" t="s">
        <v>802</v>
      </c>
      <c r="F128" s="39">
        <v>0.5</v>
      </c>
    </row>
    <row r="129">
      <c r="A129" s="39" t="s">
        <v>762</v>
      </c>
      <c r="B129" s="39" t="b">
        <v>1</v>
      </c>
      <c r="C129" s="40">
        <v>44169.5625</v>
      </c>
      <c r="D129" s="40">
        <v>44169.583333333336</v>
      </c>
      <c r="E129" s="39" t="s">
        <v>773</v>
      </c>
      <c r="F129" s="39">
        <v>0.5</v>
      </c>
    </row>
    <row r="130">
      <c r="A130" s="39" t="s">
        <v>750</v>
      </c>
      <c r="B130" s="39" t="b">
        <v>1</v>
      </c>
      <c r="C130" s="40">
        <v>44174.447916666664</v>
      </c>
      <c r="D130" s="40">
        <v>44174.479166666664</v>
      </c>
      <c r="F130" s="39">
        <v>0.75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39" t="s">
        <v>67</v>
      </c>
      <c r="B1" s="39" t="s">
        <v>68</v>
      </c>
      <c r="C1" s="39" t="s">
        <v>69</v>
      </c>
      <c r="D1" s="39" t="s">
        <v>70</v>
      </c>
      <c r="E1" s="39" t="s">
        <v>803</v>
      </c>
      <c r="F1" s="39" t="s">
        <v>720</v>
      </c>
      <c r="G1" s="39" t="s">
        <v>804</v>
      </c>
      <c r="H1" s="39" t="s">
        <v>805</v>
      </c>
      <c r="I1" s="39" t="s">
        <v>806</v>
      </c>
      <c r="J1" s="39" t="s">
        <v>807</v>
      </c>
      <c r="K1" s="39" t="s">
        <v>808</v>
      </c>
      <c r="L1" s="39" t="s">
        <v>809</v>
      </c>
      <c r="M1" s="39" t="s">
        <v>810</v>
      </c>
      <c r="N1" s="39" t="s">
        <v>811</v>
      </c>
      <c r="O1" s="39" t="s">
        <v>812</v>
      </c>
      <c r="P1" s="39" t="s">
        <v>813</v>
      </c>
      <c r="Q1" s="39" t="s">
        <v>814</v>
      </c>
      <c r="R1" s="39" t="s">
        <v>815</v>
      </c>
      <c r="S1" s="39" t="s">
        <v>816</v>
      </c>
      <c r="T1" s="39" t="s">
        <v>817</v>
      </c>
      <c r="U1" s="39" t="s">
        <v>818</v>
      </c>
      <c r="V1" s="39" t="s">
        <v>72</v>
      </c>
      <c r="W1" s="39" t="s">
        <v>73</v>
      </c>
      <c r="X1" s="39" t="s">
        <v>819</v>
      </c>
      <c r="Y1" s="39" t="s">
        <v>820</v>
      </c>
      <c r="Z1" s="39" t="s">
        <v>821</v>
      </c>
      <c r="AA1" s="39" t="s">
        <v>822</v>
      </c>
      <c r="AB1" s="39" t="s">
        <v>823</v>
      </c>
      <c r="AC1" s="39" t="s">
        <v>824</v>
      </c>
      <c r="AD1" s="39" t="s">
        <v>825</v>
      </c>
    </row>
    <row r="2">
      <c r="A2" s="39" t="s">
        <v>826</v>
      </c>
      <c r="B2" s="39" t="s">
        <v>827</v>
      </c>
      <c r="C2" s="39">
        <v>1.36666666666666</v>
      </c>
      <c r="D2" s="41">
        <v>43836.0</v>
      </c>
      <c r="E2" s="39" t="s">
        <v>828</v>
      </c>
      <c r="F2" s="39" t="s">
        <v>829</v>
      </c>
      <c r="G2" s="39" t="s">
        <v>830</v>
      </c>
      <c r="H2" s="39">
        <v>120.0</v>
      </c>
      <c r="N2" s="39" t="s">
        <v>831</v>
      </c>
      <c r="R2" s="39" t="s">
        <v>832</v>
      </c>
      <c r="S2" s="39" t="s">
        <v>833</v>
      </c>
      <c r="T2" s="39" t="s">
        <v>834</v>
      </c>
      <c r="U2" s="39" t="s">
        <v>831</v>
      </c>
      <c r="W2" s="39" t="s">
        <v>835</v>
      </c>
      <c r="X2" s="39" t="s">
        <v>836</v>
      </c>
      <c r="Z2" s="39" t="s">
        <v>837</v>
      </c>
      <c r="AB2" s="39">
        <v>1.36666666666666</v>
      </c>
      <c r="AC2" s="39">
        <v>8.0</v>
      </c>
      <c r="AD2" s="39">
        <v>1.43333333333333</v>
      </c>
    </row>
    <row r="3">
      <c r="A3" s="39" t="s">
        <v>838</v>
      </c>
      <c r="B3" s="39" t="s">
        <v>839</v>
      </c>
      <c r="C3" s="39">
        <v>2.85</v>
      </c>
      <c r="D3" s="41">
        <v>43836.0</v>
      </c>
      <c r="E3" s="39" t="s">
        <v>828</v>
      </c>
      <c r="F3" s="39" t="s">
        <v>829</v>
      </c>
      <c r="G3" s="39" t="s">
        <v>830</v>
      </c>
      <c r="H3" s="39">
        <v>120.0</v>
      </c>
      <c r="N3" s="39" t="s">
        <v>831</v>
      </c>
      <c r="R3" s="39" t="s">
        <v>832</v>
      </c>
      <c r="S3" s="39" t="s">
        <v>833</v>
      </c>
      <c r="T3" s="39" t="s">
        <v>834</v>
      </c>
      <c r="U3" s="39" t="s">
        <v>831</v>
      </c>
      <c r="W3" s="39" t="s">
        <v>840</v>
      </c>
      <c r="X3" s="39" t="s">
        <v>841</v>
      </c>
      <c r="Z3" s="39" t="s">
        <v>828</v>
      </c>
      <c r="AB3" s="39">
        <v>2.85</v>
      </c>
      <c r="AC3" s="39">
        <v>60.0</v>
      </c>
      <c r="AD3" s="39">
        <v>3.65</v>
      </c>
    </row>
    <row r="4">
      <c r="A4" s="39" t="s">
        <v>571</v>
      </c>
      <c r="B4" s="39" t="s">
        <v>572</v>
      </c>
      <c r="C4" s="39">
        <v>0.65</v>
      </c>
      <c r="D4" s="41">
        <v>43836.0</v>
      </c>
      <c r="E4" s="39" t="s">
        <v>828</v>
      </c>
      <c r="F4" s="39" t="s">
        <v>829</v>
      </c>
      <c r="G4" s="39" t="s">
        <v>830</v>
      </c>
      <c r="H4" s="39">
        <v>120.0</v>
      </c>
      <c r="N4" s="39" t="s">
        <v>831</v>
      </c>
      <c r="R4" s="39" t="s">
        <v>832</v>
      </c>
      <c r="S4" s="39" t="s">
        <v>842</v>
      </c>
      <c r="T4" s="39" t="s">
        <v>834</v>
      </c>
      <c r="U4" s="39" t="s">
        <v>831</v>
      </c>
      <c r="W4" s="39" t="s">
        <v>302</v>
      </c>
      <c r="X4" s="39" t="s">
        <v>843</v>
      </c>
      <c r="Z4" s="39" t="s">
        <v>828</v>
      </c>
      <c r="AB4" s="39">
        <v>0.65</v>
      </c>
    </row>
    <row r="5">
      <c r="A5" s="39" t="s">
        <v>826</v>
      </c>
      <c r="B5" s="39" t="s">
        <v>827</v>
      </c>
      <c r="C5" s="39">
        <v>1.05</v>
      </c>
      <c r="D5" s="41">
        <v>43837.0</v>
      </c>
      <c r="E5" s="39" t="s">
        <v>828</v>
      </c>
      <c r="F5" s="39" t="s">
        <v>829</v>
      </c>
      <c r="G5" s="39" t="s">
        <v>830</v>
      </c>
      <c r="H5" s="39">
        <v>120.0</v>
      </c>
      <c r="N5" s="39" t="s">
        <v>831</v>
      </c>
      <c r="R5" s="39" t="s">
        <v>832</v>
      </c>
      <c r="S5" s="39" t="s">
        <v>833</v>
      </c>
      <c r="T5" s="39" t="s">
        <v>834</v>
      </c>
      <c r="U5" s="39" t="s">
        <v>831</v>
      </c>
      <c r="W5" s="39" t="s">
        <v>835</v>
      </c>
      <c r="X5" s="39" t="s">
        <v>836</v>
      </c>
      <c r="Z5" s="39" t="s">
        <v>837</v>
      </c>
      <c r="AB5" s="39">
        <v>1.05</v>
      </c>
      <c r="AC5" s="39">
        <v>8.0</v>
      </c>
      <c r="AD5" s="39">
        <v>1.43333333333333</v>
      </c>
    </row>
    <row r="6">
      <c r="A6" s="39" t="s">
        <v>838</v>
      </c>
      <c r="B6" s="39" t="s">
        <v>839</v>
      </c>
      <c r="C6" s="39">
        <v>3.28333333333333</v>
      </c>
      <c r="D6" s="41">
        <v>43838.0</v>
      </c>
      <c r="E6" s="39" t="s">
        <v>828</v>
      </c>
      <c r="F6" s="39" t="s">
        <v>829</v>
      </c>
      <c r="G6" s="39" t="s">
        <v>830</v>
      </c>
      <c r="H6" s="39">
        <v>120.0</v>
      </c>
      <c r="N6" s="39" t="s">
        <v>831</v>
      </c>
      <c r="R6" s="39" t="s">
        <v>832</v>
      </c>
      <c r="S6" s="39" t="s">
        <v>833</v>
      </c>
      <c r="T6" s="39" t="s">
        <v>834</v>
      </c>
      <c r="U6" s="39" t="s">
        <v>831</v>
      </c>
      <c r="W6" s="39" t="s">
        <v>840</v>
      </c>
      <c r="X6" s="39" t="s">
        <v>841</v>
      </c>
      <c r="Z6" s="39" t="s">
        <v>828</v>
      </c>
      <c r="AB6" s="39">
        <v>3.28333333333333</v>
      </c>
      <c r="AC6" s="39">
        <v>60.0</v>
      </c>
      <c r="AD6" s="39">
        <v>3.65</v>
      </c>
    </row>
    <row r="7">
      <c r="A7" s="39" t="s">
        <v>844</v>
      </c>
      <c r="B7" s="39" t="s">
        <v>845</v>
      </c>
      <c r="C7" s="39">
        <v>0.466666666666666</v>
      </c>
      <c r="D7" s="41">
        <v>43838.0</v>
      </c>
      <c r="E7" s="39" t="s">
        <v>828</v>
      </c>
      <c r="F7" s="39" t="s">
        <v>829</v>
      </c>
      <c r="G7" s="39" t="s">
        <v>830</v>
      </c>
      <c r="H7" s="39">
        <v>120.0</v>
      </c>
      <c r="N7" s="39" t="s">
        <v>831</v>
      </c>
      <c r="R7" s="39" t="s">
        <v>832</v>
      </c>
      <c r="S7" s="39" t="s">
        <v>833</v>
      </c>
      <c r="T7" s="39" t="s">
        <v>834</v>
      </c>
      <c r="U7" s="39" t="s">
        <v>831</v>
      </c>
      <c r="W7" s="39" t="s">
        <v>302</v>
      </c>
      <c r="X7" s="39" t="s">
        <v>846</v>
      </c>
      <c r="Z7" s="39" t="s">
        <v>828</v>
      </c>
      <c r="AB7" s="39">
        <v>0.466666666666666</v>
      </c>
      <c r="AC7" s="39">
        <v>40.0</v>
      </c>
      <c r="AD7" s="39">
        <v>0.0</v>
      </c>
    </row>
    <row r="8">
      <c r="A8" s="39" t="s">
        <v>844</v>
      </c>
      <c r="B8" s="39" t="s">
        <v>845</v>
      </c>
      <c r="C8" s="39">
        <v>1.48333333333333</v>
      </c>
      <c r="D8" s="41">
        <v>43838.0</v>
      </c>
      <c r="E8" s="39" t="s">
        <v>847</v>
      </c>
      <c r="F8" s="39" t="s">
        <v>848</v>
      </c>
      <c r="G8" s="39" t="s">
        <v>849</v>
      </c>
      <c r="H8" s="39">
        <v>120.0</v>
      </c>
      <c r="N8" s="39" t="s">
        <v>831</v>
      </c>
      <c r="R8" s="39" t="s">
        <v>832</v>
      </c>
      <c r="S8" s="39" t="s">
        <v>833</v>
      </c>
      <c r="T8" s="39" t="s">
        <v>834</v>
      </c>
      <c r="U8" s="39" t="s">
        <v>831</v>
      </c>
      <c r="W8" s="39" t="s">
        <v>302</v>
      </c>
      <c r="X8" s="39" t="s">
        <v>846</v>
      </c>
      <c r="Z8" s="39" t="s">
        <v>828</v>
      </c>
      <c r="AB8" s="39">
        <v>1.48333333333333</v>
      </c>
      <c r="AC8" s="39">
        <v>40.0</v>
      </c>
      <c r="AD8" s="39">
        <v>0.0</v>
      </c>
    </row>
    <row r="9">
      <c r="A9" s="39" t="s">
        <v>844</v>
      </c>
      <c r="B9" s="39" t="s">
        <v>845</v>
      </c>
      <c r="C9" s="39">
        <v>0.666666666666666</v>
      </c>
      <c r="D9" s="41">
        <v>43839.0</v>
      </c>
      <c r="E9" s="39" t="s">
        <v>828</v>
      </c>
      <c r="F9" s="39" t="s">
        <v>829</v>
      </c>
      <c r="G9" s="39" t="s">
        <v>830</v>
      </c>
      <c r="H9" s="39">
        <v>120.0</v>
      </c>
      <c r="N9" s="39" t="s">
        <v>831</v>
      </c>
      <c r="R9" s="39" t="s">
        <v>832</v>
      </c>
      <c r="S9" s="39" t="s">
        <v>833</v>
      </c>
      <c r="T9" s="39" t="s">
        <v>834</v>
      </c>
      <c r="U9" s="39" t="s">
        <v>831</v>
      </c>
      <c r="W9" s="39" t="s">
        <v>302</v>
      </c>
      <c r="X9" s="39" t="s">
        <v>846</v>
      </c>
      <c r="Z9" s="39" t="s">
        <v>828</v>
      </c>
      <c r="AB9" s="39">
        <v>0.666666666666666</v>
      </c>
      <c r="AC9" s="39">
        <v>40.0</v>
      </c>
      <c r="AD9" s="39">
        <v>0.0</v>
      </c>
    </row>
    <row r="10">
      <c r="A10" s="39" t="s">
        <v>838</v>
      </c>
      <c r="B10" s="39" t="s">
        <v>839</v>
      </c>
      <c r="C10" s="39">
        <v>7.31666666666666</v>
      </c>
      <c r="D10" s="41">
        <v>43839.0</v>
      </c>
      <c r="E10" s="39" t="s">
        <v>828</v>
      </c>
      <c r="F10" s="39" t="s">
        <v>829</v>
      </c>
      <c r="G10" s="39" t="s">
        <v>830</v>
      </c>
      <c r="H10" s="39">
        <v>120.0</v>
      </c>
      <c r="N10" s="39" t="s">
        <v>831</v>
      </c>
      <c r="R10" s="39" t="s">
        <v>832</v>
      </c>
      <c r="S10" s="39" t="s">
        <v>833</v>
      </c>
      <c r="T10" s="39" t="s">
        <v>834</v>
      </c>
      <c r="U10" s="39" t="s">
        <v>831</v>
      </c>
      <c r="W10" s="39" t="s">
        <v>840</v>
      </c>
      <c r="X10" s="39" t="s">
        <v>841</v>
      </c>
      <c r="Z10" s="39" t="s">
        <v>828</v>
      </c>
      <c r="AB10" s="39">
        <v>7.31666666666666</v>
      </c>
      <c r="AC10" s="39">
        <v>60.0</v>
      </c>
      <c r="AD10" s="39">
        <v>3.65</v>
      </c>
    </row>
    <row r="11">
      <c r="A11" s="39" t="s">
        <v>850</v>
      </c>
      <c r="B11" s="39" t="s">
        <v>851</v>
      </c>
      <c r="C11" s="39">
        <v>1.0</v>
      </c>
      <c r="D11" s="41">
        <v>43839.0</v>
      </c>
      <c r="E11" s="39" t="s">
        <v>852</v>
      </c>
      <c r="F11" s="39" t="s">
        <v>853</v>
      </c>
      <c r="G11" s="39" t="s">
        <v>854</v>
      </c>
      <c r="H11" s="39">
        <v>120.0</v>
      </c>
      <c r="N11" s="39" t="s">
        <v>831</v>
      </c>
      <c r="R11" s="39" t="s">
        <v>832</v>
      </c>
      <c r="S11" s="39" t="s">
        <v>855</v>
      </c>
      <c r="T11" s="39" t="s">
        <v>834</v>
      </c>
      <c r="U11" s="39" t="s">
        <v>831</v>
      </c>
      <c r="W11" s="39" t="s">
        <v>840</v>
      </c>
      <c r="X11" s="39" t="s">
        <v>856</v>
      </c>
      <c r="Z11" s="39" t="s">
        <v>837</v>
      </c>
      <c r="AB11" s="39">
        <v>1.0</v>
      </c>
    </row>
    <row r="12">
      <c r="A12" s="39" t="s">
        <v>844</v>
      </c>
      <c r="B12" s="39" t="s">
        <v>845</v>
      </c>
      <c r="C12" s="39">
        <v>2.08333333333333</v>
      </c>
      <c r="D12" s="41">
        <v>43840.0</v>
      </c>
      <c r="E12" s="39" t="s">
        <v>828</v>
      </c>
      <c r="F12" s="39" t="s">
        <v>829</v>
      </c>
      <c r="G12" s="39" t="s">
        <v>830</v>
      </c>
      <c r="H12" s="39">
        <v>120.0</v>
      </c>
      <c r="N12" s="39" t="s">
        <v>831</v>
      </c>
      <c r="R12" s="39" t="s">
        <v>832</v>
      </c>
      <c r="S12" s="39" t="s">
        <v>833</v>
      </c>
      <c r="T12" s="39" t="s">
        <v>834</v>
      </c>
      <c r="U12" s="39" t="s">
        <v>831</v>
      </c>
      <c r="W12" s="39" t="s">
        <v>302</v>
      </c>
      <c r="X12" s="39" t="s">
        <v>846</v>
      </c>
      <c r="Z12" s="39" t="s">
        <v>828</v>
      </c>
      <c r="AB12" s="39">
        <v>2.08333333333333</v>
      </c>
      <c r="AC12" s="39">
        <v>40.0</v>
      </c>
      <c r="AD12" s="39">
        <v>0.0</v>
      </c>
    </row>
    <row r="13">
      <c r="A13" s="39" t="s">
        <v>857</v>
      </c>
      <c r="B13" s="39" t="s">
        <v>858</v>
      </c>
      <c r="C13" s="39">
        <v>0.266666666666666</v>
      </c>
      <c r="D13" s="41">
        <v>43840.0</v>
      </c>
      <c r="E13" s="39" t="s">
        <v>847</v>
      </c>
      <c r="F13" s="39" t="s">
        <v>848</v>
      </c>
      <c r="G13" s="39" t="s">
        <v>849</v>
      </c>
      <c r="H13" s="39">
        <v>120.0</v>
      </c>
      <c r="N13" s="39" t="s">
        <v>831</v>
      </c>
      <c r="R13" s="39" t="s">
        <v>832</v>
      </c>
      <c r="S13" s="39" t="s">
        <v>833</v>
      </c>
      <c r="T13" s="39" t="s">
        <v>834</v>
      </c>
      <c r="U13" s="39" t="s">
        <v>831</v>
      </c>
      <c r="W13" s="39" t="s">
        <v>840</v>
      </c>
      <c r="X13" s="39" t="s">
        <v>859</v>
      </c>
      <c r="Z13" s="39" t="s">
        <v>847</v>
      </c>
      <c r="AB13" s="39">
        <v>0.266666666666666</v>
      </c>
      <c r="AC13" s="39">
        <v>4.0</v>
      </c>
      <c r="AD13" s="39">
        <v>0.0</v>
      </c>
    </row>
    <row r="14">
      <c r="A14" s="39" t="s">
        <v>860</v>
      </c>
      <c r="B14" s="39" t="s">
        <v>861</v>
      </c>
      <c r="C14" s="39">
        <v>0.2</v>
      </c>
      <c r="D14" s="41">
        <v>43840.0</v>
      </c>
      <c r="E14" s="39" t="s">
        <v>847</v>
      </c>
      <c r="F14" s="39" t="s">
        <v>848</v>
      </c>
      <c r="G14" s="39" t="s">
        <v>849</v>
      </c>
      <c r="H14" s="39">
        <v>120.0</v>
      </c>
      <c r="N14" s="39" t="s">
        <v>831</v>
      </c>
      <c r="R14" s="39" t="s">
        <v>832</v>
      </c>
      <c r="S14" s="39" t="s">
        <v>833</v>
      </c>
      <c r="T14" s="39" t="s">
        <v>834</v>
      </c>
      <c r="U14" s="39" t="s">
        <v>831</v>
      </c>
      <c r="W14" s="39" t="s">
        <v>840</v>
      </c>
      <c r="X14" s="39" t="s">
        <v>862</v>
      </c>
      <c r="Z14" s="39" t="s">
        <v>847</v>
      </c>
      <c r="AB14" s="39">
        <v>0.2</v>
      </c>
      <c r="AC14" s="39">
        <v>2.0</v>
      </c>
      <c r="AD14" s="39">
        <v>0.0</v>
      </c>
    </row>
    <row r="15">
      <c r="A15" s="39" t="s">
        <v>863</v>
      </c>
      <c r="B15" s="39" t="s">
        <v>864</v>
      </c>
      <c r="C15" s="39">
        <v>0.516666666666666</v>
      </c>
      <c r="D15" s="41">
        <v>43840.0</v>
      </c>
      <c r="E15" s="39" t="s">
        <v>847</v>
      </c>
      <c r="F15" s="39" t="s">
        <v>848</v>
      </c>
      <c r="G15" s="39" t="s">
        <v>849</v>
      </c>
      <c r="H15" s="39">
        <v>120.0</v>
      </c>
      <c r="N15" s="39" t="s">
        <v>831</v>
      </c>
      <c r="R15" s="39" t="s">
        <v>832</v>
      </c>
      <c r="S15" s="39" t="s">
        <v>833</v>
      </c>
      <c r="T15" s="39" t="s">
        <v>834</v>
      </c>
      <c r="U15" s="39" t="s">
        <v>831</v>
      </c>
      <c r="W15" s="39" t="s">
        <v>840</v>
      </c>
      <c r="X15" s="39" t="s">
        <v>865</v>
      </c>
      <c r="Z15" s="39" t="s">
        <v>847</v>
      </c>
      <c r="AB15" s="39">
        <v>0.516666666666666</v>
      </c>
      <c r="AC15" s="39">
        <v>4.0</v>
      </c>
      <c r="AD15" s="39">
        <v>0.0</v>
      </c>
    </row>
    <row r="16">
      <c r="A16" s="39" t="s">
        <v>866</v>
      </c>
      <c r="B16" s="39" t="s">
        <v>867</v>
      </c>
      <c r="C16" s="39">
        <v>0.216666666666666</v>
      </c>
      <c r="D16" s="41">
        <v>43840.0</v>
      </c>
      <c r="E16" s="39" t="s">
        <v>847</v>
      </c>
      <c r="F16" s="39" t="s">
        <v>848</v>
      </c>
      <c r="G16" s="39" t="s">
        <v>849</v>
      </c>
      <c r="H16" s="39">
        <v>120.0</v>
      </c>
      <c r="N16" s="39" t="s">
        <v>831</v>
      </c>
      <c r="R16" s="39" t="s">
        <v>832</v>
      </c>
      <c r="S16" s="39" t="s">
        <v>833</v>
      </c>
      <c r="T16" s="39" t="s">
        <v>834</v>
      </c>
      <c r="U16" s="39" t="s">
        <v>831</v>
      </c>
      <c r="W16" s="39" t="s">
        <v>840</v>
      </c>
      <c r="X16" s="39" t="s">
        <v>868</v>
      </c>
      <c r="Z16" s="39" t="s">
        <v>847</v>
      </c>
      <c r="AB16" s="39">
        <v>0.216666666666666</v>
      </c>
      <c r="AC16" s="39">
        <v>2.0</v>
      </c>
      <c r="AD16" s="39">
        <v>0.0</v>
      </c>
    </row>
    <row r="17">
      <c r="A17" s="39" t="s">
        <v>869</v>
      </c>
      <c r="B17" s="39" t="s">
        <v>870</v>
      </c>
      <c r="C17" s="39">
        <v>0.733333333333333</v>
      </c>
      <c r="D17" s="41">
        <v>43840.0</v>
      </c>
      <c r="E17" s="39" t="s">
        <v>847</v>
      </c>
      <c r="F17" s="39" t="s">
        <v>848</v>
      </c>
      <c r="G17" s="39" t="s">
        <v>849</v>
      </c>
      <c r="H17" s="39">
        <v>120.0</v>
      </c>
      <c r="N17" s="39" t="s">
        <v>831</v>
      </c>
      <c r="R17" s="39" t="s">
        <v>832</v>
      </c>
      <c r="S17" s="39" t="s">
        <v>833</v>
      </c>
      <c r="T17" s="39" t="s">
        <v>834</v>
      </c>
      <c r="U17" s="39" t="s">
        <v>831</v>
      </c>
      <c r="W17" s="39" t="s">
        <v>840</v>
      </c>
      <c r="X17" s="39" t="s">
        <v>871</v>
      </c>
      <c r="Z17" s="39" t="s">
        <v>872</v>
      </c>
      <c r="AB17" s="39">
        <v>0.733333333333333</v>
      </c>
      <c r="AC17" s="39">
        <v>2.0</v>
      </c>
      <c r="AD17" s="39">
        <v>0.0</v>
      </c>
    </row>
    <row r="18">
      <c r="A18" s="39" t="s">
        <v>873</v>
      </c>
      <c r="B18" s="39" t="s">
        <v>874</v>
      </c>
      <c r="C18" s="39">
        <v>0.483333333333333</v>
      </c>
      <c r="D18" s="41">
        <v>43840.0</v>
      </c>
      <c r="E18" s="39" t="s">
        <v>847</v>
      </c>
      <c r="F18" s="39" t="s">
        <v>848</v>
      </c>
      <c r="G18" s="39" t="s">
        <v>849</v>
      </c>
      <c r="H18" s="39">
        <v>120.0</v>
      </c>
      <c r="N18" s="39" t="s">
        <v>831</v>
      </c>
      <c r="R18" s="39" t="s">
        <v>832</v>
      </c>
      <c r="S18" s="39" t="s">
        <v>833</v>
      </c>
      <c r="T18" s="39" t="s">
        <v>834</v>
      </c>
      <c r="U18" s="39" t="s">
        <v>831</v>
      </c>
      <c r="W18" s="39" t="s">
        <v>840</v>
      </c>
      <c r="X18" s="39" t="s">
        <v>875</v>
      </c>
      <c r="Z18" s="39" t="s">
        <v>876</v>
      </c>
      <c r="AB18" s="39">
        <v>0.483333333333333</v>
      </c>
      <c r="AC18" s="39">
        <v>16.0</v>
      </c>
      <c r="AD18" s="39">
        <v>0.0</v>
      </c>
    </row>
    <row r="19">
      <c r="A19" s="39" t="s">
        <v>860</v>
      </c>
      <c r="B19" s="39" t="s">
        <v>861</v>
      </c>
      <c r="C19" s="39">
        <v>0.166666666666666</v>
      </c>
      <c r="D19" s="41">
        <v>43843.0</v>
      </c>
      <c r="E19" s="39" t="s">
        <v>828</v>
      </c>
      <c r="F19" s="39" t="s">
        <v>829</v>
      </c>
      <c r="G19" s="39" t="s">
        <v>830</v>
      </c>
      <c r="H19" s="39">
        <v>120.0</v>
      </c>
      <c r="N19" s="39" t="s">
        <v>831</v>
      </c>
      <c r="R19" s="39" t="s">
        <v>832</v>
      </c>
      <c r="S19" s="39" t="s">
        <v>833</v>
      </c>
      <c r="T19" s="39" t="s">
        <v>834</v>
      </c>
      <c r="U19" s="39" t="s">
        <v>831</v>
      </c>
      <c r="W19" s="39" t="s">
        <v>840</v>
      </c>
      <c r="X19" s="39" t="s">
        <v>862</v>
      </c>
      <c r="Z19" s="39" t="s">
        <v>847</v>
      </c>
      <c r="AB19" s="39">
        <v>0.166666666666666</v>
      </c>
      <c r="AC19" s="39">
        <v>2.0</v>
      </c>
      <c r="AD19" s="39">
        <v>0.0</v>
      </c>
    </row>
    <row r="20">
      <c r="A20" s="39" t="s">
        <v>863</v>
      </c>
      <c r="B20" s="39" t="s">
        <v>864</v>
      </c>
      <c r="C20" s="39">
        <v>0.0333333333333333</v>
      </c>
      <c r="D20" s="41">
        <v>43843.0</v>
      </c>
      <c r="E20" s="39" t="s">
        <v>828</v>
      </c>
      <c r="F20" s="39" t="s">
        <v>829</v>
      </c>
      <c r="G20" s="39" t="s">
        <v>830</v>
      </c>
      <c r="H20" s="39">
        <v>120.0</v>
      </c>
      <c r="N20" s="39" t="s">
        <v>831</v>
      </c>
      <c r="R20" s="39" t="s">
        <v>832</v>
      </c>
      <c r="S20" s="39" t="s">
        <v>833</v>
      </c>
      <c r="T20" s="39" t="s">
        <v>834</v>
      </c>
      <c r="U20" s="39" t="s">
        <v>831</v>
      </c>
      <c r="W20" s="39" t="s">
        <v>840</v>
      </c>
      <c r="X20" s="39" t="s">
        <v>865</v>
      </c>
      <c r="Z20" s="39" t="s">
        <v>847</v>
      </c>
      <c r="AB20" s="39">
        <v>0.0333333333333333</v>
      </c>
      <c r="AC20" s="39">
        <v>4.0</v>
      </c>
      <c r="AD20" s="39">
        <v>0.0</v>
      </c>
    </row>
    <row r="21">
      <c r="A21" s="39" t="s">
        <v>866</v>
      </c>
      <c r="B21" s="39" t="s">
        <v>867</v>
      </c>
      <c r="C21" s="39">
        <v>0.0166666666666666</v>
      </c>
      <c r="D21" s="41">
        <v>43843.0</v>
      </c>
      <c r="E21" s="39" t="s">
        <v>828</v>
      </c>
      <c r="F21" s="39" t="s">
        <v>829</v>
      </c>
      <c r="G21" s="39" t="s">
        <v>830</v>
      </c>
      <c r="H21" s="39">
        <v>120.0</v>
      </c>
      <c r="N21" s="39" t="s">
        <v>831</v>
      </c>
      <c r="R21" s="39" t="s">
        <v>832</v>
      </c>
      <c r="S21" s="39" t="s">
        <v>833</v>
      </c>
      <c r="T21" s="39" t="s">
        <v>834</v>
      </c>
      <c r="U21" s="39" t="s">
        <v>831</v>
      </c>
      <c r="W21" s="39" t="s">
        <v>840</v>
      </c>
      <c r="X21" s="39" t="s">
        <v>868</v>
      </c>
      <c r="Z21" s="39" t="s">
        <v>847</v>
      </c>
      <c r="AB21" s="39">
        <v>0.0166666666666666</v>
      </c>
      <c r="AC21" s="39">
        <v>2.0</v>
      </c>
      <c r="AD21" s="39">
        <v>0.0</v>
      </c>
    </row>
    <row r="22">
      <c r="A22" s="39" t="s">
        <v>869</v>
      </c>
      <c r="B22" s="39" t="s">
        <v>870</v>
      </c>
      <c r="C22" s="39">
        <v>0.0166666666666666</v>
      </c>
      <c r="D22" s="41">
        <v>43843.0</v>
      </c>
      <c r="E22" s="39" t="s">
        <v>828</v>
      </c>
      <c r="F22" s="39" t="s">
        <v>829</v>
      </c>
      <c r="G22" s="39" t="s">
        <v>830</v>
      </c>
      <c r="H22" s="39">
        <v>120.0</v>
      </c>
      <c r="N22" s="39" t="s">
        <v>831</v>
      </c>
      <c r="R22" s="39" t="s">
        <v>832</v>
      </c>
      <c r="S22" s="39" t="s">
        <v>833</v>
      </c>
      <c r="T22" s="39" t="s">
        <v>834</v>
      </c>
      <c r="U22" s="39" t="s">
        <v>831</v>
      </c>
      <c r="W22" s="39" t="s">
        <v>840</v>
      </c>
      <c r="X22" s="39" t="s">
        <v>871</v>
      </c>
      <c r="Z22" s="39" t="s">
        <v>872</v>
      </c>
      <c r="AB22" s="39">
        <v>0.0166666666666666</v>
      </c>
      <c r="AC22" s="39">
        <v>2.0</v>
      </c>
      <c r="AD22" s="39">
        <v>0.0</v>
      </c>
    </row>
    <row r="23">
      <c r="A23" s="39" t="s">
        <v>873</v>
      </c>
      <c r="B23" s="39" t="s">
        <v>874</v>
      </c>
      <c r="C23" s="39">
        <v>0.516666666666666</v>
      </c>
      <c r="D23" s="41">
        <v>43843.0</v>
      </c>
      <c r="E23" s="39" t="s">
        <v>828</v>
      </c>
      <c r="F23" s="39" t="s">
        <v>829</v>
      </c>
      <c r="G23" s="39" t="s">
        <v>830</v>
      </c>
      <c r="H23" s="39">
        <v>120.0</v>
      </c>
      <c r="N23" s="39" t="s">
        <v>831</v>
      </c>
      <c r="R23" s="39" t="s">
        <v>832</v>
      </c>
      <c r="S23" s="39" t="s">
        <v>833</v>
      </c>
      <c r="T23" s="39" t="s">
        <v>834</v>
      </c>
      <c r="U23" s="39" t="s">
        <v>831</v>
      </c>
      <c r="W23" s="39" t="s">
        <v>840</v>
      </c>
      <c r="X23" s="39" t="s">
        <v>875</v>
      </c>
      <c r="Z23" s="39" t="s">
        <v>876</v>
      </c>
      <c r="AB23" s="39">
        <v>0.516666666666666</v>
      </c>
      <c r="AC23" s="39">
        <v>16.0</v>
      </c>
      <c r="AD23" s="39">
        <v>0.0</v>
      </c>
    </row>
    <row r="24">
      <c r="A24" s="39" t="s">
        <v>571</v>
      </c>
      <c r="B24" s="39" t="s">
        <v>572</v>
      </c>
      <c r="C24" s="39">
        <v>0.183333333333333</v>
      </c>
      <c r="D24" s="41">
        <v>43843.0</v>
      </c>
      <c r="E24" s="39" t="s">
        <v>828</v>
      </c>
      <c r="F24" s="39" t="s">
        <v>829</v>
      </c>
      <c r="G24" s="39" t="s">
        <v>830</v>
      </c>
      <c r="H24" s="39">
        <v>120.0</v>
      </c>
      <c r="N24" s="39" t="s">
        <v>831</v>
      </c>
      <c r="R24" s="39" t="s">
        <v>832</v>
      </c>
      <c r="S24" s="39" t="s">
        <v>842</v>
      </c>
      <c r="T24" s="39" t="s">
        <v>834</v>
      </c>
      <c r="U24" s="39" t="s">
        <v>831</v>
      </c>
      <c r="W24" s="39" t="s">
        <v>302</v>
      </c>
      <c r="X24" s="39" t="s">
        <v>843</v>
      </c>
      <c r="Z24" s="39" t="s">
        <v>828</v>
      </c>
      <c r="AB24" s="39">
        <v>0.183333333333333</v>
      </c>
    </row>
    <row r="25">
      <c r="A25" s="39" t="s">
        <v>838</v>
      </c>
      <c r="B25" s="39" t="s">
        <v>839</v>
      </c>
      <c r="C25" s="39">
        <v>2.93333333333333</v>
      </c>
      <c r="D25" s="41">
        <v>43843.0</v>
      </c>
      <c r="E25" s="39" t="s">
        <v>828</v>
      </c>
      <c r="F25" s="39" t="s">
        <v>829</v>
      </c>
      <c r="G25" s="39" t="s">
        <v>830</v>
      </c>
      <c r="H25" s="39">
        <v>120.0</v>
      </c>
      <c r="N25" s="39" t="s">
        <v>831</v>
      </c>
      <c r="R25" s="39" t="s">
        <v>832</v>
      </c>
      <c r="S25" s="39" t="s">
        <v>833</v>
      </c>
      <c r="T25" s="39" t="s">
        <v>834</v>
      </c>
      <c r="U25" s="39" t="s">
        <v>831</v>
      </c>
      <c r="W25" s="39" t="s">
        <v>840</v>
      </c>
      <c r="X25" s="39" t="s">
        <v>841</v>
      </c>
      <c r="Z25" s="39" t="s">
        <v>828</v>
      </c>
      <c r="AB25" s="39">
        <v>2.93333333333333</v>
      </c>
      <c r="AC25" s="39">
        <v>60.0</v>
      </c>
      <c r="AD25" s="39">
        <v>3.65</v>
      </c>
    </row>
    <row r="26">
      <c r="A26" s="39" t="s">
        <v>877</v>
      </c>
      <c r="B26" s="39" t="s">
        <v>878</v>
      </c>
      <c r="C26" s="39">
        <v>0.133333333333333</v>
      </c>
      <c r="D26" s="41">
        <v>43843.0</v>
      </c>
      <c r="E26" s="39" t="s">
        <v>828</v>
      </c>
      <c r="F26" s="39" t="s">
        <v>829</v>
      </c>
      <c r="G26" s="39" t="s">
        <v>830</v>
      </c>
      <c r="H26" s="39">
        <v>120.0</v>
      </c>
      <c r="N26" s="39" t="s">
        <v>831</v>
      </c>
      <c r="R26" s="39" t="s">
        <v>832</v>
      </c>
      <c r="S26" s="39" t="s">
        <v>833</v>
      </c>
      <c r="T26" s="39" t="s">
        <v>834</v>
      </c>
      <c r="U26" s="39" t="s">
        <v>831</v>
      </c>
      <c r="W26" s="39" t="s">
        <v>835</v>
      </c>
      <c r="X26" s="39" t="s">
        <v>879</v>
      </c>
      <c r="Z26" s="39" t="s">
        <v>837</v>
      </c>
      <c r="AB26" s="39">
        <v>0.133333333333333</v>
      </c>
      <c r="AC26" s="39">
        <v>8.0</v>
      </c>
      <c r="AD26" s="39">
        <v>0.0</v>
      </c>
    </row>
    <row r="27">
      <c r="A27" s="39" t="s">
        <v>850</v>
      </c>
      <c r="B27" s="39" t="s">
        <v>851</v>
      </c>
      <c r="C27" s="39">
        <v>0.166666666666666</v>
      </c>
      <c r="D27" s="41">
        <v>43843.0</v>
      </c>
      <c r="E27" s="39" t="s">
        <v>852</v>
      </c>
      <c r="F27" s="39" t="s">
        <v>853</v>
      </c>
      <c r="G27" s="39" t="s">
        <v>854</v>
      </c>
      <c r="H27" s="39">
        <v>120.0</v>
      </c>
      <c r="N27" s="39" t="s">
        <v>831</v>
      </c>
      <c r="R27" s="39" t="s">
        <v>832</v>
      </c>
      <c r="S27" s="39" t="s">
        <v>855</v>
      </c>
      <c r="T27" s="39" t="s">
        <v>834</v>
      </c>
      <c r="U27" s="39" t="s">
        <v>831</v>
      </c>
      <c r="W27" s="39" t="s">
        <v>840</v>
      </c>
      <c r="X27" s="39" t="s">
        <v>880</v>
      </c>
      <c r="Z27" s="39" t="s">
        <v>837</v>
      </c>
      <c r="AB27" s="39">
        <v>0.166666666666666</v>
      </c>
    </row>
    <row r="28">
      <c r="A28" s="39" t="s">
        <v>844</v>
      </c>
      <c r="B28" s="39" t="s">
        <v>845</v>
      </c>
      <c r="C28" s="39">
        <v>0.416666666666666</v>
      </c>
      <c r="D28" s="41">
        <v>43843.0</v>
      </c>
      <c r="E28" s="39" t="s">
        <v>847</v>
      </c>
      <c r="F28" s="39" t="s">
        <v>848</v>
      </c>
      <c r="G28" s="39" t="s">
        <v>849</v>
      </c>
      <c r="H28" s="39">
        <v>120.0</v>
      </c>
      <c r="N28" s="39" t="s">
        <v>831</v>
      </c>
      <c r="R28" s="39" t="s">
        <v>832</v>
      </c>
      <c r="S28" s="39" t="s">
        <v>833</v>
      </c>
      <c r="T28" s="39" t="s">
        <v>834</v>
      </c>
      <c r="U28" s="39" t="s">
        <v>831</v>
      </c>
      <c r="W28" s="39" t="s">
        <v>302</v>
      </c>
      <c r="X28" s="39" t="s">
        <v>846</v>
      </c>
      <c r="Z28" s="39" t="s">
        <v>828</v>
      </c>
      <c r="AB28" s="39">
        <v>0.416666666666666</v>
      </c>
      <c r="AC28" s="39">
        <v>40.0</v>
      </c>
      <c r="AD28" s="39">
        <v>0.0</v>
      </c>
    </row>
    <row r="29">
      <c r="A29" s="39" t="s">
        <v>844</v>
      </c>
      <c r="B29" s="39" t="s">
        <v>845</v>
      </c>
      <c r="C29" s="39">
        <v>2.91666666666666</v>
      </c>
      <c r="D29" s="41">
        <v>43844.0</v>
      </c>
      <c r="E29" s="39" t="s">
        <v>828</v>
      </c>
      <c r="F29" s="39" t="s">
        <v>829</v>
      </c>
      <c r="G29" s="39" t="s">
        <v>830</v>
      </c>
      <c r="H29" s="39">
        <v>120.0</v>
      </c>
      <c r="N29" s="39" t="s">
        <v>831</v>
      </c>
      <c r="R29" s="39" t="s">
        <v>832</v>
      </c>
      <c r="S29" s="39" t="s">
        <v>833</v>
      </c>
      <c r="T29" s="39" t="s">
        <v>834</v>
      </c>
      <c r="U29" s="39" t="s">
        <v>831</v>
      </c>
      <c r="W29" s="39" t="s">
        <v>302</v>
      </c>
      <c r="X29" s="39" t="s">
        <v>846</v>
      </c>
      <c r="Z29" s="39" t="s">
        <v>828</v>
      </c>
      <c r="AB29" s="39">
        <v>2.91666666666666</v>
      </c>
      <c r="AC29" s="39">
        <v>40.0</v>
      </c>
      <c r="AD29" s="39">
        <v>0.0</v>
      </c>
    </row>
    <row r="30">
      <c r="A30" s="39" t="s">
        <v>873</v>
      </c>
      <c r="B30" s="39" t="s">
        <v>874</v>
      </c>
      <c r="C30" s="39">
        <v>0.25</v>
      </c>
      <c r="D30" s="41">
        <v>43844.0</v>
      </c>
      <c r="E30" s="39" t="s">
        <v>847</v>
      </c>
      <c r="F30" s="39" t="s">
        <v>848</v>
      </c>
      <c r="G30" s="39" t="s">
        <v>849</v>
      </c>
      <c r="H30" s="39">
        <v>120.0</v>
      </c>
      <c r="N30" s="39" t="s">
        <v>831</v>
      </c>
      <c r="R30" s="39" t="s">
        <v>832</v>
      </c>
      <c r="S30" s="39" t="s">
        <v>833</v>
      </c>
      <c r="T30" s="39" t="s">
        <v>834</v>
      </c>
      <c r="U30" s="39" t="s">
        <v>831</v>
      </c>
      <c r="W30" s="39" t="s">
        <v>840</v>
      </c>
      <c r="X30" s="39" t="s">
        <v>875</v>
      </c>
      <c r="Z30" s="39" t="s">
        <v>876</v>
      </c>
      <c r="AB30" s="39">
        <v>0.25</v>
      </c>
      <c r="AC30" s="39">
        <v>16.0</v>
      </c>
      <c r="AD30" s="39">
        <v>0.0</v>
      </c>
    </row>
    <row r="31">
      <c r="A31" s="39" t="s">
        <v>869</v>
      </c>
      <c r="B31" s="39" t="s">
        <v>870</v>
      </c>
      <c r="C31" s="39">
        <v>0.833333333333333</v>
      </c>
      <c r="D31" s="41">
        <v>43845.0</v>
      </c>
      <c r="E31" s="39" t="s">
        <v>828</v>
      </c>
      <c r="F31" s="39" t="s">
        <v>829</v>
      </c>
      <c r="G31" s="39" t="s">
        <v>830</v>
      </c>
      <c r="H31" s="39">
        <v>120.0</v>
      </c>
      <c r="N31" s="39" t="s">
        <v>831</v>
      </c>
      <c r="R31" s="39" t="s">
        <v>832</v>
      </c>
      <c r="S31" s="39" t="s">
        <v>833</v>
      </c>
      <c r="T31" s="39" t="s">
        <v>834</v>
      </c>
      <c r="U31" s="39" t="s">
        <v>831</v>
      </c>
      <c r="W31" s="39" t="s">
        <v>840</v>
      </c>
      <c r="X31" s="39" t="s">
        <v>871</v>
      </c>
      <c r="Z31" s="39" t="s">
        <v>872</v>
      </c>
      <c r="AB31" s="39">
        <v>0.833333333333333</v>
      </c>
      <c r="AC31" s="39">
        <v>2.0</v>
      </c>
      <c r="AD31" s="39">
        <v>0.0</v>
      </c>
    </row>
    <row r="32">
      <c r="A32" s="39" t="s">
        <v>838</v>
      </c>
      <c r="B32" s="39" t="s">
        <v>839</v>
      </c>
      <c r="C32" s="39">
        <v>4.7</v>
      </c>
      <c r="D32" s="41">
        <v>43845.0</v>
      </c>
      <c r="E32" s="39" t="s">
        <v>828</v>
      </c>
      <c r="F32" s="39" t="s">
        <v>829</v>
      </c>
      <c r="G32" s="39" t="s">
        <v>830</v>
      </c>
      <c r="H32" s="39">
        <v>120.0</v>
      </c>
      <c r="N32" s="39" t="s">
        <v>831</v>
      </c>
      <c r="R32" s="39" t="s">
        <v>832</v>
      </c>
      <c r="S32" s="39" t="s">
        <v>833</v>
      </c>
      <c r="T32" s="39" t="s">
        <v>834</v>
      </c>
      <c r="U32" s="39" t="s">
        <v>831</v>
      </c>
      <c r="W32" s="39" t="s">
        <v>840</v>
      </c>
      <c r="X32" s="39" t="s">
        <v>841</v>
      </c>
      <c r="Z32" s="39" t="s">
        <v>828</v>
      </c>
      <c r="AB32" s="39">
        <v>4.7</v>
      </c>
      <c r="AC32" s="39">
        <v>60.0</v>
      </c>
      <c r="AD32" s="39">
        <v>3.65</v>
      </c>
    </row>
    <row r="33">
      <c r="A33" s="39" t="s">
        <v>844</v>
      </c>
      <c r="B33" s="39" t="s">
        <v>845</v>
      </c>
      <c r="C33" s="39">
        <v>1.93333333333333</v>
      </c>
      <c r="D33" s="41">
        <v>43845.0</v>
      </c>
      <c r="E33" s="39" t="s">
        <v>828</v>
      </c>
      <c r="F33" s="39" t="s">
        <v>829</v>
      </c>
      <c r="G33" s="39" t="s">
        <v>830</v>
      </c>
      <c r="H33" s="39">
        <v>120.0</v>
      </c>
      <c r="N33" s="39" t="s">
        <v>831</v>
      </c>
      <c r="R33" s="39" t="s">
        <v>832</v>
      </c>
      <c r="S33" s="39" t="s">
        <v>833</v>
      </c>
      <c r="T33" s="39" t="s">
        <v>834</v>
      </c>
      <c r="U33" s="39" t="s">
        <v>831</v>
      </c>
      <c r="W33" s="39" t="s">
        <v>302</v>
      </c>
      <c r="X33" s="39" t="s">
        <v>846</v>
      </c>
      <c r="Z33" s="39" t="s">
        <v>828</v>
      </c>
      <c r="AB33" s="39">
        <v>1.93333333333333</v>
      </c>
      <c r="AC33" s="39">
        <v>40.0</v>
      </c>
      <c r="AD33" s="39">
        <v>0.0</v>
      </c>
    </row>
    <row r="34">
      <c r="A34" s="39" t="s">
        <v>873</v>
      </c>
      <c r="B34" s="39" t="s">
        <v>874</v>
      </c>
      <c r="C34" s="39">
        <v>1.08333333333333</v>
      </c>
      <c r="D34" s="41">
        <v>43846.0</v>
      </c>
      <c r="E34" s="39" t="s">
        <v>828</v>
      </c>
      <c r="F34" s="39" t="s">
        <v>829</v>
      </c>
      <c r="G34" s="39" t="s">
        <v>830</v>
      </c>
      <c r="H34" s="39">
        <v>120.0</v>
      </c>
      <c r="N34" s="39" t="s">
        <v>831</v>
      </c>
      <c r="R34" s="39" t="s">
        <v>832</v>
      </c>
      <c r="S34" s="39" t="s">
        <v>833</v>
      </c>
      <c r="T34" s="39" t="s">
        <v>834</v>
      </c>
      <c r="U34" s="39" t="s">
        <v>831</v>
      </c>
      <c r="W34" s="39" t="s">
        <v>840</v>
      </c>
      <c r="X34" s="39" t="s">
        <v>875</v>
      </c>
      <c r="Z34" s="39" t="s">
        <v>876</v>
      </c>
      <c r="AB34" s="39">
        <v>1.08333333333333</v>
      </c>
      <c r="AC34" s="39">
        <v>16.0</v>
      </c>
      <c r="AD34" s="39">
        <v>0.0</v>
      </c>
    </row>
    <row r="35">
      <c r="A35" s="39" t="s">
        <v>869</v>
      </c>
      <c r="B35" s="39" t="s">
        <v>870</v>
      </c>
      <c r="C35" s="39">
        <v>0.216666666666666</v>
      </c>
      <c r="D35" s="41">
        <v>43846.0</v>
      </c>
      <c r="E35" s="39" t="s">
        <v>828</v>
      </c>
      <c r="F35" s="39" t="s">
        <v>829</v>
      </c>
      <c r="G35" s="39" t="s">
        <v>830</v>
      </c>
      <c r="H35" s="39">
        <v>120.0</v>
      </c>
      <c r="N35" s="39" t="s">
        <v>831</v>
      </c>
      <c r="R35" s="39" t="s">
        <v>832</v>
      </c>
      <c r="S35" s="39" t="s">
        <v>833</v>
      </c>
      <c r="T35" s="39" t="s">
        <v>834</v>
      </c>
      <c r="U35" s="39" t="s">
        <v>831</v>
      </c>
      <c r="W35" s="39" t="s">
        <v>840</v>
      </c>
      <c r="X35" s="39" t="s">
        <v>871</v>
      </c>
      <c r="Z35" s="39" t="s">
        <v>872</v>
      </c>
      <c r="AB35" s="39">
        <v>0.216666666666666</v>
      </c>
      <c r="AC35" s="39">
        <v>2.0</v>
      </c>
      <c r="AD35" s="39">
        <v>0.0</v>
      </c>
    </row>
    <row r="36">
      <c r="A36" s="39" t="s">
        <v>866</v>
      </c>
      <c r="B36" s="39" t="s">
        <v>867</v>
      </c>
      <c r="C36" s="39">
        <v>0.733333333333333</v>
      </c>
      <c r="D36" s="41">
        <v>43846.0</v>
      </c>
      <c r="E36" s="39" t="s">
        <v>828</v>
      </c>
      <c r="F36" s="39" t="s">
        <v>829</v>
      </c>
      <c r="G36" s="39" t="s">
        <v>830</v>
      </c>
      <c r="H36" s="39">
        <v>120.0</v>
      </c>
      <c r="N36" s="39" t="s">
        <v>831</v>
      </c>
      <c r="R36" s="39" t="s">
        <v>832</v>
      </c>
      <c r="S36" s="39" t="s">
        <v>833</v>
      </c>
      <c r="T36" s="39" t="s">
        <v>834</v>
      </c>
      <c r="U36" s="39" t="s">
        <v>831</v>
      </c>
      <c r="W36" s="39" t="s">
        <v>840</v>
      </c>
      <c r="X36" s="39" t="s">
        <v>868</v>
      </c>
      <c r="Z36" s="39" t="s">
        <v>847</v>
      </c>
      <c r="AB36" s="39">
        <v>0.733333333333333</v>
      </c>
      <c r="AC36" s="39">
        <v>2.0</v>
      </c>
      <c r="AD36" s="39">
        <v>0.0</v>
      </c>
    </row>
    <row r="37">
      <c r="A37" s="39" t="s">
        <v>838</v>
      </c>
      <c r="B37" s="39" t="s">
        <v>839</v>
      </c>
      <c r="C37" s="39">
        <v>0.0666666666666666</v>
      </c>
      <c r="D37" s="41">
        <v>43846.0</v>
      </c>
      <c r="E37" s="39" t="s">
        <v>828</v>
      </c>
      <c r="F37" s="39" t="s">
        <v>829</v>
      </c>
      <c r="G37" s="39" t="s">
        <v>830</v>
      </c>
      <c r="H37" s="39">
        <v>120.0</v>
      </c>
      <c r="N37" s="39" t="s">
        <v>831</v>
      </c>
      <c r="R37" s="39" t="s">
        <v>832</v>
      </c>
      <c r="S37" s="39" t="s">
        <v>833</v>
      </c>
      <c r="T37" s="39" t="s">
        <v>834</v>
      </c>
      <c r="U37" s="39" t="s">
        <v>831</v>
      </c>
      <c r="W37" s="39" t="s">
        <v>840</v>
      </c>
      <c r="X37" s="39" t="s">
        <v>841</v>
      </c>
      <c r="Z37" s="39" t="s">
        <v>828</v>
      </c>
      <c r="AB37" s="39">
        <v>0.0666666666666666</v>
      </c>
      <c r="AC37" s="39">
        <v>60.0</v>
      </c>
      <c r="AD37" s="39">
        <v>3.65</v>
      </c>
    </row>
    <row r="38">
      <c r="A38" s="39" t="s">
        <v>877</v>
      </c>
      <c r="B38" s="39" t="s">
        <v>878</v>
      </c>
      <c r="C38" s="39">
        <v>1.36666666666666</v>
      </c>
      <c r="D38" s="41">
        <v>43846.0</v>
      </c>
      <c r="E38" s="39" t="s">
        <v>828</v>
      </c>
      <c r="F38" s="39" t="s">
        <v>829</v>
      </c>
      <c r="G38" s="39" t="s">
        <v>830</v>
      </c>
      <c r="H38" s="39">
        <v>120.0</v>
      </c>
      <c r="N38" s="39" t="s">
        <v>831</v>
      </c>
      <c r="R38" s="39" t="s">
        <v>832</v>
      </c>
      <c r="S38" s="39" t="s">
        <v>833</v>
      </c>
      <c r="T38" s="39" t="s">
        <v>834</v>
      </c>
      <c r="U38" s="39" t="s">
        <v>831</v>
      </c>
      <c r="W38" s="39" t="s">
        <v>835</v>
      </c>
      <c r="X38" s="39" t="s">
        <v>879</v>
      </c>
      <c r="Z38" s="39" t="s">
        <v>837</v>
      </c>
      <c r="AB38" s="39">
        <v>1.36666666666666</v>
      </c>
      <c r="AC38" s="39">
        <v>8.0</v>
      </c>
      <c r="AD38" s="39">
        <v>0.0</v>
      </c>
    </row>
    <row r="39">
      <c r="A39" s="39" t="s">
        <v>844</v>
      </c>
      <c r="B39" s="39" t="s">
        <v>845</v>
      </c>
      <c r="C39" s="39">
        <v>2.55</v>
      </c>
      <c r="D39" s="41">
        <v>43846.0</v>
      </c>
      <c r="E39" s="39" t="s">
        <v>828</v>
      </c>
      <c r="F39" s="39" t="s">
        <v>829</v>
      </c>
      <c r="G39" s="39" t="s">
        <v>830</v>
      </c>
      <c r="H39" s="39">
        <v>120.0</v>
      </c>
      <c r="N39" s="39" t="s">
        <v>831</v>
      </c>
      <c r="R39" s="39" t="s">
        <v>832</v>
      </c>
      <c r="S39" s="39" t="s">
        <v>833</v>
      </c>
      <c r="T39" s="39" t="s">
        <v>834</v>
      </c>
      <c r="U39" s="39" t="s">
        <v>831</v>
      </c>
      <c r="W39" s="39" t="s">
        <v>302</v>
      </c>
      <c r="X39" s="39" t="s">
        <v>846</v>
      </c>
      <c r="Z39" s="39" t="s">
        <v>828</v>
      </c>
      <c r="AB39" s="39">
        <v>2.55</v>
      </c>
      <c r="AC39" s="39">
        <v>40.0</v>
      </c>
      <c r="AD39" s="39">
        <v>0.0</v>
      </c>
    </row>
    <row r="40">
      <c r="A40" s="39" t="s">
        <v>881</v>
      </c>
      <c r="B40" s="39" t="s">
        <v>882</v>
      </c>
      <c r="C40" s="39">
        <v>0.183333333333333</v>
      </c>
      <c r="D40" s="41">
        <v>43846.0</v>
      </c>
      <c r="E40" s="39" t="s">
        <v>828</v>
      </c>
      <c r="F40" s="39" t="s">
        <v>829</v>
      </c>
      <c r="G40" s="39" t="s">
        <v>830</v>
      </c>
      <c r="H40" s="39">
        <v>120.0</v>
      </c>
      <c r="N40" s="39" t="s">
        <v>883</v>
      </c>
      <c r="R40" s="39" t="s">
        <v>832</v>
      </c>
      <c r="S40" s="39" t="s">
        <v>833</v>
      </c>
      <c r="T40" s="39" t="s">
        <v>884</v>
      </c>
      <c r="U40" s="39" t="s">
        <v>883</v>
      </c>
      <c r="W40" s="39" t="s">
        <v>88</v>
      </c>
      <c r="X40" s="39" t="s">
        <v>885</v>
      </c>
      <c r="Z40" s="39" t="s">
        <v>876</v>
      </c>
      <c r="AB40" s="39">
        <v>0.183333333333333</v>
      </c>
      <c r="AC40" s="39">
        <v>2.0</v>
      </c>
      <c r="AD40" s="39">
        <v>0.0</v>
      </c>
    </row>
    <row r="41">
      <c r="A41" s="39" t="s">
        <v>826</v>
      </c>
      <c r="B41" s="39" t="s">
        <v>827</v>
      </c>
      <c r="C41" s="39">
        <v>0.5</v>
      </c>
      <c r="D41" s="41">
        <v>43846.0</v>
      </c>
      <c r="E41" s="39" t="s">
        <v>837</v>
      </c>
      <c r="F41" s="39" t="s">
        <v>886</v>
      </c>
      <c r="G41" s="39" t="s">
        <v>849</v>
      </c>
      <c r="H41" s="39">
        <v>120.0</v>
      </c>
      <c r="N41" s="39" t="s">
        <v>831</v>
      </c>
      <c r="R41" s="39" t="s">
        <v>832</v>
      </c>
      <c r="S41" s="39" t="s">
        <v>833</v>
      </c>
      <c r="T41" s="39" t="s">
        <v>834</v>
      </c>
      <c r="U41" s="39" t="s">
        <v>831</v>
      </c>
      <c r="W41" s="39" t="s">
        <v>835</v>
      </c>
      <c r="X41" s="39" t="s">
        <v>836</v>
      </c>
      <c r="Z41" s="39" t="s">
        <v>837</v>
      </c>
      <c r="AB41" s="39">
        <v>0.5</v>
      </c>
      <c r="AC41" s="39">
        <v>8.0</v>
      </c>
      <c r="AD41" s="39">
        <v>1.43333333333333</v>
      </c>
    </row>
    <row r="42">
      <c r="A42" s="39" t="s">
        <v>877</v>
      </c>
      <c r="B42" s="39" t="s">
        <v>878</v>
      </c>
      <c r="C42" s="39">
        <v>1.0</v>
      </c>
      <c r="D42" s="41">
        <v>43846.0</v>
      </c>
      <c r="E42" s="39" t="s">
        <v>837</v>
      </c>
      <c r="F42" s="39" t="s">
        <v>886</v>
      </c>
      <c r="G42" s="39" t="s">
        <v>849</v>
      </c>
      <c r="H42" s="39">
        <v>120.0</v>
      </c>
      <c r="N42" s="39" t="s">
        <v>831</v>
      </c>
      <c r="R42" s="39" t="s">
        <v>832</v>
      </c>
      <c r="S42" s="39" t="s">
        <v>833</v>
      </c>
      <c r="T42" s="39" t="s">
        <v>834</v>
      </c>
      <c r="U42" s="39" t="s">
        <v>831</v>
      </c>
      <c r="W42" s="39" t="s">
        <v>835</v>
      </c>
      <c r="X42" s="39" t="s">
        <v>879</v>
      </c>
      <c r="Z42" s="39" t="s">
        <v>837</v>
      </c>
      <c r="AB42" s="39">
        <v>1.0</v>
      </c>
      <c r="AC42" s="39">
        <v>8.0</v>
      </c>
      <c r="AD42" s="39">
        <v>0.0</v>
      </c>
    </row>
    <row r="43">
      <c r="A43" s="39" t="s">
        <v>887</v>
      </c>
      <c r="B43" s="39" t="s">
        <v>888</v>
      </c>
      <c r="C43" s="39">
        <v>2.18333333333333</v>
      </c>
      <c r="D43" s="41">
        <v>43846.0</v>
      </c>
      <c r="E43" s="39" t="s">
        <v>847</v>
      </c>
      <c r="F43" s="39" t="s">
        <v>848</v>
      </c>
      <c r="G43" s="39" t="s">
        <v>849</v>
      </c>
      <c r="H43" s="39">
        <v>120.0</v>
      </c>
      <c r="N43" s="39" t="s">
        <v>831</v>
      </c>
      <c r="R43" s="39" t="s">
        <v>832</v>
      </c>
      <c r="S43" s="39" t="s">
        <v>889</v>
      </c>
      <c r="T43" s="39" t="s">
        <v>834</v>
      </c>
      <c r="U43" s="39" t="s">
        <v>831</v>
      </c>
      <c r="W43" s="39" t="s">
        <v>840</v>
      </c>
      <c r="X43" s="39" t="s">
        <v>890</v>
      </c>
      <c r="Z43" s="39" t="s">
        <v>847</v>
      </c>
      <c r="AB43" s="39">
        <v>2.18333333333333</v>
      </c>
    </row>
    <row r="44">
      <c r="A44" s="39" t="s">
        <v>881</v>
      </c>
      <c r="B44" s="39" t="s">
        <v>882</v>
      </c>
      <c r="C44" s="39">
        <v>0.766666666666666</v>
      </c>
      <c r="D44" s="41">
        <v>43847.0</v>
      </c>
      <c r="E44" s="39" t="s">
        <v>828</v>
      </c>
      <c r="F44" s="39" t="s">
        <v>829</v>
      </c>
      <c r="G44" s="39" t="s">
        <v>830</v>
      </c>
      <c r="H44" s="39">
        <v>120.0</v>
      </c>
      <c r="N44" s="39" t="s">
        <v>883</v>
      </c>
      <c r="R44" s="39" t="s">
        <v>832</v>
      </c>
      <c r="S44" s="39" t="s">
        <v>833</v>
      </c>
      <c r="T44" s="39" t="s">
        <v>884</v>
      </c>
      <c r="U44" s="39" t="s">
        <v>883</v>
      </c>
      <c r="W44" s="39" t="s">
        <v>88</v>
      </c>
      <c r="X44" s="39" t="s">
        <v>885</v>
      </c>
      <c r="Z44" s="39" t="s">
        <v>876</v>
      </c>
      <c r="AB44" s="39">
        <v>0.766666666666666</v>
      </c>
      <c r="AC44" s="39">
        <v>2.0</v>
      </c>
      <c r="AD44" s="39">
        <v>0.0</v>
      </c>
    </row>
    <row r="45">
      <c r="A45" s="39" t="s">
        <v>826</v>
      </c>
      <c r="B45" s="39" t="s">
        <v>827</v>
      </c>
      <c r="C45" s="39">
        <v>0.616666666666666</v>
      </c>
      <c r="D45" s="41">
        <v>43847.0</v>
      </c>
      <c r="E45" s="39" t="s">
        <v>828</v>
      </c>
      <c r="F45" s="39" t="s">
        <v>829</v>
      </c>
      <c r="G45" s="39" t="s">
        <v>830</v>
      </c>
      <c r="H45" s="39">
        <v>120.0</v>
      </c>
      <c r="N45" s="39" t="s">
        <v>831</v>
      </c>
      <c r="R45" s="39" t="s">
        <v>832</v>
      </c>
      <c r="S45" s="39" t="s">
        <v>833</v>
      </c>
      <c r="T45" s="39" t="s">
        <v>834</v>
      </c>
      <c r="U45" s="39" t="s">
        <v>831</v>
      </c>
      <c r="W45" s="39" t="s">
        <v>835</v>
      </c>
      <c r="X45" s="39" t="s">
        <v>836</v>
      </c>
      <c r="Z45" s="39" t="s">
        <v>837</v>
      </c>
      <c r="AB45" s="39">
        <v>0.616666666666666</v>
      </c>
      <c r="AC45" s="39">
        <v>8.0</v>
      </c>
      <c r="AD45" s="39">
        <v>1.43333333333333</v>
      </c>
    </row>
    <row r="46">
      <c r="A46" s="39" t="s">
        <v>873</v>
      </c>
      <c r="B46" s="39" t="s">
        <v>874</v>
      </c>
      <c r="C46" s="39">
        <v>2.26666666666666</v>
      </c>
      <c r="D46" s="41">
        <v>43847.0</v>
      </c>
      <c r="E46" s="39" t="s">
        <v>828</v>
      </c>
      <c r="F46" s="39" t="s">
        <v>829</v>
      </c>
      <c r="G46" s="39" t="s">
        <v>830</v>
      </c>
      <c r="H46" s="39">
        <v>120.0</v>
      </c>
      <c r="N46" s="39" t="s">
        <v>831</v>
      </c>
      <c r="R46" s="39" t="s">
        <v>832</v>
      </c>
      <c r="S46" s="39" t="s">
        <v>833</v>
      </c>
      <c r="T46" s="39" t="s">
        <v>834</v>
      </c>
      <c r="U46" s="39" t="s">
        <v>831</v>
      </c>
      <c r="W46" s="39" t="s">
        <v>840</v>
      </c>
      <c r="X46" s="39" t="s">
        <v>875</v>
      </c>
      <c r="Z46" s="39" t="s">
        <v>876</v>
      </c>
      <c r="AB46" s="39">
        <v>2.26666666666666</v>
      </c>
      <c r="AC46" s="39">
        <v>16.0</v>
      </c>
      <c r="AD46" s="39">
        <v>0.0</v>
      </c>
    </row>
    <row r="47">
      <c r="A47" s="39" t="s">
        <v>863</v>
      </c>
      <c r="B47" s="39" t="s">
        <v>864</v>
      </c>
      <c r="C47" s="39">
        <v>0.466666666666666</v>
      </c>
      <c r="D47" s="41">
        <v>43847.0</v>
      </c>
      <c r="E47" s="39" t="s">
        <v>828</v>
      </c>
      <c r="F47" s="39" t="s">
        <v>829</v>
      </c>
      <c r="G47" s="39" t="s">
        <v>830</v>
      </c>
      <c r="H47" s="39">
        <v>120.0</v>
      </c>
      <c r="N47" s="39" t="s">
        <v>831</v>
      </c>
      <c r="R47" s="39" t="s">
        <v>832</v>
      </c>
      <c r="S47" s="39" t="s">
        <v>833</v>
      </c>
      <c r="T47" s="39" t="s">
        <v>834</v>
      </c>
      <c r="U47" s="39" t="s">
        <v>831</v>
      </c>
      <c r="W47" s="39" t="s">
        <v>840</v>
      </c>
      <c r="X47" s="39" t="s">
        <v>865</v>
      </c>
      <c r="Z47" s="39" t="s">
        <v>847</v>
      </c>
      <c r="AB47" s="39">
        <v>0.466666666666666</v>
      </c>
      <c r="AC47" s="39">
        <v>4.0</v>
      </c>
      <c r="AD47" s="39">
        <v>0.0</v>
      </c>
    </row>
    <row r="48">
      <c r="A48" s="39" t="s">
        <v>869</v>
      </c>
      <c r="B48" s="39" t="s">
        <v>870</v>
      </c>
      <c r="C48" s="39">
        <v>1.28333333333333</v>
      </c>
      <c r="D48" s="41">
        <v>43847.0</v>
      </c>
      <c r="E48" s="39" t="s">
        <v>828</v>
      </c>
      <c r="F48" s="39" t="s">
        <v>829</v>
      </c>
      <c r="G48" s="39" t="s">
        <v>830</v>
      </c>
      <c r="H48" s="39">
        <v>120.0</v>
      </c>
      <c r="N48" s="39" t="s">
        <v>831</v>
      </c>
      <c r="R48" s="39" t="s">
        <v>832</v>
      </c>
      <c r="S48" s="39" t="s">
        <v>833</v>
      </c>
      <c r="T48" s="39" t="s">
        <v>834</v>
      </c>
      <c r="U48" s="39" t="s">
        <v>831</v>
      </c>
      <c r="W48" s="39" t="s">
        <v>840</v>
      </c>
      <c r="X48" s="39" t="s">
        <v>871</v>
      </c>
      <c r="Z48" s="39" t="s">
        <v>872</v>
      </c>
      <c r="AB48" s="39">
        <v>1.28333333333333</v>
      </c>
      <c r="AC48" s="39">
        <v>2.0</v>
      </c>
      <c r="AD48" s="39">
        <v>0.0</v>
      </c>
    </row>
    <row r="49">
      <c r="A49" s="39" t="s">
        <v>844</v>
      </c>
      <c r="B49" s="39" t="s">
        <v>845</v>
      </c>
      <c r="C49" s="39">
        <v>1.15</v>
      </c>
      <c r="D49" s="41">
        <v>43847.0</v>
      </c>
      <c r="E49" s="39" t="s">
        <v>828</v>
      </c>
      <c r="F49" s="39" t="s">
        <v>829</v>
      </c>
      <c r="G49" s="39" t="s">
        <v>830</v>
      </c>
      <c r="H49" s="39">
        <v>120.0</v>
      </c>
      <c r="N49" s="39" t="s">
        <v>831</v>
      </c>
      <c r="R49" s="39" t="s">
        <v>832</v>
      </c>
      <c r="S49" s="39" t="s">
        <v>833</v>
      </c>
      <c r="T49" s="39" t="s">
        <v>834</v>
      </c>
      <c r="U49" s="39" t="s">
        <v>831</v>
      </c>
      <c r="W49" s="39" t="s">
        <v>302</v>
      </c>
      <c r="X49" s="39" t="s">
        <v>846</v>
      </c>
      <c r="Z49" s="39" t="s">
        <v>828</v>
      </c>
      <c r="AB49" s="39">
        <v>1.15</v>
      </c>
      <c r="AC49" s="39">
        <v>40.0</v>
      </c>
      <c r="AD49" s="39">
        <v>0.0</v>
      </c>
    </row>
    <row r="50">
      <c r="A50" s="39" t="s">
        <v>887</v>
      </c>
      <c r="B50" s="39" t="s">
        <v>888</v>
      </c>
      <c r="C50" s="39">
        <v>1.56666666666666</v>
      </c>
      <c r="D50" s="41">
        <v>43847.0</v>
      </c>
      <c r="E50" s="39" t="s">
        <v>847</v>
      </c>
      <c r="F50" s="39" t="s">
        <v>848</v>
      </c>
      <c r="G50" s="39" t="s">
        <v>849</v>
      </c>
      <c r="H50" s="39">
        <v>120.0</v>
      </c>
      <c r="N50" s="39" t="s">
        <v>831</v>
      </c>
      <c r="R50" s="39" t="s">
        <v>832</v>
      </c>
      <c r="S50" s="39" t="s">
        <v>889</v>
      </c>
      <c r="T50" s="39" t="s">
        <v>834</v>
      </c>
      <c r="U50" s="39" t="s">
        <v>831</v>
      </c>
      <c r="W50" s="39" t="s">
        <v>840</v>
      </c>
      <c r="X50" s="39" t="s">
        <v>890</v>
      </c>
      <c r="Z50" s="39" t="s">
        <v>847</v>
      </c>
      <c r="AB50" s="39">
        <v>1.56666666666666</v>
      </c>
    </row>
    <row r="51">
      <c r="A51" s="39" t="s">
        <v>887</v>
      </c>
      <c r="B51" s="39" t="s">
        <v>888</v>
      </c>
      <c r="C51" s="39">
        <v>2.0</v>
      </c>
      <c r="D51" s="41">
        <v>43847.0</v>
      </c>
      <c r="E51" s="39" t="s">
        <v>847</v>
      </c>
      <c r="F51" s="39" t="s">
        <v>848</v>
      </c>
      <c r="G51" s="39" t="s">
        <v>849</v>
      </c>
      <c r="H51" s="39">
        <v>120.0</v>
      </c>
      <c r="N51" s="39" t="s">
        <v>831</v>
      </c>
      <c r="R51" s="39" t="s">
        <v>832</v>
      </c>
      <c r="S51" s="39" t="s">
        <v>889</v>
      </c>
      <c r="T51" s="39" t="s">
        <v>834</v>
      </c>
      <c r="U51" s="39" t="s">
        <v>831</v>
      </c>
      <c r="W51" s="39" t="s">
        <v>840</v>
      </c>
      <c r="X51" s="39" t="s">
        <v>890</v>
      </c>
      <c r="Z51" s="39" t="s">
        <v>847</v>
      </c>
      <c r="AB51" s="39">
        <v>2.0</v>
      </c>
    </row>
    <row r="52">
      <c r="A52" s="39" t="s">
        <v>869</v>
      </c>
      <c r="B52" s="39" t="s">
        <v>870</v>
      </c>
      <c r="C52" s="39">
        <v>0.05</v>
      </c>
      <c r="D52" s="41">
        <v>43847.0</v>
      </c>
      <c r="E52" s="39" t="s">
        <v>847</v>
      </c>
      <c r="F52" s="39" t="s">
        <v>848</v>
      </c>
      <c r="G52" s="39" t="s">
        <v>849</v>
      </c>
      <c r="H52" s="39">
        <v>120.0</v>
      </c>
      <c r="N52" s="39" t="s">
        <v>831</v>
      </c>
      <c r="R52" s="39" t="s">
        <v>832</v>
      </c>
      <c r="S52" s="39" t="s">
        <v>833</v>
      </c>
      <c r="T52" s="39" t="s">
        <v>834</v>
      </c>
      <c r="U52" s="39" t="s">
        <v>831</v>
      </c>
      <c r="W52" s="39" t="s">
        <v>840</v>
      </c>
      <c r="X52" s="39" t="s">
        <v>871</v>
      </c>
      <c r="Z52" s="39" t="s">
        <v>872</v>
      </c>
      <c r="AB52" s="39">
        <v>0.05</v>
      </c>
      <c r="AC52" s="39">
        <v>2.0</v>
      </c>
      <c r="AD52" s="39">
        <v>0.0</v>
      </c>
    </row>
    <row r="53">
      <c r="A53" s="39" t="s">
        <v>838</v>
      </c>
      <c r="B53" s="39" t="s">
        <v>839</v>
      </c>
      <c r="C53" s="39">
        <v>1.51666666666666</v>
      </c>
      <c r="D53" s="41">
        <v>43850.0</v>
      </c>
      <c r="E53" s="39" t="s">
        <v>828</v>
      </c>
      <c r="F53" s="39" t="s">
        <v>829</v>
      </c>
      <c r="G53" s="39" t="s">
        <v>830</v>
      </c>
      <c r="H53" s="39">
        <v>120.0</v>
      </c>
      <c r="N53" s="39" t="s">
        <v>831</v>
      </c>
      <c r="R53" s="39" t="s">
        <v>832</v>
      </c>
      <c r="S53" s="39" t="s">
        <v>833</v>
      </c>
      <c r="T53" s="39" t="s">
        <v>834</v>
      </c>
      <c r="U53" s="39" t="s">
        <v>831</v>
      </c>
      <c r="W53" s="39" t="s">
        <v>840</v>
      </c>
      <c r="X53" s="39" t="s">
        <v>841</v>
      </c>
      <c r="Z53" s="39" t="s">
        <v>828</v>
      </c>
      <c r="AB53" s="39">
        <v>1.51666666666666</v>
      </c>
      <c r="AC53" s="39">
        <v>60.0</v>
      </c>
      <c r="AD53" s="39">
        <v>3.65</v>
      </c>
    </row>
    <row r="54">
      <c r="A54" s="39" t="s">
        <v>844</v>
      </c>
      <c r="B54" s="39" t="s">
        <v>845</v>
      </c>
      <c r="C54" s="39">
        <v>0.0666666666666666</v>
      </c>
      <c r="D54" s="41">
        <v>43850.0</v>
      </c>
      <c r="E54" s="39" t="s">
        <v>828</v>
      </c>
      <c r="F54" s="39" t="s">
        <v>829</v>
      </c>
      <c r="G54" s="39" t="s">
        <v>830</v>
      </c>
      <c r="H54" s="39">
        <v>120.0</v>
      </c>
      <c r="N54" s="39" t="s">
        <v>831</v>
      </c>
      <c r="R54" s="39" t="s">
        <v>832</v>
      </c>
      <c r="S54" s="39" t="s">
        <v>833</v>
      </c>
      <c r="T54" s="39" t="s">
        <v>834</v>
      </c>
      <c r="U54" s="39" t="s">
        <v>831</v>
      </c>
      <c r="W54" s="39" t="s">
        <v>302</v>
      </c>
      <c r="X54" s="39" t="s">
        <v>846</v>
      </c>
      <c r="Z54" s="39" t="s">
        <v>828</v>
      </c>
      <c r="AB54" s="39">
        <v>0.0666666666666666</v>
      </c>
      <c r="AC54" s="39">
        <v>40.0</v>
      </c>
      <c r="AD54" s="39">
        <v>0.0</v>
      </c>
    </row>
    <row r="55">
      <c r="A55" s="39" t="s">
        <v>873</v>
      </c>
      <c r="B55" s="39" t="s">
        <v>874</v>
      </c>
      <c r="C55" s="39">
        <v>1.16666666666666</v>
      </c>
      <c r="D55" s="41">
        <v>43850.0</v>
      </c>
      <c r="E55" s="39" t="s">
        <v>828</v>
      </c>
      <c r="F55" s="39" t="s">
        <v>829</v>
      </c>
      <c r="G55" s="39" t="s">
        <v>830</v>
      </c>
      <c r="H55" s="39">
        <v>120.0</v>
      </c>
      <c r="N55" s="39" t="s">
        <v>831</v>
      </c>
      <c r="R55" s="39" t="s">
        <v>832</v>
      </c>
      <c r="S55" s="39" t="s">
        <v>833</v>
      </c>
      <c r="T55" s="39" t="s">
        <v>834</v>
      </c>
      <c r="U55" s="39" t="s">
        <v>831</v>
      </c>
      <c r="W55" s="39" t="s">
        <v>840</v>
      </c>
      <c r="X55" s="39" t="s">
        <v>875</v>
      </c>
      <c r="Z55" s="39" t="s">
        <v>876</v>
      </c>
      <c r="AB55" s="39">
        <v>1.16666666666666</v>
      </c>
      <c r="AC55" s="39">
        <v>16.0</v>
      </c>
      <c r="AD55" s="39">
        <v>0.0</v>
      </c>
    </row>
    <row r="56">
      <c r="A56" s="39" t="s">
        <v>891</v>
      </c>
      <c r="B56" s="39" t="s">
        <v>892</v>
      </c>
      <c r="C56" s="39">
        <v>1.43333333333333</v>
      </c>
      <c r="D56" s="41">
        <v>43850.0</v>
      </c>
      <c r="E56" s="39" t="s">
        <v>828</v>
      </c>
      <c r="F56" s="39" t="s">
        <v>829</v>
      </c>
      <c r="G56" s="39" t="s">
        <v>830</v>
      </c>
      <c r="H56" s="39">
        <v>120.0</v>
      </c>
      <c r="N56" s="39" t="s">
        <v>831</v>
      </c>
      <c r="R56" s="39" t="s">
        <v>832</v>
      </c>
      <c r="S56" s="39" t="s">
        <v>833</v>
      </c>
      <c r="T56" s="39" t="s">
        <v>834</v>
      </c>
      <c r="U56" s="39" t="s">
        <v>831</v>
      </c>
      <c r="W56" s="39" t="s">
        <v>840</v>
      </c>
      <c r="X56" s="39" t="s">
        <v>893</v>
      </c>
      <c r="Z56" s="39" t="s">
        <v>876</v>
      </c>
      <c r="AB56" s="39">
        <v>1.43333333333333</v>
      </c>
      <c r="AC56" s="39">
        <v>60.0</v>
      </c>
      <c r="AD56" s="39">
        <v>31.2833333333333</v>
      </c>
    </row>
    <row r="57">
      <c r="A57" s="39" t="s">
        <v>571</v>
      </c>
      <c r="B57" s="39" t="s">
        <v>572</v>
      </c>
      <c r="C57" s="39">
        <v>0.416666666666666</v>
      </c>
      <c r="D57" s="41">
        <v>43850.0</v>
      </c>
      <c r="E57" s="39" t="s">
        <v>828</v>
      </c>
      <c r="F57" s="39" t="s">
        <v>829</v>
      </c>
      <c r="G57" s="39" t="s">
        <v>830</v>
      </c>
      <c r="H57" s="39">
        <v>120.0</v>
      </c>
      <c r="N57" s="39" t="s">
        <v>831</v>
      </c>
      <c r="R57" s="39" t="s">
        <v>832</v>
      </c>
      <c r="S57" s="39" t="s">
        <v>842</v>
      </c>
      <c r="T57" s="39" t="s">
        <v>834</v>
      </c>
      <c r="U57" s="39" t="s">
        <v>831</v>
      </c>
      <c r="W57" s="39" t="s">
        <v>302</v>
      </c>
      <c r="X57" s="39" t="s">
        <v>843</v>
      </c>
      <c r="Z57" s="39" t="s">
        <v>828</v>
      </c>
      <c r="AB57" s="39">
        <v>0.416666666666666</v>
      </c>
    </row>
    <row r="58">
      <c r="A58" s="39" t="s">
        <v>826</v>
      </c>
      <c r="B58" s="39" t="s">
        <v>827</v>
      </c>
      <c r="C58" s="39">
        <v>1.48333333333333</v>
      </c>
      <c r="D58" s="41">
        <v>43850.0</v>
      </c>
      <c r="E58" s="39" t="s">
        <v>828</v>
      </c>
      <c r="F58" s="39" t="s">
        <v>829</v>
      </c>
      <c r="G58" s="39" t="s">
        <v>830</v>
      </c>
      <c r="H58" s="39">
        <v>120.0</v>
      </c>
      <c r="N58" s="39" t="s">
        <v>831</v>
      </c>
      <c r="R58" s="39" t="s">
        <v>832</v>
      </c>
      <c r="S58" s="39" t="s">
        <v>833</v>
      </c>
      <c r="T58" s="39" t="s">
        <v>834</v>
      </c>
      <c r="U58" s="39" t="s">
        <v>831</v>
      </c>
      <c r="W58" s="39" t="s">
        <v>835</v>
      </c>
      <c r="X58" s="39" t="s">
        <v>836</v>
      </c>
      <c r="Z58" s="39" t="s">
        <v>837</v>
      </c>
      <c r="AB58" s="39">
        <v>1.48333333333333</v>
      </c>
      <c r="AC58" s="39">
        <v>8.0</v>
      </c>
      <c r="AD58" s="39">
        <v>1.43333333333333</v>
      </c>
    </row>
    <row r="59">
      <c r="A59" s="39" t="s">
        <v>881</v>
      </c>
      <c r="B59" s="39" t="s">
        <v>882</v>
      </c>
      <c r="C59" s="39">
        <v>1.03333333333333</v>
      </c>
      <c r="D59" s="41">
        <v>43850.0</v>
      </c>
      <c r="E59" s="39" t="s">
        <v>828</v>
      </c>
      <c r="F59" s="39" t="s">
        <v>829</v>
      </c>
      <c r="G59" s="39" t="s">
        <v>830</v>
      </c>
      <c r="H59" s="39">
        <v>120.0</v>
      </c>
      <c r="N59" s="39" t="s">
        <v>883</v>
      </c>
      <c r="R59" s="39" t="s">
        <v>832</v>
      </c>
      <c r="S59" s="39" t="s">
        <v>833</v>
      </c>
      <c r="T59" s="39" t="s">
        <v>884</v>
      </c>
      <c r="U59" s="39" t="s">
        <v>883</v>
      </c>
      <c r="W59" s="39" t="s">
        <v>88</v>
      </c>
      <c r="X59" s="39" t="s">
        <v>885</v>
      </c>
      <c r="Z59" s="39" t="s">
        <v>876</v>
      </c>
      <c r="AB59" s="39">
        <v>1.03333333333333</v>
      </c>
      <c r="AC59" s="39">
        <v>2.0</v>
      </c>
      <c r="AD59" s="39">
        <v>0.0</v>
      </c>
    </row>
    <row r="60">
      <c r="A60" s="39" t="s">
        <v>873</v>
      </c>
      <c r="B60" s="39" t="s">
        <v>874</v>
      </c>
      <c r="C60" s="39">
        <v>0.25</v>
      </c>
      <c r="D60" s="41">
        <v>43850.0</v>
      </c>
      <c r="E60" s="39" t="s">
        <v>847</v>
      </c>
      <c r="F60" s="39" t="s">
        <v>848</v>
      </c>
      <c r="G60" s="39" t="s">
        <v>849</v>
      </c>
      <c r="H60" s="39">
        <v>120.0</v>
      </c>
      <c r="N60" s="39" t="s">
        <v>831</v>
      </c>
      <c r="R60" s="39" t="s">
        <v>832</v>
      </c>
      <c r="S60" s="39" t="s">
        <v>833</v>
      </c>
      <c r="T60" s="39" t="s">
        <v>834</v>
      </c>
      <c r="U60" s="39" t="s">
        <v>831</v>
      </c>
      <c r="W60" s="39" t="s">
        <v>840</v>
      </c>
      <c r="X60" s="39" t="s">
        <v>875</v>
      </c>
      <c r="Z60" s="39" t="s">
        <v>876</v>
      </c>
      <c r="AB60" s="39">
        <v>0.25</v>
      </c>
      <c r="AC60" s="39">
        <v>16.0</v>
      </c>
      <c r="AD60" s="39">
        <v>0.0</v>
      </c>
    </row>
    <row r="61">
      <c r="A61" s="39" t="s">
        <v>887</v>
      </c>
      <c r="B61" s="39" t="s">
        <v>888</v>
      </c>
      <c r="C61" s="39">
        <v>2.08333333333333</v>
      </c>
      <c r="D61" s="41">
        <v>43850.0</v>
      </c>
      <c r="E61" s="39" t="s">
        <v>847</v>
      </c>
      <c r="F61" s="39" t="s">
        <v>848</v>
      </c>
      <c r="G61" s="39" t="s">
        <v>849</v>
      </c>
      <c r="H61" s="39">
        <v>120.0</v>
      </c>
      <c r="N61" s="39" t="s">
        <v>831</v>
      </c>
      <c r="R61" s="39" t="s">
        <v>832</v>
      </c>
      <c r="S61" s="39" t="s">
        <v>889</v>
      </c>
      <c r="T61" s="39" t="s">
        <v>834</v>
      </c>
      <c r="U61" s="39" t="s">
        <v>831</v>
      </c>
      <c r="W61" s="39" t="s">
        <v>840</v>
      </c>
      <c r="X61" s="39" t="s">
        <v>890</v>
      </c>
      <c r="Z61" s="39" t="s">
        <v>847</v>
      </c>
      <c r="AB61" s="39">
        <v>2.08333333333333</v>
      </c>
    </row>
    <row r="62">
      <c r="A62" s="39" t="s">
        <v>891</v>
      </c>
      <c r="B62" s="39" t="s">
        <v>892</v>
      </c>
      <c r="C62" s="39">
        <v>0.166666666666666</v>
      </c>
      <c r="D62" s="41">
        <v>43851.0</v>
      </c>
      <c r="E62" s="39" t="s">
        <v>828</v>
      </c>
      <c r="F62" s="39" t="s">
        <v>829</v>
      </c>
      <c r="G62" s="39" t="s">
        <v>830</v>
      </c>
      <c r="H62" s="39">
        <v>120.0</v>
      </c>
      <c r="N62" s="39" t="s">
        <v>831</v>
      </c>
      <c r="R62" s="39" t="s">
        <v>832</v>
      </c>
      <c r="S62" s="39" t="s">
        <v>833</v>
      </c>
      <c r="T62" s="39" t="s">
        <v>834</v>
      </c>
      <c r="U62" s="39" t="s">
        <v>831</v>
      </c>
      <c r="W62" s="39" t="s">
        <v>840</v>
      </c>
      <c r="X62" s="39" t="s">
        <v>893</v>
      </c>
      <c r="Z62" s="39" t="s">
        <v>876</v>
      </c>
      <c r="AB62" s="39">
        <v>0.166666666666666</v>
      </c>
      <c r="AC62" s="39">
        <v>60.0</v>
      </c>
      <c r="AD62" s="39">
        <v>31.2833333333333</v>
      </c>
    </row>
    <row r="63">
      <c r="A63" s="39" t="s">
        <v>873</v>
      </c>
      <c r="B63" s="39" t="s">
        <v>874</v>
      </c>
      <c r="C63" s="39">
        <v>0.0833333333333333</v>
      </c>
      <c r="D63" s="41">
        <v>43851.0</v>
      </c>
      <c r="E63" s="39" t="s">
        <v>828</v>
      </c>
      <c r="F63" s="39" t="s">
        <v>829</v>
      </c>
      <c r="G63" s="39" t="s">
        <v>830</v>
      </c>
      <c r="H63" s="39">
        <v>120.0</v>
      </c>
      <c r="N63" s="39" t="s">
        <v>831</v>
      </c>
      <c r="R63" s="39" t="s">
        <v>832</v>
      </c>
      <c r="S63" s="39" t="s">
        <v>833</v>
      </c>
      <c r="T63" s="39" t="s">
        <v>834</v>
      </c>
      <c r="U63" s="39" t="s">
        <v>831</v>
      </c>
      <c r="W63" s="39" t="s">
        <v>840</v>
      </c>
      <c r="X63" s="39" t="s">
        <v>875</v>
      </c>
      <c r="Z63" s="39" t="s">
        <v>876</v>
      </c>
      <c r="AB63" s="39">
        <v>0.0833333333333333</v>
      </c>
      <c r="AC63" s="39">
        <v>16.0</v>
      </c>
      <c r="AD63" s="39">
        <v>0.0</v>
      </c>
    </row>
    <row r="64">
      <c r="A64" s="39" t="s">
        <v>877</v>
      </c>
      <c r="B64" s="39" t="s">
        <v>878</v>
      </c>
      <c r="C64" s="39">
        <v>0.05</v>
      </c>
      <c r="D64" s="41">
        <v>43851.0</v>
      </c>
      <c r="E64" s="39" t="s">
        <v>828</v>
      </c>
      <c r="F64" s="39" t="s">
        <v>829</v>
      </c>
      <c r="G64" s="39" t="s">
        <v>830</v>
      </c>
      <c r="H64" s="39">
        <v>120.0</v>
      </c>
      <c r="N64" s="39" t="s">
        <v>831</v>
      </c>
      <c r="R64" s="39" t="s">
        <v>832</v>
      </c>
      <c r="S64" s="39" t="s">
        <v>833</v>
      </c>
      <c r="T64" s="39" t="s">
        <v>834</v>
      </c>
      <c r="U64" s="39" t="s">
        <v>831</v>
      </c>
      <c r="W64" s="39" t="s">
        <v>835</v>
      </c>
      <c r="X64" s="39" t="s">
        <v>879</v>
      </c>
      <c r="Z64" s="39" t="s">
        <v>837</v>
      </c>
      <c r="AB64" s="39">
        <v>0.05</v>
      </c>
      <c r="AC64" s="39">
        <v>8.0</v>
      </c>
      <c r="AD64" s="39">
        <v>0.0</v>
      </c>
    </row>
    <row r="65">
      <c r="A65" s="39" t="s">
        <v>844</v>
      </c>
      <c r="B65" s="39" t="s">
        <v>845</v>
      </c>
      <c r="C65" s="39">
        <v>0.116666666666666</v>
      </c>
      <c r="D65" s="41">
        <v>43851.0</v>
      </c>
      <c r="E65" s="39" t="s">
        <v>828</v>
      </c>
      <c r="F65" s="39" t="s">
        <v>829</v>
      </c>
      <c r="G65" s="39" t="s">
        <v>830</v>
      </c>
      <c r="H65" s="39">
        <v>120.0</v>
      </c>
      <c r="N65" s="39" t="s">
        <v>831</v>
      </c>
      <c r="R65" s="39" t="s">
        <v>832</v>
      </c>
      <c r="S65" s="39" t="s">
        <v>833</v>
      </c>
      <c r="T65" s="39" t="s">
        <v>834</v>
      </c>
      <c r="U65" s="39" t="s">
        <v>831</v>
      </c>
      <c r="W65" s="39" t="s">
        <v>302</v>
      </c>
      <c r="X65" s="39" t="s">
        <v>846</v>
      </c>
      <c r="Z65" s="39" t="s">
        <v>828</v>
      </c>
      <c r="AB65" s="39">
        <v>0.116666666666666</v>
      </c>
      <c r="AC65" s="39">
        <v>40.0</v>
      </c>
      <c r="AD65" s="39">
        <v>0.0</v>
      </c>
    </row>
    <row r="66">
      <c r="A66" s="39" t="s">
        <v>826</v>
      </c>
      <c r="B66" s="39" t="s">
        <v>827</v>
      </c>
      <c r="C66" s="39">
        <v>1.36666666666666</v>
      </c>
      <c r="D66" s="41">
        <v>43851.0</v>
      </c>
      <c r="E66" s="39" t="s">
        <v>828</v>
      </c>
      <c r="F66" s="39" t="s">
        <v>829</v>
      </c>
      <c r="G66" s="39" t="s">
        <v>830</v>
      </c>
      <c r="H66" s="39">
        <v>120.0</v>
      </c>
      <c r="N66" s="39" t="s">
        <v>831</v>
      </c>
      <c r="R66" s="39" t="s">
        <v>832</v>
      </c>
      <c r="S66" s="39" t="s">
        <v>833</v>
      </c>
      <c r="T66" s="39" t="s">
        <v>834</v>
      </c>
      <c r="U66" s="39" t="s">
        <v>831</v>
      </c>
      <c r="W66" s="39" t="s">
        <v>835</v>
      </c>
      <c r="X66" s="39" t="s">
        <v>836</v>
      </c>
      <c r="Z66" s="39" t="s">
        <v>837</v>
      </c>
      <c r="AB66" s="39">
        <v>1.36666666666666</v>
      </c>
      <c r="AC66" s="39">
        <v>8.0</v>
      </c>
      <c r="AD66" s="39">
        <v>1.43333333333333</v>
      </c>
    </row>
    <row r="67">
      <c r="A67" s="39" t="s">
        <v>838</v>
      </c>
      <c r="B67" s="39" t="s">
        <v>839</v>
      </c>
      <c r="C67" s="39">
        <v>4.75</v>
      </c>
      <c r="D67" s="41">
        <v>43851.0</v>
      </c>
      <c r="E67" s="39" t="s">
        <v>828</v>
      </c>
      <c r="F67" s="39" t="s">
        <v>829</v>
      </c>
      <c r="G67" s="39" t="s">
        <v>830</v>
      </c>
      <c r="H67" s="39">
        <v>120.0</v>
      </c>
      <c r="N67" s="39" t="s">
        <v>831</v>
      </c>
      <c r="R67" s="39" t="s">
        <v>832</v>
      </c>
      <c r="S67" s="39" t="s">
        <v>833</v>
      </c>
      <c r="T67" s="39" t="s">
        <v>834</v>
      </c>
      <c r="U67" s="39" t="s">
        <v>831</v>
      </c>
      <c r="W67" s="39" t="s">
        <v>840</v>
      </c>
      <c r="X67" s="39" t="s">
        <v>841</v>
      </c>
      <c r="Z67" s="39" t="s">
        <v>828</v>
      </c>
      <c r="AB67" s="39">
        <v>4.75</v>
      </c>
      <c r="AC67" s="39">
        <v>60.0</v>
      </c>
      <c r="AD67" s="39">
        <v>3.65</v>
      </c>
    </row>
    <row r="68">
      <c r="A68" s="39" t="s">
        <v>873</v>
      </c>
      <c r="B68" s="39" t="s">
        <v>874</v>
      </c>
      <c r="C68" s="39">
        <v>0.166666666666666</v>
      </c>
      <c r="D68" s="41">
        <v>43851.0</v>
      </c>
      <c r="E68" s="39" t="s">
        <v>847</v>
      </c>
      <c r="F68" s="39" t="s">
        <v>848</v>
      </c>
      <c r="G68" s="39" t="s">
        <v>849</v>
      </c>
      <c r="H68" s="39">
        <v>120.0</v>
      </c>
      <c r="N68" s="39" t="s">
        <v>831</v>
      </c>
      <c r="R68" s="39" t="s">
        <v>832</v>
      </c>
      <c r="S68" s="39" t="s">
        <v>833</v>
      </c>
      <c r="T68" s="39" t="s">
        <v>834</v>
      </c>
      <c r="U68" s="39" t="s">
        <v>831</v>
      </c>
      <c r="W68" s="39" t="s">
        <v>840</v>
      </c>
      <c r="X68" s="39" t="s">
        <v>875</v>
      </c>
      <c r="Z68" s="39" t="s">
        <v>876</v>
      </c>
      <c r="AB68" s="39">
        <v>0.166666666666666</v>
      </c>
      <c r="AC68" s="39">
        <v>16.0</v>
      </c>
      <c r="AD68" s="39">
        <v>0.0</v>
      </c>
    </row>
    <row r="69">
      <c r="A69" s="39" t="s">
        <v>838</v>
      </c>
      <c r="B69" s="39" t="s">
        <v>839</v>
      </c>
      <c r="C69" s="39">
        <v>3.85</v>
      </c>
      <c r="D69" s="41">
        <v>43852.0</v>
      </c>
      <c r="E69" s="39" t="s">
        <v>828</v>
      </c>
      <c r="F69" s="39" t="s">
        <v>829</v>
      </c>
      <c r="G69" s="39" t="s">
        <v>830</v>
      </c>
      <c r="H69" s="39">
        <v>120.0</v>
      </c>
      <c r="N69" s="39" t="s">
        <v>831</v>
      </c>
      <c r="R69" s="39" t="s">
        <v>832</v>
      </c>
      <c r="S69" s="39" t="s">
        <v>833</v>
      </c>
      <c r="T69" s="39" t="s">
        <v>834</v>
      </c>
      <c r="U69" s="39" t="s">
        <v>831</v>
      </c>
      <c r="W69" s="39" t="s">
        <v>840</v>
      </c>
      <c r="X69" s="39" t="s">
        <v>841</v>
      </c>
      <c r="Z69" s="39" t="s">
        <v>828</v>
      </c>
      <c r="AB69" s="39">
        <v>3.85</v>
      </c>
      <c r="AC69" s="39">
        <v>60.0</v>
      </c>
      <c r="AD69" s="39">
        <v>3.65</v>
      </c>
    </row>
    <row r="70">
      <c r="A70" s="39" t="s">
        <v>891</v>
      </c>
      <c r="B70" s="39" t="s">
        <v>892</v>
      </c>
      <c r="C70" s="39">
        <v>0.25</v>
      </c>
      <c r="D70" s="41">
        <v>43852.0</v>
      </c>
      <c r="E70" s="39" t="s">
        <v>828</v>
      </c>
      <c r="F70" s="39" t="s">
        <v>829</v>
      </c>
      <c r="G70" s="39" t="s">
        <v>830</v>
      </c>
      <c r="H70" s="39">
        <v>120.0</v>
      </c>
      <c r="N70" s="39" t="s">
        <v>831</v>
      </c>
      <c r="R70" s="39" t="s">
        <v>832</v>
      </c>
      <c r="S70" s="39" t="s">
        <v>833</v>
      </c>
      <c r="T70" s="39" t="s">
        <v>834</v>
      </c>
      <c r="U70" s="39" t="s">
        <v>831</v>
      </c>
      <c r="W70" s="39" t="s">
        <v>840</v>
      </c>
      <c r="X70" s="39" t="s">
        <v>893</v>
      </c>
      <c r="Z70" s="39" t="s">
        <v>876</v>
      </c>
      <c r="AB70" s="39">
        <v>0.25</v>
      </c>
      <c r="AC70" s="39">
        <v>60.0</v>
      </c>
      <c r="AD70" s="39">
        <v>31.2833333333333</v>
      </c>
    </row>
    <row r="71">
      <c r="A71" s="39" t="s">
        <v>881</v>
      </c>
      <c r="B71" s="39" t="s">
        <v>882</v>
      </c>
      <c r="C71" s="39">
        <v>0.0833333333333333</v>
      </c>
      <c r="D71" s="41">
        <v>43853.0</v>
      </c>
      <c r="E71" s="39" t="s">
        <v>828</v>
      </c>
      <c r="F71" s="39" t="s">
        <v>829</v>
      </c>
      <c r="G71" s="39" t="s">
        <v>830</v>
      </c>
      <c r="H71" s="39">
        <v>120.0</v>
      </c>
      <c r="N71" s="39" t="s">
        <v>883</v>
      </c>
      <c r="R71" s="39" t="s">
        <v>832</v>
      </c>
      <c r="S71" s="39" t="s">
        <v>833</v>
      </c>
      <c r="T71" s="39" t="s">
        <v>884</v>
      </c>
      <c r="U71" s="39" t="s">
        <v>883</v>
      </c>
      <c r="W71" s="39" t="s">
        <v>88</v>
      </c>
      <c r="X71" s="39" t="s">
        <v>885</v>
      </c>
      <c r="Z71" s="39" t="s">
        <v>876</v>
      </c>
      <c r="AB71" s="39">
        <v>0.0833333333333333</v>
      </c>
      <c r="AC71" s="39">
        <v>2.0</v>
      </c>
      <c r="AD71" s="39">
        <v>0.0</v>
      </c>
    </row>
    <row r="72">
      <c r="A72" s="39" t="s">
        <v>838</v>
      </c>
      <c r="B72" s="39" t="s">
        <v>839</v>
      </c>
      <c r="C72" s="39">
        <v>1.8</v>
      </c>
      <c r="D72" s="41">
        <v>43853.0</v>
      </c>
      <c r="E72" s="39" t="s">
        <v>828</v>
      </c>
      <c r="F72" s="39" t="s">
        <v>829</v>
      </c>
      <c r="G72" s="39" t="s">
        <v>830</v>
      </c>
      <c r="H72" s="39">
        <v>120.0</v>
      </c>
      <c r="N72" s="39" t="s">
        <v>831</v>
      </c>
      <c r="R72" s="39" t="s">
        <v>832</v>
      </c>
      <c r="S72" s="39" t="s">
        <v>833</v>
      </c>
      <c r="T72" s="39" t="s">
        <v>834</v>
      </c>
      <c r="U72" s="39" t="s">
        <v>831</v>
      </c>
      <c r="W72" s="39" t="s">
        <v>840</v>
      </c>
      <c r="X72" s="39" t="s">
        <v>841</v>
      </c>
      <c r="Z72" s="39" t="s">
        <v>828</v>
      </c>
      <c r="AB72" s="39">
        <v>1.8</v>
      </c>
      <c r="AC72" s="39">
        <v>60.0</v>
      </c>
      <c r="AD72" s="39">
        <v>3.65</v>
      </c>
    </row>
    <row r="73">
      <c r="A73" s="39" t="s">
        <v>894</v>
      </c>
      <c r="B73" s="39" t="s">
        <v>895</v>
      </c>
      <c r="C73" s="39">
        <v>0.366666666666666</v>
      </c>
      <c r="D73" s="41">
        <v>43853.0</v>
      </c>
      <c r="E73" s="39" t="s">
        <v>828</v>
      </c>
      <c r="F73" s="39" t="s">
        <v>829</v>
      </c>
      <c r="G73" s="39" t="s">
        <v>830</v>
      </c>
      <c r="H73" s="39">
        <v>120.0</v>
      </c>
      <c r="N73" s="39" t="s">
        <v>883</v>
      </c>
      <c r="R73" s="39" t="s">
        <v>832</v>
      </c>
      <c r="S73" s="39" t="s">
        <v>833</v>
      </c>
      <c r="T73" s="39" t="s">
        <v>884</v>
      </c>
      <c r="U73" s="39" t="s">
        <v>883</v>
      </c>
      <c r="W73" s="39" t="s">
        <v>101</v>
      </c>
      <c r="X73" s="39" t="s">
        <v>896</v>
      </c>
      <c r="Z73" s="39" t="s">
        <v>876</v>
      </c>
      <c r="AB73" s="39">
        <v>0.366666666666666</v>
      </c>
      <c r="AC73" s="39">
        <v>12.0</v>
      </c>
      <c r="AD73" s="39">
        <v>0.0</v>
      </c>
    </row>
    <row r="74">
      <c r="A74" s="39" t="s">
        <v>850</v>
      </c>
      <c r="B74" s="39" t="s">
        <v>851</v>
      </c>
      <c r="C74" s="39">
        <v>0.0833333333333333</v>
      </c>
      <c r="D74" s="41">
        <v>43853.0</v>
      </c>
      <c r="E74" s="39" t="s">
        <v>852</v>
      </c>
      <c r="F74" s="39" t="s">
        <v>853</v>
      </c>
      <c r="G74" s="39" t="s">
        <v>854</v>
      </c>
      <c r="H74" s="39">
        <v>120.0</v>
      </c>
      <c r="N74" s="39" t="s">
        <v>831</v>
      </c>
      <c r="R74" s="39" t="s">
        <v>832</v>
      </c>
      <c r="S74" s="39" t="s">
        <v>855</v>
      </c>
      <c r="T74" s="39" t="s">
        <v>834</v>
      </c>
      <c r="U74" s="39" t="s">
        <v>831</v>
      </c>
      <c r="W74" s="39" t="s">
        <v>840</v>
      </c>
      <c r="X74" s="39" t="s">
        <v>856</v>
      </c>
      <c r="Z74" s="39" t="s">
        <v>837</v>
      </c>
      <c r="AB74" s="39">
        <v>0.0833333333333333</v>
      </c>
    </row>
    <row r="75">
      <c r="A75" s="39" t="s">
        <v>881</v>
      </c>
      <c r="B75" s="39" t="s">
        <v>882</v>
      </c>
      <c r="C75" s="39">
        <v>1.0</v>
      </c>
      <c r="D75" s="41">
        <v>43853.0</v>
      </c>
      <c r="E75" s="39" t="s">
        <v>837</v>
      </c>
      <c r="F75" s="39" t="s">
        <v>886</v>
      </c>
      <c r="G75" s="39" t="s">
        <v>849</v>
      </c>
      <c r="H75" s="39">
        <v>120.0</v>
      </c>
      <c r="N75" s="39" t="s">
        <v>883</v>
      </c>
      <c r="R75" s="39" t="s">
        <v>832</v>
      </c>
      <c r="S75" s="39" t="s">
        <v>833</v>
      </c>
      <c r="T75" s="39" t="s">
        <v>884</v>
      </c>
      <c r="U75" s="39" t="s">
        <v>883</v>
      </c>
      <c r="W75" s="39" t="s">
        <v>88</v>
      </c>
      <c r="X75" s="39" t="s">
        <v>885</v>
      </c>
      <c r="Z75" s="39" t="s">
        <v>876</v>
      </c>
      <c r="AB75" s="39">
        <v>1.0</v>
      </c>
      <c r="AC75" s="39">
        <v>2.0</v>
      </c>
      <c r="AD75" s="39">
        <v>0.0</v>
      </c>
    </row>
    <row r="76">
      <c r="A76" s="39" t="s">
        <v>887</v>
      </c>
      <c r="B76" s="39" t="s">
        <v>888</v>
      </c>
      <c r="C76" s="39">
        <v>4.0</v>
      </c>
      <c r="D76" s="41">
        <v>43853.0</v>
      </c>
      <c r="E76" s="39" t="s">
        <v>847</v>
      </c>
      <c r="F76" s="39" t="s">
        <v>848</v>
      </c>
      <c r="G76" s="39" t="s">
        <v>849</v>
      </c>
      <c r="H76" s="39">
        <v>120.0</v>
      </c>
      <c r="N76" s="39" t="s">
        <v>831</v>
      </c>
      <c r="R76" s="39" t="s">
        <v>832</v>
      </c>
      <c r="S76" s="39" t="s">
        <v>889</v>
      </c>
      <c r="T76" s="39" t="s">
        <v>834</v>
      </c>
      <c r="U76" s="39" t="s">
        <v>831</v>
      </c>
      <c r="W76" s="39" t="s">
        <v>840</v>
      </c>
      <c r="X76" s="39" t="s">
        <v>890</v>
      </c>
      <c r="Z76" s="39" t="s">
        <v>847</v>
      </c>
      <c r="AB76" s="39">
        <v>4.0</v>
      </c>
    </row>
    <row r="77">
      <c r="A77" s="39" t="s">
        <v>881</v>
      </c>
      <c r="B77" s="39" t="s">
        <v>882</v>
      </c>
      <c r="C77" s="39">
        <v>0.866666666666666</v>
      </c>
      <c r="D77" s="41">
        <v>43854.0</v>
      </c>
      <c r="E77" s="39" t="s">
        <v>828</v>
      </c>
      <c r="F77" s="39" t="s">
        <v>829</v>
      </c>
      <c r="G77" s="39" t="s">
        <v>830</v>
      </c>
      <c r="H77" s="39">
        <v>120.0</v>
      </c>
      <c r="N77" s="39" t="s">
        <v>883</v>
      </c>
      <c r="R77" s="39" t="s">
        <v>832</v>
      </c>
      <c r="S77" s="39" t="s">
        <v>833</v>
      </c>
      <c r="T77" s="39" t="s">
        <v>884</v>
      </c>
      <c r="U77" s="39" t="s">
        <v>883</v>
      </c>
      <c r="W77" s="39" t="s">
        <v>88</v>
      </c>
      <c r="X77" s="39" t="s">
        <v>885</v>
      </c>
      <c r="Z77" s="39" t="s">
        <v>876</v>
      </c>
      <c r="AB77" s="39">
        <v>0.866666666666666</v>
      </c>
      <c r="AC77" s="39">
        <v>2.0</v>
      </c>
      <c r="AD77" s="39">
        <v>0.0</v>
      </c>
    </row>
    <row r="78">
      <c r="A78" s="39" t="s">
        <v>887</v>
      </c>
      <c r="B78" s="39" t="s">
        <v>888</v>
      </c>
      <c r="C78" s="39">
        <v>2.0</v>
      </c>
      <c r="D78" s="41">
        <v>43854.0</v>
      </c>
      <c r="E78" s="39" t="s">
        <v>837</v>
      </c>
      <c r="F78" s="39" t="s">
        <v>886</v>
      </c>
      <c r="G78" s="39" t="s">
        <v>849</v>
      </c>
      <c r="H78" s="39">
        <v>120.0</v>
      </c>
      <c r="N78" s="39" t="s">
        <v>831</v>
      </c>
      <c r="R78" s="39" t="s">
        <v>832</v>
      </c>
      <c r="S78" s="39" t="s">
        <v>889</v>
      </c>
      <c r="T78" s="39" t="s">
        <v>834</v>
      </c>
      <c r="U78" s="39" t="s">
        <v>831</v>
      </c>
      <c r="W78" s="39" t="s">
        <v>840</v>
      </c>
      <c r="X78" s="39" t="s">
        <v>890</v>
      </c>
      <c r="Z78" s="39" t="s">
        <v>847</v>
      </c>
      <c r="AB78" s="39">
        <v>2.0</v>
      </c>
    </row>
    <row r="79">
      <c r="A79" s="39" t="s">
        <v>887</v>
      </c>
      <c r="B79" s="39" t="s">
        <v>888</v>
      </c>
      <c r="C79" s="39">
        <v>2.0</v>
      </c>
      <c r="D79" s="41">
        <v>43854.0</v>
      </c>
      <c r="E79" s="39" t="s">
        <v>837</v>
      </c>
      <c r="F79" s="39" t="s">
        <v>886</v>
      </c>
      <c r="G79" s="39" t="s">
        <v>849</v>
      </c>
      <c r="H79" s="39">
        <v>120.0</v>
      </c>
      <c r="N79" s="39" t="s">
        <v>831</v>
      </c>
      <c r="R79" s="39" t="s">
        <v>832</v>
      </c>
      <c r="S79" s="39" t="s">
        <v>889</v>
      </c>
      <c r="T79" s="39" t="s">
        <v>834</v>
      </c>
      <c r="U79" s="39" t="s">
        <v>831</v>
      </c>
      <c r="W79" s="39" t="s">
        <v>840</v>
      </c>
      <c r="X79" s="39" t="s">
        <v>890</v>
      </c>
      <c r="Z79" s="39" t="s">
        <v>847</v>
      </c>
      <c r="AB79" s="39">
        <v>2.0</v>
      </c>
    </row>
    <row r="80">
      <c r="A80" s="39" t="s">
        <v>887</v>
      </c>
      <c r="B80" s="39" t="s">
        <v>888</v>
      </c>
      <c r="C80" s="39">
        <v>0.75</v>
      </c>
      <c r="D80" s="41">
        <v>43854.0</v>
      </c>
      <c r="E80" s="39" t="s">
        <v>847</v>
      </c>
      <c r="F80" s="39" t="s">
        <v>848</v>
      </c>
      <c r="G80" s="39" t="s">
        <v>849</v>
      </c>
      <c r="H80" s="39">
        <v>120.0</v>
      </c>
      <c r="N80" s="39" t="s">
        <v>831</v>
      </c>
      <c r="R80" s="39" t="s">
        <v>832</v>
      </c>
      <c r="S80" s="39" t="s">
        <v>889</v>
      </c>
      <c r="T80" s="39" t="s">
        <v>834</v>
      </c>
      <c r="U80" s="39" t="s">
        <v>831</v>
      </c>
      <c r="W80" s="39" t="s">
        <v>840</v>
      </c>
      <c r="X80" s="39" t="s">
        <v>890</v>
      </c>
      <c r="Z80" s="39" t="s">
        <v>847</v>
      </c>
      <c r="AB80" s="39">
        <v>0.75</v>
      </c>
    </row>
    <row r="81">
      <c r="A81" s="39" t="s">
        <v>887</v>
      </c>
      <c r="B81" s="39" t="s">
        <v>888</v>
      </c>
      <c r="C81" s="39">
        <v>1.16666666666666</v>
      </c>
      <c r="D81" s="41">
        <v>43854.0</v>
      </c>
      <c r="E81" s="39" t="s">
        <v>847</v>
      </c>
      <c r="F81" s="39" t="s">
        <v>848</v>
      </c>
      <c r="G81" s="39" t="s">
        <v>849</v>
      </c>
      <c r="H81" s="39">
        <v>120.0</v>
      </c>
      <c r="N81" s="39" t="s">
        <v>831</v>
      </c>
      <c r="R81" s="39" t="s">
        <v>832</v>
      </c>
      <c r="S81" s="39" t="s">
        <v>889</v>
      </c>
      <c r="T81" s="39" t="s">
        <v>834</v>
      </c>
      <c r="U81" s="39" t="s">
        <v>831</v>
      </c>
      <c r="W81" s="39" t="s">
        <v>840</v>
      </c>
      <c r="X81" s="39" t="s">
        <v>890</v>
      </c>
      <c r="Z81" s="39" t="s">
        <v>847</v>
      </c>
      <c r="AB81" s="39">
        <v>1.16666666666666</v>
      </c>
    </row>
    <row r="82">
      <c r="A82" s="39" t="s">
        <v>850</v>
      </c>
      <c r="B82" s="39" t="s">
        <v>851</v>
      </c>
      <c r="C82" s="39">
        <v>3.0</v>
      </c>
      <c r="D82" s="41">
        <v>43857.0</v>
      </c>
      <c r="E82" s="39" t="s">
        <v>837</v>
      </c>
      <c r="F82" s="39" t="s">
        <v>886</v>
      </c>
      <c r="G82" s="39" t="s">
        <v>849</v>
      </c>
      <c r="H82" s="39">
        <v>120.0</v>
      </c>
      <c r="N82" s="39" t="s">
        <v>831</v>
      </c>
      <c r="R82" s="39" t="s">
        <v>832</v>
      </c>
      <c r="S82" s="39" t="s">
        <v>855</v>
      </c>
      <c r="T82" s="39" t="s">
        <v>834</v>
      </c>
      <c r="U82" s="39" t="s">
        <v>831</v>
      </c>
      <c r="W82" s="39" t="s">
        <v>840</v>
      </c>
      <c r="X82" s="39" t="s">
        <v>856</v>
      </c>
      <c r="Z82" s="39" t="s">
        <v>837</v>
      </c>
      <c r="AB82" s="39">
        <v>3.0</v>
      </c>
    </row>
    <row r="83">
      <c r="A83" s="39" t="s">
        <v>887</v>
      </c>
      <c r="B83" s="39" t="s">
        <v>888</v>
      </c>
      <c r="C83" s="39">
        <v>0.5</v>
      </c>
      <c r="D83" s="41">
        <v>43857.0</v>
      </c>
      <c r="E83" s="39" t="s">
        <v>847</v>
      </c>
      <c r="F83" s="39" t="s">
        <v>848</v>
      </c>
      <c r="G83" s="39" t="s">
        <v>849</v>
      </c>
      <c r="H83" s="39">
        <v>120.0</v>
      </c>
      <c r="N83" s="39" t="s">
        <v>831</v>
      </c>
      <c r="R83" s="39" t="s">
        <v>832</v>
      </c>
      <c r="S83" s="39" t="s">
        <v>889</v>
      </c>
      <c r="T83" s="39" t="s">
        <v>834</v>
      </c>
      <c r="U83" s="39" t="s">
        <v>831</v>
      </c>
      <c r="W83" s="39" t="s">
        <v>840</v>
      </c>
      <c r="X83" s="39" t="s">
        <v>890</v>
      </c>
      <c r="Z83" s="39" t="s">
        <v>847</v>
      </c>
      <c r="AB83" s="39">
        <v>0.5</v>
      </c>
    </row>
    <row r="84">
      <c r="A84" s="39" t="s">
        <v>881</v>
      </c>
      <c r="B84" s="39" t="s">
        <v>882</v>
      </c>
      <c r="C84" s="39">
        <v>2.05</v>
      </c>
      <c r="D84" s="41">
        <v>43858.0</v>
      </c>
      <c r="E84" s="39" t="s">
        <v>828</v>
      </c>
      <c r="F84" s="39" t="s">
        <v>829</v>
      </c>
      <c r="G84" s="39" t="s">
        <v>830</v>
      </c>
      <c r="H84" s="39">
        <v>120.0</v>
      </c>
      <c r="N84" s="39" t="s">
        <v>883</v>
      </c>
      <c r="R84" s="39" t="s">
        <v>832</v>
      </c>
      <c r="S84" s="39" t="s">
        <v>833</v>
      </c>
      <c r="T84" s="39" t="s">
        <v>884</v>
      </c>
      <c r="U84" s="39" t="s">
        <v>883</v>
      </c>
      <c r="W84" s="39" t="s">
        <v>88</v>
      </c>
      <c r="X84" s="39" t="s">
        <v>885</v>
      </c>
      <c r="Z84" s="39" t="s">
        <v>876</v>
      </c>
      <c r="AB84" s="39">
        <v>2.05</v>
      </c>
      <c r="AC84" s="39">
        <v>2.0</v>
      </c>
      <c r="AD84" s="39">
        <v>0.0</v>
      </c>
    </row>
    <row r="85">
      <c r="A85" s="39" t="s">
        <v>571</v>
      </c>
      <c r="B85" s="39" t="s">
        <v>572</v>
      </c>
      <c r="C85" s="39">
        <v>0.25</v>
      </c>
      <c r="D85" s="41">
        <v>43858.0</v>
      </c>
      <c r="E85" s="39" t="s">
        <v>828</v>
      </c>
      <c r="F85" s="39" t="s">
        <v>829</v>
      </c>
      <c r="G85" s="39" t="s">
        <v>830</v>
      </c>
      <c r="H85" s="39">
        <v>120.0</v>
      </c>
      <c r="N85" s="39" t="s">
        <v>831</v>
      </c>
      <c r="R85" s="39" t="s">
        <v>832</v>
      </c>
      <c r="S85" s="39" t="s">
        <v>842</v>
      </c>
      <c r="T85" s="39" t="s">
        <v>834</v>
      </c>
      <c r="U85" s="39" t="s">
        <v>831</v>
      </c>
      <c r="W85" s="39" t="s">
        <v>302</v>
      </c>
      <c r="X85" s="39" t="s">
        <v>843</v>
      </c>
      <c r="Z85" s="39" t="s">
        <v>828</v>
      </c>
      <c r="AB85" s="39">
        <v>0.25</v>
      </c>
    </row>
    <row r="86">
      <c r="A86" s="39" t="s">
        <v>850</v>
      </c>
      <c r="B86" s="39" t="s">
        <v>851</v>
      </c>
      <c r="C86" s="39">
        <v>3.0</v>
      </c>
      <c r="D86" s="41">
        <v>43858.0</v>
      </c>
      <c r="E86" s="39" t="s">
        <v>837</v>
      </c>
      <c r="F86" s="39" t="s">
        <v>886</v>
      </c>
      <c r="G86" s="39" t="s">
        <v>849</v>
      </c>
      <c r="H86" s="39">
        <v>120.0</v>
      </c>
      <c r="N86" s="39" t="s">
        <v>831</v>
      </c>
      <c r="R86" s="39" t="s">
        <v>832</v>
      </c>
      <c r="S86" s="39" t="s">
        <v>855</v>
      </c>
      <c r="T86" s="39" t="s">
        <v>834</v>
      </c>
      <c r="U86" s="39" t="s">
        <v>831</v>
      </c>
      <c r="W86" s="39" t="s">
        <v>840</v>
      </c>
      <c r="X86" s="39" t="s">
        <v>856</v>
      </c>
      <c r="Z86" s="39" t="s">
        <v>837</v>
      </c>
      <c r="AB86" s="39">
        <v>3.0</v>
      </c>
    </row>
    <row r="87">
      <c r="A87" s="39" t="s">
        <v>838</v>
      </c>
      <c r="B87" s="39" t="s">
        <v>839</v>
      </c>
      <c r="C87" s="39">
        <v>4.85</v>
      </c>
      <c r="D87" s="41">
        <v>43859.0</v>
      </c>
      <c r="E87" s="39" t="s">
        <v>828</v>
      </c>
      <c r="F87" s="39" t="s">
        <v>829</v>
      </c>
      <c r="G87" s="39" t="s">
        <v>830</v>
      </c>
      <c r="H87" s="39">
        <v>120.0</v>
      </c>
      <c r="N87" s="39" t="s">
        <v>831</v>
      </c>
      <c r="R87" s="39" t="s">
        <v>832</v>
      </c>
      <c r="S87" s="39" t="s">
        <v>833</v>
      </c>
      <c r="T87" s="39" t="s">
        <v>834</v>
      </c>
      <c r="U87" s="39" t="s">
        <v>831</v>
      </c>
      <c r="W87" s="39" t="s">
        <v>840</v>
      </c>
      <c r="X87" s="39" t="s">
        <v>841</v>
      </c>
      <c r="Z87" s="39" t="s">
        <v>828</v>
      </c>
      <c r="AB87" s="39">
        <v>4.85</v>
      </c>
      <c r="AC87" s="39">
        <v>60.0</v>
      </c>
      <c r="AD87" s="39">
        <v>3.65</v>
      </c>
    </row>
    <row r="88">
      <c r="A88" s="39" t="s">
        <v>881</v>
      </c>
      <c r="B88" s="39" t="s">
        <v>882</v>
      </c>
      <c r="C88" s="39">
        <v>0.533333333333333</v>
      </c>
      <c r="D88" s="41">
        <v>43859.0</v>
      </c>
      <c r="E88" s="39" t="s">
        <v>828</v>
      </c>
      <c r="F88" s="39" t="s">
        <v>829</v>
      </c>
      <c r="G88" s="39" t="s">
        <v>830</v>
      </c>
      <c r="H88" s="39">
        <v>120.0</v>
      </c>
      <c r="N88" s="39" t="s">
        <v>883</v>
      </c>
      <c r="R88" s="39" t="s">
        <v>832</v>
      </c>
      <c r="S88" s="39" t="s">
        <v>833</v>
      </c>
      <c r="T88" s="39" t="s">
        <v>884</v>
      </c>
      <c r="U88" s="39" t="s">
        <v>883</v>
      </c>
      <c r="W88" s="39" t="s">
        <v>88</v>
      </c>
      <c r="X88" s="39" t="s">
        <v>885</v>
      </c>
      <c r="Z88" s="39" t="s">
        <v>876</v>
      </c>
      <c r="AB88" s="39">
        <v>0.533333333333333</v>
      </c>
      <c r="AC88" s="39">
        <v>2.0</v>
      </c>
      <c r="AD88" s="39">
        <v>0.0</v>
      </c>
    </row>
    <row r="89">
      <c r="A89" s="39" t="s">
        <v>850</v>
      </c>
      <c r="B89" s="39" t="s">
        <v>851</v>
      </c>
      <c r="C89" s="39">
        <v>3.0</v>
      </c>
      <c r="D89" s="41">
        <v>43859.0</v>
      </c>
      <c r="E89" s="39" t="s">
        <v>837</v>
      </c>
      <c r="F89" s="39" t="s">
        <v>886</v>
      </c>
      <c r="G89" s="39" t="s">
        <v>849</v>
      </c>
      <c r="H89" s="39">
        <v>120.0</v>
      </c>
      <c r="N89" s="39" t="s">
        <v>831</v>
      </c>
      <c r="R89" s="39" t="s">
        <v>832</v>
      </c>
      <c r="S89" s="39" t="s">
        <v>855</v>
      </c>
      <c r="T89" s="39" t="s">
        <v>834</v>
      </c>
      <c r="U89" s="39" t="s">
        <v>831</v>
      </c>
      <c r="W89" s="39" t="s">
        <v>840</v>
      </c>
      <c r="X89" s="39" t="s">
        <v>856</v>
      </c>
      <c r="Z89" s="39" t="s">
        <v>837</v>
      </c>
      <c r="AB89" s="39">
        <v>3.0</v>
      </c>
    </row>
    <row r="90">
      <c r="A90" s="39" t="s">
        <v>891</v>
      </c>
      <c r="B90" s="39" t="s">
        <v>892</v>
      </c>
      <c r="C90" s="39">
        <v>1.25</v>
      </c>
      <c r="D90" s="41">
        <v>43860.0</v>
      </c>
      <c r="E90" s="39" t="s">
        <v>828</v>
      </c>
      <c r="F90" s="39" t="s">
        <v>829</v>
      </c>
      <c r="G90" s="39" t="s">
        <v>830</v>
      </c>
      <c r="H90" s="39">
        <v>120.0</v>
      </c>
      <c r="N90" s="39" t="s">
        <v>831</v>
      </c>
      <c r="R90" s="39" t="s">
        <v>832</v>
      </c>
      <c r="S90" s="39" t="s">
        <v>833</v>
      </c>
      <c r="T90" s="39" t="s">
        <v>834</v>
      </c>
      <c r="U90" s="39" t="s">
        <v>831</v>
      </c>
      <c r="W90" s="39" t="s">
        <v>840</v>
      </c>
      <c r="X90" s="39" t="s">
        <v>893</v>
      </c>
      <c r="Z90" s="39" t="s">
        <v>876</v>
      </c>
      <c r="AB90" s="39">
        <v>1.25</v>
      </c>
      <c r="AC90" s="39">
        <v>60.0</v>
      </c>
      <c r="AD90" s="39">
        <v>31.2833333333333</v>
      </c>
    </row>
    <row r="91">
      <c r="A91" s="39" t="s">
        <v>838</v>
      </c>
      <c r="B91" s="39" t="s">
        <v>839</v>
      </c>
      <c r="C91" s="39">
        <v>4.0</v>
      </c>
      <c r="D91" s="41">
        <v>43860.0</v>
      </c>
      <c r="E91" s="39" t="s">
        <v>828</v>
      </c>
      <c r="F91" s="39" t="s">
        <v>829</v>
      </c>
      <c r="G91" s="39" t="s">
        <v>830</v>
      </c>
      <c r="H91" s="39">
        <v>120.0</v>
      </c>
      <c r="N91" s="39" t="s">
        <v>831</v>
      </c>
      <c r="R91" s="39" t="s">
        <v>832</v>
      </c>
      <c r="S91" s="39" t="s">
        <v>833</v>
      </c>
      <c r="T91" s="39" t="s">
        <v>834</v>
      </c>
      <c r="U91" s="39" t="s">
        <v>831</v>
      </c>
      <c r="W91" s="39" t="s">
        <v>840</v>
      </c>
      <c r="X91" s="39" t="s">
        <v>841</v>
      </c>
      <c r="Z91" s="39" t="s">
        <v>828</v>
      </c>
      <c r="AB91" s="39">
        <v>4.0</v>
      </c>
      <c r="AC91" s="39">
        <v>60.0</v>
      </c>
      <c r="AD91" s="39">
        <v>3.65</v>
      </c>
    </row>
    <row r="92">
      <c r="A92" s="39" t="s">
        <v>881</v>
      </c>
      <c r="B92" s="39" t="s">
        <v>882</v>
      </c>
      <c r="C92" s="39">
        <v>0.516666666666666</v>
      </c>
      <c r="D92" s="41">
        <v>43861.0</v>
      </c>
      <c r="E92" s="39" t="s">
        <v>828</v>
      </c>
      <c r="F92" s="39" t="s">
        <v>829</v>
      </c>
      <c r="G92" s="39" t="s">
        <v>830</v>
      </c>
      <c r="H92" s="39">
        <v>120.0</v>
      </c>
      <c r="N92" s="39" t="s">
        <v>883</v>
      </c>
      <c r="R92" s="39" t="s">
        <v>832</v>
      </c>
      <c r="S92" s="39" t="s">
        <v>833</v>
      </c>
      <c r="T92" s="39" t="s">
        <v>884</v>
      </c>
      <c r="U92" s="39" t="s">
        <v>883</v>
      </c>
      <c r="W92" s="39" t="s">
        <v>88</v>
      </c>
      <c r="X92" s="39" t="s">
        <v>885</v>
      </c>
      <c r="Z92" s="39" t="s">
        <v>876</v>
      </c>
      <c r="AB92" s="39">
        <v>0.516666666666666</v>
      </c>
      <c r="AC92" s="39">
        <v>2.0</v>
      </c>
      <c r="AD92" s="39">
        <v>0.0</v>
      </c>
    </row>
    <row r="93">
      <c r="A93" s="39" t="s">
        <v>891</v>
      </c>
      <c r="B93" s="39" t="s">
        <v>892</v>
      </c>
      <c r="C93" s="39">
        <v>6.61666666666666</v>
      </c>
      <c r="D93" s="41">
        <v>43861.0</v>
      </c>
      <c r="E93" s="39" t="s">
        <v>828</v>
      </c>
      <c r="F93" s="39" t="s">
        <v>829</v>
      </c>
      <c r="G93" s="39" t="s">
        <v>830</v>
      </c>
      <c r="H93" s="39">
        <v>120.0</v>
      </c>
      <c r="N93" s="39" t="s">
        <v>831</v>
      </c>
      <c r="R93" s="39" t="s">
        <v>832</v>
      </c>
      <c r="S93" s="39" t="s">
        <v>833</v>
      </c>
      <c r="T93" s="39" t="s">
        <v>834</v>
      </c>
      <c r="U93" s="39" t="s">
        <v>831</v>
      </c>
      <c r="W93" s="39" t="s">
        <v>840</v>
      </c>
      <c r="X93" s="39" t="s">
        <v>893</v>
      </c>
      <c r="Z93" s="39" t="s">
        <v>876</v>
      </c>
      <c r="AB93" s="39">
        <v>6.61666666666666</v>
      </c>
      <c r="AC93" s="39">
        <v>60.0</v>
      </c>
      <c r="AD93" s="39">
        <v>31.2833333333333</v>
      </c>
    </row>
    <row r="94">
      <c r="A94" s="39" t="s">
        <v>571</v>
      </c>
      <c r="B94" s="39" t="s">
        <v>572</v>
      </c>
      <c r="C94" s="39">
        <v>0.783333333333333</v>
      </c>
      <c r="D94" s="41">
        <v>43864.0</v>
      </c>
      <c r="E94" s="39" t="s">
        <v>828</v>
      </c>
      <c r="F94" s="39" t="s">
        <v>829</v>
      </c>
      <c r="G94" s="39" t="s">
        <v>830</v>
      </c>
      <c r="H94" s="39">
        <v>220.0</v>
      </c>
      <c r="N94" s="39" t="s">
        <v>831</v>
      </c>
      <c r="R94" s="39" t="s">
        <v>832</v>
      </c>
      <c r="S94" s="39" t="s">
        <v>842</v>
      </c>
      <c r="T94" s="39" t="s">
        <v>834</v>
      </c>
      <c r="U94" s="39" t="s">
        <v>831</v>
      </c>
      <c r="W94" s="39" t="s">
        <v>302</v>
      </c>
      <c r="X94" s="39" t="s">
        <v>843</v>
      </c>
      <c r="Z94" s="39" t="s">
        <v>828</v>
      </c>
      <c r="AB94" s="39">
        <v>0.783333333333333</v>
      </c>
    </row>
    <row r="95">
      <c r="A95" s="39" t="s">
        <v>850</v>
      </c>
      <c r="B95" s="39" t="s">
        <v>851</v>
      </c>
      <c r="C95" s="39">
        <v>5.0</v>
      </c>
      <c r="D95" s="41">
        <v>43865.0</v>
      </c>
      <c r="E95" s="39" t="s">
        <v>837</v>
      </c>
      <c r="F95" s="39" t="s">
        <v>886</v>
      </c>
      <c r="G95" s="39" t="s">
        <v>849</v>
      </c>
      <c r="H95" s="39">
        <v>220.0</v>
      </c>
      <c r="N95" s="39" t="s">
        <v>831</v>
      </c>
      <c r="R95" s="39" t="s">
        <v>832</v>
      </c>
      <c r="S95" s="39" t="s">
        <v>855</v>
      </c>
      <c r="T95" s="39" t="s">
        <v>834</v>
      </c>
      <c r="U95" s="39" t="s">
        <v>831</v>
      </c>
      <c r="W95" s="39" t="s">
        <v>840</v>
      </c>
      <c r="X95" s="39" t="s">
        <v>856</v>
      </c>
      <c r="Z95" s="39" t="s">
        <v>837</v>
      </c>
      <c r="AB95" s="39">
        <v>5.0</v>
      </c>
    </row>
    <row r="96">
      <c r="A96" s="39" t="s">
        <v>891</v>
      </c>
      <c r="B96" s="39" t="s">
        <v>892</v>
      </c>
      <c r="C96" s="39">
        <v>1.73333333333333</v>
      </c>
      <c r="D96" s="41">
        <v>43866.0</v>
      </c>
      <c r="E96" s="39" t="s">
        <v>828</v>
      </c>
      <c r="F96" s="39" t="s">
        <v>829</v>
      </c>
      <c r="G96" s="39" t="s">
        <v>830</v>
      </c>
      <c r="H96" s="39">
        <v>220.0</v>
      </c>
      <c r="N96" s="39" t="s">
        <v>831</v>
      </c>
      <c r="R96" s="39" t="s">
        <v>832</v>
      </c>
      <c r="S96" s="39" t="s">
        <v>833</v>
      </c>
      <c r="T96" s="39" t="s">
        <v>834</v>
      </c>
      <c r="U96" s="39" t="s">
        <v>831</v>
      </c>
      <c r="W96" s="39" t="s">
        <v>840</v>
      </c>
      <c r="X96" s="39" t="s">
        <v>893</v>
      </c>
      <c r="Z96" s="39" t="s">
        <v>876</v>
      </c>
      <c r="AB96" s="39">
        <v>1.73333333333333</v>
      </c>
      <c r="AC96" s="39">
        <v>60.0</v>
      </c>
      <c r="AD96" s="39">
        <v>31.2833333333333</v>
      </c>
    </row>
    <row r="97">
      <c r="A97" s="39" t="s">
        <v>850</v>
      </c>
      <c r="B97" s="39" t="s">
        <v>851</v>
      </c>
      <c r="C97" s="39">
        <v>3.0</v>
      </c>
      <c r="D97" s="41">
        <v>43866.0</v>
      </c>
      <c r="E97" s="39" t="s">
        <v>837</v>
      </c>
      <c r="F97" s="39" t="s">
        <v>886</v>
      </c>
      <c r="G97" s="39" t="s">
        <v>849</v>
      </c>
      <c r="H97" s="39">
        <v>220.0</v>
      </c>
      <c r="N97" s="39" t="s">
        <v>831</v>
      </c>
      <c r="R97" s="39" t="s">
        <v>832</v>
      </c>
      <c r="S97" s="39" t="s">
        <v>855</v>
      </c>
      <c r="T97" s="39" t="s">
        <v>834</v>
      </c>
      <c r="U97" s="39" t="s">
        <v>831</v>
      </c>
      <c r="W97" s="39" t="s">
        <v>840</v>
      </c>
      <c r="X97" s="39" t="s">
        <v>856</v>
      </c>
      <c r="Z97" s="39" t="s">
        <v>837</v>
      </c>
      <c r="AB97" s="39">
        <v>3.0</v>
      </c>
    </row>
    <row r="98">
      <c r="A98" s="39" t="s">
        <v>891</v>
      </c>
      <c r="B98" s="39" t="s">
        <v>892</v>
      </c>
      <c r="C98" s="39">
        <v>5.9</v>
      </c>
      <c r="D98" s="41">
        <v>43867.0</v>
      </c>
      <c r="E98" s="39" t="s">
        <v>828</v>
      </c>
      <c r="F98" s="39" t="s">
        <v>829</v>
      </c>
      <c r="G98" s="39" t="s">
        <v>830</v>
      </c>
      <c r="H98" s="39">
        <v>220.0</v>
      </c>
      <c r="N98" s="39" t="s">
        <v>831</v>
      </c>
      <c r="R98" s="39" t="s">
        <v>832</v>
      </c>
      <c r="S98" s="39" t="s">
        <v>833</v>
      </c>
      <c r="T98" s="39" t="s">
        <v>834</v>
      </c>
      <c r="U98" s="39" t="s">
        <v>831</v>
      </c>
      <c r="W98" s="39" t="s">
        <v>840</v>
      </c>
      <c r="X98" s="39" t="s">
        <v>893</v>
      </c>
      <c r="Z98" s="39" t="s">
        <v>876</v>
      </c>
      <c r="AB98" s="39">
        <v>5.9</v>
      </c>
      <c r="AC98" s="39">
        <v>60.0</v>
      </c>
      <c r="AD98" s="39">
        <v>31.2833333333333</v>
      </c>
    </row>
    <row r="99">
      <c r="A99" s="39" t="s">
        <v>850</v>
      </c>
      <c r="B99" s="39" t="s">
        <v>851</v>
      </c>
      <c r="C99" s="39">
        <v>4.0</v>
      </c>
      <c r="D99" s="41">
        <v>43867.0</v>
      </c>
      <c r="E99" s="39" t="s">
        <v>837</v>
      </c>
      <c r="F99" s="39" t="s">
        <v>886</v>
      </c>
      <c r="G99" s="39" t="s">
        <v>849</v>
      </c>
      <c r="H99" s="39">
        <v>220.0</v>
      </c>
      <c r="N99" s="39" t="s">
        <v>831</v>
      </c>
      <c r="R99" s="39" t="s">
        <v>832</v>
      </c>
      <c r="S99" s="39" t="s">
        <v>855</v>
      </c>
      <c r="T99" s="39" t="s">
        <v>834</v>
      </c>
      <c r="U99" s="39" t="s">
        <v>831</v>
      </c>
      <c r="W99" s="39" t="s">
        <v>840</v>
      </c>
      <c r="X99" s="39" t="s">
        <v>856</v>
      </c>
      <c r="Z99" s="39" t="s">
        <v>837</v>
      </c>
      <c r="AB99" s="39">
        <v>4.0</v>
      </c>
    </row>
    <row r="100">
      <c r="A100" s="39" t="s">
        <v>891</v>
      </c>
      <c r="B100" s="39" t="s">
        <v>892</v>
      </c>
      <c r="C100" s="39">
        <v>7.75</v>
      </c>
      <c r="D100" s="41">
        <v>43868.0</v>
      </c>
      <c r="E100" s="39" t="s">
        <v>828</v>
      </c>
      <c r="F100" s="39" t="s">
        <v>829</v>
      </c>
      <c r="G100" s="39" t="s">
        <v>830</v>
      </c>
      <c r="H100" s="39">
        <v>220.0</v>
      </c>
      <c r="N100" s="39" t="s">
        <v>831</v>
      </c>
      <c r="R100" s="39" t="s">
        <v>832</v>
      </c>
      <c r="S100" s="39" t="s">
        <v>833</v>
      </c>
      <c r="T100" s="39" t="s">
        <v>834</v>
      </c>
      <c r="U100" s="39" t="s">
        <v>831</v>
      </c>
      <c r="W100" s="39" t="s">
        <v>840</v>
      </c>
      <c r="X100" s="39" t="s">
        <v>893</v>
      </c>
      <c r="Z100" s="39" t="s">
        <v>876</v>
      </c>
      <c r="AB100" s="39">
        <v>7.75</v>
      </c>
      <c r="AC100" s="39">
        <v>60.0</v>
      </c>
      <c r="AD100" s="39">
        <v>31.2833333333333</v>
      </c>
    </row>
    <row r="101">
      <c r="A101" s="39" t="s">
        <v>850</v>
      </c>
      <c r="B101" s="39" t="s">
        <v>851</v>
      </c>
      <c r="C101" s="39">
        <v>2.0</v>
      </c>
      <c r="D101" s="41">
        <v>43868.0</v>
      </c>
      <c r="E101" s="39" t="s">
        <v>837</v>
      </c>
      <c r="F101" s="39" t="s">
        <v>886</v>
      </c>
      <c r="G101" s="39" t="s">
        <v>849</v>
      </c>
      <c r="H101" s="39">
        <v>220.0</v>
      </c>
      <c r="N101" s="39" t="s">
        <v>831</v>
      </c>
      <c r="R101" s="39" t="s">
        <v>832</v>
      </c>
      <c r="S101" s="39" t="s">
        <v>855</v>
      </c>
      <c r="T101" s="39" t="s">
        <v>834</v>
      </c>
      <c r="U101" s="39" t="s">
        <v>831</v>
      </c>
      <c r="W101" s="39" t="s">
        <v>840</v>
      </c>
      <c r="X101" s="39" t="s">
        <v>856</v>
      </c>
      <c r="Z101" s="39" t="s">
        <v>837</v>
      </c>
      <c r="AB101" s="39">
        <v>2.0</v>
      </c>
    </row>
    <row r="102">
      <c r="A102" s="39" t="s">
        <v>850</v>
      </c>
      <c r="B102" s="39" t="s">
        <v>851</v>
      </c>
      <c r="C102" s="39">
        <v>3.0</v>
      </c>
      <c r="D102" s="41">
        <v>43868.0</v>
      </c>
      <c r="E102" s="39" t="s">
        <v>837</v>
      </c>
      <c r="F102" s="39" t="s">
        <v>886</v>
      </c>
      <c r="G102" s="39" t="s">
        <v>849</v>
      </c>
      <c r="H102" s="39">
        <v>220.0</v>
      </c>
      <c r="N102" s="39" t="s">
        <v>831</v>
      </c>
      <c r="R102" s="39" t="s">
        <v>832</v>
      </c>
      <c r="S102" s="39" t="s">
        <v>855</v>
      </c>
      <c r="T102" s="39" t="s">
        <v>834</v>
      </c>
      <c r="U102" s="39" t="s">
        <v>831</v>
      </c>
      <c r="W102" s="39" t="s">
        <v>840</v>
      </c>
      <c r="X102" s="39" t="s">
        <v>856</v>
      </c>
      <c r="Z102" s="39" t="s">
        <v>837</v>
      </c>
      <c r="AB102" s="39">
        <v>3.0</v>
      </c>
    </row>
    <row r="103">
      <c r="A103" s="39" t="s">
        <v>891</v>
      </c>
      <c r="B103" s="39" t="s">
        <v>892</v>
      </c>
      <c r="C103" s="39">
        <v>6.35</v>
      </c>
      <c r="D103" s="41">
        <v>43871.0</v>
      </c>
      <c r="E103" s="39" t="s">
        <v>828</v>
      </c>
      <c r="F103" s="39" t="s">
        <v>829</v>
      </c>
      <c r="G103" s="39" t="s">
        <v>830</v>
      </c>
      <c r="H103" s="39">
        <v>220.0</v>
      </c>
      <c r="N103" s="39" t="s">
        <v>831</v>
      </c>
      <c r="R103" s="39" t="s">
        <v>832</v>
      </c>
      <c r="S103" s="39" t="s">
        <v>833</v>
      </c>
      <c r="T103" s="39" t="s">
        <v>834</v>
      </c>
      <c r="U103" s="39" t="s">
        <v>831</v>
      </c>
      <c r="W103" s="39" t="s">
        <v>840</v>
      </c>
      <c r="X103" s="39" t="s">
        <v>893</v>
      </c>
      <c r="Z103" s="39" t="s">
        <v>876</v>
      </c>
      <c r="AB103" s="39">
        <v>6.35</v>
      </c>
      <c r="AC103" s="39">
        <v>60.0</v>
      </c>
      <c r="AD103" s="39">
        <v>31.2833333333333</v>
      </c>
    </row>
    <row r="104">
      <c r="A104" s="39" t="s">
        <v>850</v>
      </c>
      <c r="B104" s="39" t="s">
        <v>851</v>
      </c>
      <c r="C104" s="39">
        <v>5.0</v>
      </c>
      <c r="D104" s="41">
        <v>43871.0</v>
      </c>
      <c r="E104" s="39" t="s">
        <v>837</v>
      </c>
      <c r="F104" s="39" t="s">
        <v>886</v>
      </c>
      <c r="G104" s="39" t="s">
        <v>849</v>
      </c>
      <c r="H104" s="39">
        <v>220.0</v>
      </c>
      <c r="N104" s="39" t="s">
        <v>831</v>
      </c>
      <c r="R104" s="39" t="s">
        <v>832</v>
      </c>
      <c r="S104" s="39" t="s">
        <v>855</v>
      </c>
      <c r="T104" s="39" t="s">
        <v>834</v>
      </c>
      <c r="U104" s="39" t="s">
        <v>831</v>
      </c>
      <c r="W104" s="39" t="s">
        <v>840</v>
      </c>
      <c r="X104" s="39" t="s">
        <v>856</v>
      </c>
      <c r="Z104" s="39" t="s">
        <v>837</v>
      </c>
      <c r="AB104" s="39">
        <v>5.0</v>
      </c>
    </row>
    <row r="105">
      <c r="A105" s="39" t="s">
        <v>891</v>
      </c>
      <c r="B105" s="39" t="s">
        <v>892</v>
      </c>
      <c r="C105" s="39">
        <v>5.53333333333333</v>
      </c>
      <c r="D105" s="41">
        <v>43872.0</v>
      </c>
      <c r="E105" s="39" t="s">
        <v>828</v>
      </c>
      <c r="F105" s="39" t="s">
        <v>829</v>
      </c>
      <c r="G105" s="39" t="s">
        <v>830</v>
      </c>
      <c r="H105" s="39">
        <v>220.0</v>
      </c>
      <c r="N105" s="39" t="s">
        <v>831</v>
      </c>
      <c r="R105" s="39" t="s">
        <v>832</v>
      </c>
      <c r="S105" s="39" t="s">
        <v>833</v>
      </c>
      <c r="T105" s="39" t="s">
        <v>834</v>
      </c>
      <c r="U105" s="39" t="s">
        <v>831</v>
      </c>
      <c r="W105" s="39" t="s">
        <v>840</v>
      </c>
      <c r="X105" s="39" t="s">
        <v>893</v>
      </c>
      <c r="Z105" s="39" t="s">
        <v>876</v>
      </c>
      <c r="AB105" s="39">
        <v>5.53333333333333</v>
      </c>
      <c r="AC105" s="39">
        <v>60.0</v>
      </c>
      <c r="AD105" s="39">
        <v>31.2833333333333</v>
      </c>
    </row>
    <row r="106">
      <c r="A106" s="39" t="s">
        <v>850</v>
      </c>
      <c r="B106" s="39" t="s">
        <v>851</v>
      </c>
      <c r="C106" s="39">
        <v>7.0</v>
      </c>
      <c r="D106" s="41">
        <v>43872.0</v>
      </c>
      <c r="E106" s="39" t="s">
        <v>837</v>
      </c>
      <c r="F106" s="39" t="s">
        <v>886</v>
      </c>
      <c r="G106" s="39" t="s">
        <v>849</v>
      </c>
      <c r="H106" s="39">
        <v>220.0</v>
      </c>
      <c r="N106" s="39" t="s">
        <v>831</v>
      </c>
      <c r="R106" s="39" t="s">
        <v>832</v>
      </c>
      <c r="S106" s="39" t="s">
        <v>855</v>
      </c>
      <c r="T106" s="39" t="s">
        <v>834</v>
      </c>
      <c r="U106" s="39" t="s">
        <v>831</v>
      </c>
      <c r="W106" s="39" t="s">
        <v>840</v>
      </c>
      <c r="X106" s="39" t="s">
        <v>856</v>
      </c>
      <c r="Z106" s="39" t="s">
        <v>837</v>
      </c>
      <c r="AB106" s="39">
        <v>7.0</v>
      </c>
    </row>
    <row r="107">
      <c r="A107" s="39" t="s">
        <v>891</v>
      </c>
      <c r="B107" s="39" t="s">
        <v>892</v>
      </c>
      <c r="C107" s="39">
        <v>3.9</v>
      </c>
      <c r="D107" s="41">
        <v>43873.0</v>
      </c>
      <c r="E107" s="39" t="s">
        <v>828</v>
      </c>
      <c r="F107" s="39" t="s">
        <v>829</v>
      </c>
      <c r="G107" s="39" t="s">
        <v>830</v>
      </c>
      <c r="H107" s="39">
        <v>220.0</v>
      </c>
      <c r="N107" s="39" t="s">
        <v>831</v>
      </c>
      <c r="R107" s="39" t="s">
        <v>832</v>
      </c>
      <c r="S107" s="39" t="s">
        <v>833</v>
      </c>
      <c r="T107" s="39" t="s">
        <v>834</v>
      </c>
      <c r="U107" s="39" t="s">
        <v>831</v>
      </c>
      <c r="W107" s="39" t="s">
        <v>840</v>
      </c>
      <c r="X107" s="39" t="s">
        <v>893</v>
      </c>
      <c r="Z107" s="39" t="s">
        <v>876</v>
      </c>
      <c r="AB107" s="39">
        <v>3.9</v>
      </c>
      <c r="AC107" s="39">
        <v>60.0</v>
      </c>
      <c r="AD107" s="39">
        <v>31.2833333333333</v>
      </c>
    </row>
    <row r="108">
      <c r="A108" s="39" t="s">
        <v>897</v>
      </c>
      <c r="B108" s="39" t="s">
        <v>898</v>
      </c>
      <c r="C108" s="39">
        <v>6.55</v>
      </c>
      <c r="D108" s="41">
        <v>43874.0</v>
      </c>
      <c r="E108" s="39" t="s">
        <v>828</v>
      </c>
      <c r="F108" s="39" t="s">
        <v>829</v>
      </c>
      <c r="G108" s="39" t="s">
        <v>830</v>
      </c>
      <c r="H108" s="39">
        <v>220.0</v>
      </c>
      <c r="N108" s="39" t="s">
        <v>831</v>
      </c>
      <c r="R108" s="39" t="s">
        <v>832</v>
      </c>
      <c r="S108" s="39" t="s">
        <v>833</v>
      </c>
      <c r="T108" s="39" t="s">
        <v>834</v>
      </c>
      <c r="U108" s="39" t="s">
        <v>831</v>
      </c>
      <c r="W108" s="39" t="s">
        <v>302</v>
      </c>
      <c r="X108" s="39" t="s">
        <v>899</v>
      </c>
      <c r="Z108" s="39" t="s">
        <v>876</v>
      </c>
      <c r="AB108" s="39">
        <v>6.55</v>
      </c>
      <c r="AC108" s="39">
        <v>40.0</v>
      </c>
      <c r="AD108" s="39">
        <v>7.78333333333333</v>
      </c>
    </row>
    <row r="109">
      <c r="A109" s="39" t="s">
        <v>891</v>
      </c>
      <c r="B109" s="39" t="s">
        <v>892</v>
      </c>
      <c r="C109" s="39">
        <v>0.733333333333333</v>
      </c>
      <c r="D109" s="41">
        <v>43874.0</v>
      </c>
      <c r="E109" s="39" t="s">
        <v>828</v>
      </c>
      <c r="F109" s="39" t="s">
        <v>829</v>
      </c>
      <c r="G109" s="39" t="s">
        <v>830</v>
      </c>
      <c r="H109" s="39">
        <v>220.0</v>
      </c>
      <c r="N109" s="39" t="s">
        <v>831</v>
      </c>
      <c r="R109" s="39" t="s">
        <v>832</v>
      </c>
      <c r="S109" s="39" t="s">
        <v>833</v>
      </c>
      <c r="T109" s="39" t="s">
        <v>834</v>
      </c>
      <c r="U109" s="39" t="s">
        <v>831</v>
      </c>
      <c r="W109" s="39" t="s">
        <v>840</v>
      </c>
      <c r="X109" s="39" t="s">
        <v>893</v>
      </c>
      <c r="Z109" s="39" t="s">
        <v>876</v>
      </c>
      <c r="AB109" s="39">
        <v>0.733333333333333</v>
      </c>
      <c r="AC109" s="39">
        <v>60.0</v>
      </c>
      <c r="AD109" s="39">
        <v>31.2833333333333</v>
      </c>
    </row>
    <row r="110">
      <c r="A110" s="39" t="s">
        <v>897</v>
      </c>
      <c r="B110" s="39" t="s">
        <v>898</v>
      </c>
      <c r="C110" s="39">
        <v>7.23333333333333</v>
      </c>
      <c r="D110" s="41">
        <v>43875.0</v>
      </c>
      <c r="E110" s="39" t="s">
        <v>828</v>
      </c>
      <c r="F110" s="39" t="s">
        <v>829</v>
      </c>
      <c r="G110" s="39" t="s">
        <v>830</v>
      </c>
      <c r="H110" s="39">
        <v>220.0</v>
      </c>
      <c r="N110" s="39" t="s">
        <v>831</v>
      </c>
      <c r="R110" s="39" t="s">
        <v>832</v>
      </c>
      <c r="S110" s="39" t="s">
        <v>833</v>
      </c>
      <c r="T110" s="39" t="s">
        <v>834</v>
      </c>
      <c r="U110" s="39" t="s">
        <v>831</v>
      </c>
      <c r="W110" s="39" t="s">
        <v>302</v>
      </c>
      <c r="X110" s="39" t="s">
        <v>899</v>
      </c>
      <c r="Z110" s="39" t="s">
        <v>876</v>
      </c>
      <c r="AB110" s="39">
        <v>7.23333333333333</v>
      </c>
      <c r="AC110" s="39">
        <v>40.0</v>
      </c>
      <c r="AD110" s="39">
        <v>7.78333333333333</v>
      </c>
    </row>
    <row r="111">
      <c r="A111" s="39" t="s">
        <v>891</v>
      </c>
      <c r="B111" s="39" t="s">
        <v>892</v>
      </c>
      <c r="C111" s="39">
        <v>0.133333333333333</v>
      </c>
      <c r="D111" s="41">
        <v>43879.0</v>
      </c>
      <c r="E111" s="39" t="s">
        <v>828</v>
      </c>
      <c r="F111" s="39" t="s">
        <v>829</v>
      </c>
      <c r="G111" s="39" t="s">
        <v>830</v>
      </c>
      <c r="H111" s="39">
        <v>220.0</v>
      </c>
      <c r="N111" s="39" t="s">
        <v>831</v>
      </c>
      <c r="R111" s="39" t="s">
        <v>832</v>
      </c>
      <c r="S111" s="39" t="s">
        <v>833</v>
      </c>
      <c r="T111" s="39" t="s">
        <v>834</v>
      </c>
      <c r="U111" s="39" t="s">
        <v>831</v>
      </c>
      <c r="W111" s="39" t="s">
        <v>840</v>
      </c>
      <c r="X111" s="39" t="s">
        <v>893</v>
      </c>
      <c r="Z111" s="39" t="s">
        <v>876</v>
      </c>
      <c r="AB111" s="39">
        <v>0.133333333333333</v>
      </c>
      <c r="AC111" s="39">
        <v>60.0</v>
      </c>
      <c r="AD111" s="39">
        <v>31.2833333333333</v>
      </c>
    </row>
    <row r="112">
      <c r="A112" s="39" t="s">
        <v>897</v>
      </c>
      <c r="B112" s="39" t="s">
        <v>898</v>
      </c>
      <c r="C112" s="39">
        <v>5.45</v>
      </c>
      <c r="D112" s="41">
        <v>43879.0</v>
      </c>
      <c r="E112" s="39" t="s">
        <v>828</v>
      </c>
      <c r="F112" s="39" t="s">
        <v>829</v>
      </c>
      <c r="G112" s="39" t="s">
        <v>830</v>
      </c>
      <c r="H112" s="39">
        <v>220.0</v>
      </c>
      <c r="N112" s="39" t="s">
        <v>831</v>
      </c>
      <c r="R112" s="39" t="s">
        <v>832</v>
      </c>
      <c r="S112" s="39" t="s">
        <v>833</v>
      </c>
      <c r="T112" s="39" t="s">
        <v>834</v>
      </c>
      <c r="U112" s="39" t="s">
        <v>831</v>
      </c>
      <c r="W112" s="39" t="s">
        <v>302</v>
      </c>
      <c r="X112" s="39" t="s">
        <v>899</v>
      </c>
      <c r="Z112" s="39" t="s">
        <v>876</v>
      </c>
      <c r="AB112" s="39">
        <v>5.45</v>
      </c>
      <c r="AC112" s="39">
        <v>40.0</v>
      </c>
      <c r="AD112" s="39">
        <v>7.78333333333333</v>
      </c>
    </row>
    <row r="113">
      <c r="A113" s="39" t="s">
        <v>891</v>
      </c>
      <c r="B113" s="39" t="s">
        <v>892</v>
      </c>
      <c r="C113" s="39">
        <v>0.5</v>
      </c>
      <c r="D113" s="41">
        <v>43879.645833333336</v>
      </c>
      <c r="E113" s="39" t="s">
        <v>900</v>
      </c>
      <c r="F113" s="39" t="s">
        <v>901</v>
      </c>
      <c r="G113" s="39" t="s">
        <v>902</v>
      </c>
      <c r="H113" s="39">
        <v>220.0</v>
      </c>
      <c r="N113" s="39" t="s">
        <v>831</v>
      </c>
      <c r="R113" s="39" t="s">
        <v>832</v>
      </c>
      <c r="S113" s="39" t="s">
        <v>833</v>
      </c>
      <c r="T113" s="39" t="s">
        <v>834</v>
      </c>
      <c r="U113" s="39" t="s">
        <v>831</v>
      </c>
      <c r="W113" s="39" t="s">
        <v>840</v>
      </c>
      <c r="X113" s="39" t="s">
        <v>893</v>
      </c>
      <c r="Z113" s="39" t="s">
        <v>876</v>
      </c>
      <c r="AB113" s="39">
        <v>0.5</v>
      </c>
      <c r="AC113" s="39">
        <v>60.0</v>
      </c>
      <c r="AD113" s="39">
        <v>31.2833333333333</v>
      </c>
    </row>
    <row r="114">
      <c r="A114" s="39" t="s">
        <v>903</v>
      </c>
      <c r="B114" s="39" t="s">
        <v>598</v>
      </c>
      <c r="C114" s="39">
        <v>0.383333333333333</v>
      </c>
      <c r="D114" s="41">
        <v>43880.0</v>
      </c>
      <c r="E114" s="39" t="s">
        <v>828</v>
      </c>
      <c r="F114" s="39" t="s">
        <v>829</v>
      </c>
      <c r="G114" s="39" t="s">
        <v>830</v>
      </c>
      <c r="H114" s="39">
        <v>220.0</v>
      </c>
      <c r="N114" s="39" t="s">
        <v>883</v>
      </c>
      <c r="R114" s="39" t="s">
        <v>832</v>
      </c>
      <c r="S114" s="39" t="s">
        <v>833</v>
      </c>
      <c r="T114" s="39" t="s">
        <v>884</v>
      </c>
      <c r="U114" s="39" t="s">
        <v>883</v>
      </c>
      <c r="W114" s="39" t="s">
        <v>904</v>
      </c>
      <c r="X114" s="39" t="s">
        <v>905</v>
      </c>
      <c r="Z114" s="39" t="s">
        <v>900</v>
      </c>
      <c r="AB114" s="39">
        <v>0.383333333333333</v>
      </c>
      <c r="AC114" s="39">
        <v>12.0</v>
      </c>
      <c r="AD114" s="39">
        <v>0.0</v>
      </c>
    </row>
    <row r="115">
      <c r="A115" s="39" t="s">
        <v>906</v>
      </c>
      <c r="B115" s="39" t="s">
        <v>173</v>
      </c>
      <c r="C115" s="39">
        <v>1.66666666666666</v>
      </c>
      <c r="D115" s="41">
        <v>43880.0</v>
      </c>
      <c r="E115" s="39" t="s">
        <v>828</v>
      </c>
      <c r="F115" s="39" t="s">
        <v>829</v>
      </c>
      <c r="G115" s="39" t="s">
        <v>830</v>
      </c>
      <c r="H115" s="39">
        <v>220.0</v>
      </c>
      <c r="N115" s="39" t="s">
        <v>883</v>
      </c>
      <c r="R115" s="39" t="s">
        <v>832</v>
      </c>
      <c r="S115" s="39" t="s">
        <v>833</v>
      </c>
      <c r="T115" s="39" t="s">
        <v>884</v>
      </c>
      <c r="U115" s="39" t="s">
        <v>883</v>
      </c>
      <c r="W115" s="39" t="s">
        <v>904</v>
      </c>
      <c r="X115" s="39" t="s">
        <v>907</v>
      </c>
      <c r="Z115" s="39" t="s">
        <v>837</v>
      </c>
      <c r="AB115" s="39">
        <v>1.66666666666666</v>
      </c>
      <c r="AC115" s="39">
        <v>20.0</v>
      </c>
      <c r="AD115" s="39">
        <v>0.0</v>
      </c>
    </row>
    <row r="116">
      <c r="A116" s="39" t="s">
        <v>891</v>
      </c>
      <c r="B116" s="39" t="s">
        <v>892</v>
      </c>
      <c r="C116" s="39">
        <v>2.71666666666666</v>
      </c>
      <c r="D116" s="41">
        <v>43880.0</v>
      </c>
      <c r="E116" s="39" t="s">
        <v>828</v>
      </c>
      <c r="F116" s="39" t="s">
        <v>829</v>
      </c>
      <c r="G116" s="39" t="s">
        <v>830</v>
      </c>
      <c r="H116" s="39">
        <v>220.0</v>
      </c>
      <c r="N116" s="39" t="s">
        <v>831</v>
      </c>
      <c r="R116" s="39" t="s">
        <v>832</v>
      </c>
      <c r="S116" s="39" t="s">
        <v>833</v>
      </c>
      <c r="T116" s="39" t="s">
        <v>834</v>
      </c>
      <c r="U116" s="39" t="s">
        <v>831</v>
      </c>
      <c r="W116" s="39" t="s">
        <v>840</v>
      </c>
      <c r="X116" s="39" t="s">
        <v>893</v>
      </c>
      <c r="Z116" s="39" t="s">
        <v>876</v>
      </c>
      <c r="AB116" s="39">
        <v>2.71666666666666</v>
      </c>
      <c r="AC116" s="39">
        <v>60.0</v>
      </c>
      <c r="AD116" s="39">
        <v>31.2833333333333</v>
      </c>
    </row>
    <row r="117">
      <c r="A117" s="39" t="s">
        <v>838</v>
      </c>
      <c r="B117" s="39" t="s">
        <v>839</v>
      </c>
      <c r="C117" s="39">
        <v>1.78333333333333</v>
      </c>
      <c r="D117" s="41">
        <v>43881.0</v>
      </c>
      <c r="E117" s="39" t="s">
        <v>828</v>
      </c>
      <c r="F117" s="39" t="s">
        <v>829</v>
      </c>
      <c r="G117" s="39" t="s">
        <v>830</v>
      </c>
      <c r="H117" s="39">
        <v>220.0</v>
      </c>
      <c r="N117" s="39" t="s">
        <v>831</v>
      </c>
      <c r="R117" s="39" t="s">
        <v>832</v>
      </c>
      <c r="S117" s="39" t="s">
        <v>833</v>
      </c>
      <c r="T117" s="39" t="s">
        <v>834</v>
      </c>
      <c r="U117" s="39" t="s">
        <v>831</v>
      </c>
      <c r="W117" s="39" t="s">
        <v>840</v>
      </c>
      <c r="X117" s="39" t="s">
        <v>841</v>
      </c>
      <c r="Z117" s="39" t="s">
        <v>828</v>
      </c>
      <c r="AB117" s="39">
        <v>1.78333333333333</v>
      </c>
      <c r="AC117" s="39">
        <v>60.0</v>
      </c>
      <c r="AD117" s="39">
        <v>3.65</v>
      </c>
    </row>
    <row r="118">
      <c r="A118" s="39" t="s">
        <v>906</v>
      </c>
      <c r="B118" s="39" t="s">
        <v>173</v>
      </c>
      <c r="C118" s="39">
        <v>5.16666666666666</v>
      </c>
      <c r="D118" s="41">
        <v>43881.0</v>
      </c>
      <c r="E118" s="39" t="s">
        <v>828</v>
      </c>
      <c r="F118" s="39" t="s">
        <v>829</v>
      </c>
      <c r="G118" s="39" t="s">
        <v>830</v>
      </c>
      <c r="H118" s="39">
        <v>220.0</v>
      </c>
      <c r="N118" s="39" t="s">
        <v>883</v>
      </c>
      <c r="R118" s="39" t="s">
        <v>832</v>
      </c>
      <c r="S118" s="39" t="s">
        <v>833</v>
      </c>
      <c r="T118" s="39" t="s">
        <v>884</v>
      </c>
      <c r="U118" s="39" t="s">
        <v>883</v>
      </c>
      <c r="W118" s="39" t="s">
        <v>904</v>
      </c>
      <c r="X118" s="39" t="s">
        <v>907</v>
      </c>
      <c r="Z118" s="39" t="s">
        <v>837</v>
      </c>
      <c r="AB118" s="39">
        <v>5.16666666666666</v>
      </c>
      <c r="AC118" s="39">
        <v>20.0</v>
      </c>
      <c r="AD118" s="39">
        <v>0.0</v>
      </c>
    </row>
    <row r="119">
      <c r="A119" s="39" t="s">
        <v>903</v>
      </c>
      <c r="B119" s="39" t="s">
        <v>598</v>
      </c>
      <c r="C119" s="39">
        <v>5.51666666666666</v>
      </c>
      <c r="D119" s="41">
        <v>43882.0</v>
      </c>
      <c r="E119" s="39" t="s">
        <v>828</v>
      </c>
      <c r="F119" s="39" t="s">
        <v>829</v>
      </c>
      <c r="G119" s="39" t="s">
        <v>830</v>
      </c>
      <c r="H119" s="39">
        <v>220.0</v>
      </c>
      <c r="N119" s="39" t="s">
        <v>883</v>
      </c>
      <c r="R119" s="39" t="s">
        <v>832</v>
      </c>
      <c r="S119" s="39" t="s">
        <v>833</v>
      </c>
      <c r="T119" s="39" t="s">
        <v>884</v>
      </c>
      <c r="U119" s="39" t="s">
        <v>883</v>
      </c>
      <c r="W119" s="39" t="s">
        <v>904</v>
      </c>
      <c r="X119" s="39" t="s">
        <v>905</v>
      </c>
      <c r="Z119" s="39" t="s">
        <v>900</v>
      </c>
      <c r="AB119" s="39">
        <v>5.51666666666666</v>
      </c>
      <c r="AC119" s="39">
        <v>12.0</v>
      </c>
      <c r="AD119" s="39">
        <v>0.0</v>
      </c>
    </row>
    <row r="120">
      <c r="A120" s="39" t="s">
        <v>906</v>
      </c>
      <c r="B120" s="39" t="s">
        <v>173</v>
      </c>
      <c r="C120" s="39">
        <v>1.45</v>
      </c>
      <c r="D120" s="41">
        <v>43882.0</v>
      </c>
      <c r="E120" s="39" t="s">
        <v>828</v>
      </c>
      <c r="F120" s="39" t="s">
        <v>829</v>
      </c>
      <c r="G120" s="39" t="s">
        <v>830</v>
      </c>
      <c r="H120" s="39">
        <v>220.0</v>
      </c>
      <c r="N120" s="39" t="s">
        <v>883</v>
      </c>
      <c r="R120" s="39" t="s">
        <v>832</v>
      </c>
      <c r="S120" s="39" t="s">
        <v>833</v>
      </c>
      <c r="T120" s="39" t="s">
        <v>884</v>
      </c>
      <c r="U120" s="39" t="s">
        <v>883</v>
      </c>
      <c r="W120" s="39" t="s">
        <v>904</v>
      </c>
      <c r="X120" s="39" t="s">
        <v>907</v>
      </c>
      <c r="Z120" s="39" t="s">
        <v>837</v>
      </c>
      <c r="AB120" s="39">
        <v>1.45</v>
      </c>
      <c r="AC120" s="39">
        <v>20.0</v>
      </c>
      <c r="AD120" s="39">
        <v>0.0</v>
      </c>
    </row>
    <row r="121">
      <c r="A121" s="39" t="s">
        <v>906</v>
      </c>
      <c r="B121" s="39" t="s">
        <v>173</v>
      </c>
      <c r="C121" s="39">
        <v>1.7</v>
      </c>
      <c r="D121" s="41">
        <v>43885.0</v>
      </c>
      <c r="E121" s="39" t="s">
        <v>828</v>
      </c>
      <c r="F121" s="39" t="s">
        <v>829</v>
      </c>
      <c r="G121" s="39" t="s">
        <v>830</v>
      </c>
      <c r="H121" s="39">
        <v>220.0</v>
      </c>
      <c r="N121" s="39" t="s">
        <v>883</v>
      </c>
      <c r="R121" s="39" t="s">
        <v>832</v>
      </c>
      <c r="S121" s="39" t="s">
        <v>833</v>
      </c>
      <c r="T121" s="39" t="s">
        <v>884</v>
      </c>
      <c r="U121" s="39" t="s">
        <v>883</v>
      </c>
      <c r="W121" s="39" t="s">
        <v>904</v>
      </c>
      <c r="X121" s="39" t="s">
        <v>907</v>
      </c>
      <c r="Z121" s="39" t="s">
        <v>837</v>
      </c>
      <c r="AB121" s="39">
        <v>1.7</v>
      </c>
      <c r="AC121" s="39">
        <v>20.0</v>
      </c>
      <c r="AD121" s="39">
        <v>0.0</v>
      </c>
    </row>
    <row r="122">
      <c r="A122" s="39" t="s">
        <v>903</v>
      </c>
      <c r="B122" s="39" t="s">
        <v>598</v>
      </c>
      <c r="C122" s="39">
        <v>0.65</v>
      </c>
      <c r="D122" s="41">
        <v>43885.0</v>
      </c>
      <c r="E122" s="39" t="s">
        <v>828</v>
      </c>
      <c r="F122" s="39" t="s">
        <v>829</v>
      </c>
      <c r="G122" s="39" t="s">
        <v>830</v>
      </c>
      <c r="H122" s="39">
        <v>220.0</v>
      </c>
      <c r="N122" s="39" t="s">
        <v>883</v>
      </c>
      <c r="R122" s="39" t="s">
        <v>832</v>
      </c>
      <c r="S122" s="39" t="s">
        <v>833</v>
      </c>
      <c r="T122" s="39" t="s">
        <v>884</v>
      </c>
      <c r="U122" s="39" t="s">
        <v>883</v>
      </c>
      <c r="W122" s="39" t="s">
        <v>904</v>
      </c>
      <c r="X122" s="39" t="s">
        <v>905</v>
      </c>
      <c r="Z122" s="39" t="s">
        <v>900</v>
      </c>
      <c r="AB122" s="39">
        <v>0.65</v>
      </c>
      <c r="AC122" s="39">
        <v>12.0</v>
      </c>
      <c r="AD122" s="39">
        <v>0.0</v>
      </c>
    </row>
    <row r="123">
      <c r="A123" s="39" t="s">
        <v>891</v>
      </c>
      <c r="B123" s="39" t="s">
        <v>892</v>
      </c>
      <c r="C123" s="39">
        <v>1.41666666666666</v>
      </c>
      <c r="D123" s="41">
        <v>43885.0</v>
      </c>
      <c r="E123" s="39" t="s">
        <v>828</v>
      </c>
      <c r="F123" s="39" t="s">
        <v>829</v>
      </c>
      <c r="G123" s="39" t="s">
        <v>830</v>
      </c>
      <c r="H123" s="39">
        <v>220.0</v>
      </c>
      <c r="N123" s="39" t="s">
        <v>831</v>
      </c>
      <c r="R123" s="39" t="s">
        <v>832</v>
      </c>
      <c r="S123" s="39" t="s">
        <v>833</v>
      </c>
      <c r="T123" s="39" t="s">
        <v>834</v>
      </c>
      <c r="U123" s="39" t="s">
        <v>831</v>
      </c>
      <c r="W123" s="39" t="s">
        <v>840</v>
      </c>
      <c r="X123" s="39" t="s">
        <v>893</v>
      </c>
      <c r="Z123" s="39" t="s">
        <v>876</v>
      </c>
      <c r="AB123" s="39">
        <v>1.41666666666666</v>
      </c>
      <c r="AC123" s="39">
        <v>60.0</v>
      </c>
      <c r="AD123" s="39">
        <v>31.2833333333333</v>
      </c>
    </row>
    <row r="124">
      <c r="A124" s="39" t="s">
        <v>571</v>
      </c>
      <c r="B124" s="39" t="s">
        <v>572</v>
      </c>
      <c r="C124" s="39">
        <v>0.166666666666666</v>
      </c>
      <c r="D124" s="41">
        <v>43885.0</v>
      </c>
      <c r="E124" s="39" t="s">
        <v>828</v>
      </c>
      <c r="F124" s="39" t="s">
        <v>829</v>
      </c>
      <c r="G124" s="39" t="s">
        <v>830</v>
      </c>
      <c r="H124" s="39">
        <v>220.0</v>
      </c>
      <c r="N124" s="39" t="s">
        <v>831</v>
      </c>
      <c r="R124" s="39" t="s">
        <v>832</v>
      </c>
      <c r="S124" s="39" t="s">
        <v>842</v>
      </c>
      <c r="T124" s="39" t="s">
        <v>834</v>
      </c>
      <c r="U124" s="39" t="s">
        <v>831</v>
      </c>
      <c r="W124" s="39" t="s">
        <v>302</v>
      </c>
      <c r="X124" s="39" t="s">
        <v>843</v>
      </c>
      <c r="Z124" s="39" t="s">
        <v>828</v>
      </c>
      <c r="AB124" s="39">
        <v>0.166666666666666</v>
      </c>
    </row>
    <row r="125">
      <c r="A125" s="39" t="s">
        <v>897</v>
      </c>
      <c r="B125" s="39" t="s">
        <v>898</v>
      </c>
      <c r="C125" s="39">
        <v>1.15</v>
      </c>
      <c r="D125" s="41">
        <v>43886.0</v>
      </c>
      <c r="E125" s="39" t="s">
        <v>828</v>
      </c>
      <c r="F125" s="39" t="s">
        <v>829</v>
      </c>
      <c r="G125" s="39" t="s">
        <v>830</v>
      </c>
      <c r="H125" s="39">
        <v>220.0</v>
      </c>
      <c r="N125" s="39" t="s">
        <v>831</v>
      </c>
      <c r="R125" s="39" t="s">
        <v>832</v>
      </c>
      <c r="S125" s="39" t="s">
        <v>833</v>
      </c>
      <c r="T125" s="39" t="s">
        <v>834</v>
      </c>
      <c r="U125" s="39" t="s">
        <v>831</v>
      </c>
      <c r="W125" s="39" t="s">
        <v>302</v>
      </c>
      <c r="X125" s="39" t="s">
        <v>899</v>
      </c>
      <c r="Z125" s="39" t="s">
        <v>876</v>
      </c>
      <c r="AB125" s="39">
        <v>1.15</v>
      </c>
      <c r="AC125" s="39">
        <v>40.0</v>
      </c>
      <c r="AD125" s="39">
        <v>7.78333333333333</v>
      </c>
    </row>
    <row r="126">
      <c r="A126" s="39" t="s">
        <v>906</v>
      </c>
      <c r="B126" s="39" t="s">
        <v>173</v>
      </c>
      <c r="C126" s="39">
        <v>3.85</v>
      </c>
      <c r="D126" s="41">
        <v>43886.0</v>
      </c>
      <c r="E126" s="39" t="s">
        <v>828</v>
      </c>
      <c r="F126" s="39" t="s">
        <v>829</v>
      </c>
      <c r="G126" s="39" t="s">
        <v>830</v>
      </c>
      <c r="H126" s="39">
        <v>220.0</v>
      </c>
      <c r="N126" s="39" t="s">
        <v>883</v>
      </c>
      <c r="R126" s="39" t="s">
        <v>832</v>
      </c>
      <c r="S126" s="39" t="s">
        <v>833</v>
      </c>
      <c r="T126" s="39" t="s">
        <v>884</v>
      </c>
      <c r="U126" s="39" t="s">
        <v>883</v>
      </c>
      <c r="W126" s="39" t="s">
        <v>904</v>
      </c>
      <c r="X126" s="39" t="s">
        <v>907</v>
      </c>
      <c r="Z126" s="39" t="s">
        <v>837</v>
      </c>
      <c r="AB126" s="39">
        <v>3.85</v>
      </c>
      <c r="AC126" s="39">
        <v>20.0</v>
      </c>
      <c r="AD126" s="39">
        <v>0.0</v>
      </c>
    </row>
    <row r="127">
      <c r="A127" s="39" t="s">
        <v>906</v>
      </c>
      <c r="B127" s="39" t="s">
        <v>173</v>
      </c>
      <c r="C127" s="39">
        <v>0.216666666666666</v>
      </c>
      <c r="D127" s="41">
        <v>43887.0</v>
      </c>
      <c r="E127" s="39" t="s">
        <v>828</v>
      </c>
      <c r="F127" s="39" t="s">
        <v>829</v>
      </c>
      <c r="G127" s="39" t="s">
        <v>830</v>
      </c>
      <c r="H127" s="39">
        <v>220.0</v>
      </c>
      <c r="N127" s="39" t="s">
        <v>883</v>
      </c>
      <c r="R127" s="39" t="s">
        <v>832</v>
      </c>
      <c r="S127" s="39" t="s">
        <v>833</v>
      </c>
      <c r="T127" s="39" t="s">
        <v>884</v>
      </c>
      <c r="U127" s="39" t="s">
        <v>883</v>
      </c>
      <c r="W127" s="39" t="s">
        <v>904</v>
      </c>
      <c r="X127" s="39" t="s">
        <v>907</v>
      </c>
      <c r="Z127" s="39" t="s">
        <v>837</v>
      </c>
      <c r="AB127" s="39">
        <v>0.216666666666666</v>
      </c>
      <c r="AC127" s="39">
        <v>20.0</v>
      </c>
      <c r="AD127" s="39">
        <v>0.0</v>
      </c>
    </row>
    <row r="128">
      <c r="A128" s="39" t="s">
        <v>897</v>
      </c>
      <c r="B128" s="39" t="s">
        <v>898</v>
      </c>
      <c r="C128" s="39">
        <v>6.55</v>
      </c>
      <c r="D128" s="41">
        <v>43887.0</v>
      </c>
      <c r="E128" s="39" t="s">
        <v>828</v>
      </c>
      <c r="F128" s="39" t="s">
        <v>829</v>
      </c>
      <c r="G128" s="39" t="s">
        <v>830</v>
      </c>
      <c r="H128" s="39">
        <v>220.0</v>
      </c>
      <c r="N128" s="39" t="s">
        <v>831</v>
      </c>
      <c r="R128" s="39" t="s">
        <v>832</v>
      </c>
      <c r="S128" s="39" t="s">
        <v>833</v>
      </c>
      <c r="T128" s="39" t="s">
        <v>834</v>
      </c>
      <c r="U128" s="39" t="s">
        <v>831</v>
      </c>
      <c r="W128" s="39" t="s">
        <v>302</v>
      </c>
      <c r="X128" s="39" t="s">
        <v>899</v>
      </c>
      <c r="Z128" s="39" t="s">
        <v>876</v>
      </c>
      <c r="AB128" s="39">
        <v>6.55</v>
      </c>
      <c r="AC128" s="39">
        <v>40.0</v>
      </c>
      <c r="AD128" s="39">
        <v>7.78333333333333</v>
      </c>
    </row>
    <row r="129">
      <c r="A129" s="39" t="s">
        <v>607</v>
      </c>
      <c r="B129" s="39" t="s">
        <v>608</v>
      </c>
      <c r="C129" s="39">
        <v>7.61666666666666</v>
      </c>
      <c r="D129" s="41">
        <v>43888.0</v>
      </c>
      <c r="E129" s="39" t="s">
        <v>828</v>
      </c>
      <c r="F129" s="39" t="s">
        <v>829</v>
      </c>
      <c r="G129" s="39" t="s">
        <v>830</v>
      </c>
      <c r="H129" s="39">
        <v>220.0</v>
      </c>
      <c r="N129" s="39" t="s">
        <v>831</v>
      </c>
      <c r="R129" s="39" t="s">
        <v>832</v>
      </c>
      <c r="S129" s="39" t="s">
        <v>833</v>
      </c>
      <c r="T129" s="39" t="s">
        <v>834</v>
      </c>
      <c r="U129" s="39" t="s">
        <v>831</v>
      </c>
      <c r="W129" s="39" t="s">
        <v>302</v>
      </c>
      <c r="X129" s="39" t="s">
        <v>908</v>
      </c>
      <c r="Z129" s="39" t="s">
        <v>852</v>
      </c>
      <c r="AB129" s="39">
        <v>7.61666666666666</v>
      </c>
      <c r="AC129" s="39">
        <v>6.0</v>
      </c>
      <c r="AD129" s="39">
        <v>0.0</v>
      </c>
    </row>
    <row r="130">
      <c r="A130" s="39" t="s">
        <v>903</v>
      </c>
      <c r="B130" s="39" t="s">
        <v>598</v>
      </c>
      <c r="C130" s="39">
        <v>0.0666666666666666</v>
      </c>
      <c r="D130" s="41">
        <v>43888.0</v>
      </c>
      <c r="E130" s="39" t="s">
        <v>828</v>
      </c>
      <c r="F130" s="39" t="s">
        <v>829</v>
      </c>
      <c r="G130" s="39" t="s">
        <v>830</v>
      </c>
      <c r="H130" s="39">
        <v>220.0</v>
      </c>
      <c r="N130" s="39" t="s">
        <v>883</v>
      </c>
      <c r="R130" s="39" t="s">
        <v>832</v>
      </c>
      <c r="S130" s="39" t="s">
        <v>833</v>
      </c>
      <c r="T130" s="39" t="s">
        <v>884</v>
      </c>
      <c r="U130" s="39" t="s">
        <v>883</v>
      </c>
      <c r="W130" s="39" t="s">
        <v>904</v>
      </c>
      <c r="X130" s="39" t="s">
        <v>905</v>
      </c>
      <c r="Z130" s="39" t="s">
        <v>900</v>
      </c>
      <c r="AB130" s="39">
        <v>0.0666666666666666</v>
      </c>
      <c r="AC130" s="39">
        <v>12.0</v>
      </c>
      <c r="AD130" s="39">
        <v>0.0</v>
      </c>
    </row>
    <row r="131">
      <c r="A131" s="39" t="s">
        <v>906</v>
      </c>
      <c r="B131" s="39" t="s">
        <v>173</v>
      </c>
      <c r="C131" s="39">
        <v>0.233333333333333</v>
      </c>
      <c r="D131" s="41">
        <v>43888.0</v>
      </c>
      <c r="E131" s="39" t="s">
        <v>828</v>
      </c>
      <c r="F131" s="39" t="s">
        <v>829</v>
      </c>
      <c r="G131" s="39" t="s">
        <v>830</v>
      </c>
      <c r="H131" s="39">
        <v>220.0</v>
      </c>
      <c r="N131" s="39" t="s">
        <v>883</v>
      </c>
      <c r="R131" s="39" t="s">
        <v>832</v>
      </c>
      <c r="S131" s="39" t="s">
        <v>833</v>
      </c>
      <c r="T131" s="39" t="s">
        <v>884</v>
      </c>
      <c r="U131" s="39" t="s">
        <v>883</v>
      </c>
      <c r="W131" s="39" t="s">
        <v>904</v>
      </c>
      <c r="X131" s="39" t="s">
        <v>907</v>
      </c>
      <c r="Z131" s="39" t="s">
        <v>837</v>
      </c>
      <c r="AB131" s="39">
        <v>0.233333333333333</v>
      </c>
      <c r="AC131" s="39">
        <v>20.0</v>
      </c>
      <c r="AD131" s="39">
        <v>0.0</v>
      </c>
    </row>
    <row r="132">
      <c r="A132" s="39" t="s">
        <v>909</v>
      </c>
      <c r="B132" s="39" t="s">
        <v>910</v>
      </c>
      <c r="C132" s="39">
        <v>0.2</v>
      </c>
      <c r="D132" s="41">
        <v>43889.0</v>
      </c>
      <c r="E132" s="39" t="s">
        <v>828</v>
      </c>
      <c r="F132" s="39" t="s">
        <v>829</v>
      </c>
      <c r="G132" s="39" t="s">
        <v>830</v>
      </c>
      <c r="H132" s="39">
        <v>220.0</v>
      </c>
      <c r="N132" s="39" t="s">
        <v>831</v>
      </c>
      <c r="R132" s="39" t="s">
        <v>832</v>
      </c>
      <c r="S132" s="39" t="s">
        <v>833</v>
      </c>
      <c r="T132" s="39" t="s">
        <v>834</v>
      </c>
      <c r="U132" s="39" t="s">
        <v>831</v>
      </c>
      <c r="W132" s="39" t="s">
        <v>835</v>
      </c>
      <c r="X132" s="39" t="s">
        <v>911</v>
      </c>
      <c r="Z132" s="39" t="s">
        <v>900</v>
      </c>
      <c r="AB132" s="39">
        <v>0.2</v>
      </c>
      <c r="AC132" s="39">
        <v>6.0</v>
      </c>
      <c r="AD132" s="39">
        <v>0.0</v>
      </c>
    </row>
    <row r="133">
      <c r="A133" s="39" t="s">
        <v>897</v>
      </c>
      <c r="B133" s="39" t="s">
        <v>898</v>
      </c>
      <c r="C133" s="39">
        <v>1.91666666666666</v>
      </c>
      <c r="D133" s="41">
        <v>43889.0</v>
      </c>
      <c r="E133" s="39" t="s">
        <v>828</v>
      </c>
      <c r="F133" s="39" t="s">
        <v>829</v>
      </c>
      <c r="G133" s="39" t="s">
        <v>830</v>
      </c>
      <c r="H133" s="39">
        <v>220.0</v>
      </c>
      <c r="N133" s="39" t="s">
        <v>831</v>
      </c>
      <c r="R133" s="39" t="s">
        <v>832</v>
      </c>
      <c r="S133" s="39" t="s">
        <v>833</v>
      </c>
      <c r="T133" s="39" t="s">
        <v>834</v>
      </c>
      <c r="U133" s="39" t="s">
        <v>831</v>
      </c>
      <c r="W133" s="39" t="s">
        <v>302</v>
      </c>
      <c r="X133" s="39" t="s">
        <v>899</v>
      </c>
      <c r="Z133" s="39" t="s">
        <v>876</v>
      </c>
      <c r="AB133" s="39">
        <v>1.91666666666666</v>
      </c>
      <c r="AC133" s="39">
        <v>40.0</v>
      </c>
      <c r="AD133" s="39">
        <v>7.78333333333333</v>
      </c>
    </row>
    <row r="134">
      <c r="A134" s="39" t="s">
        <v>607</v>
      </c>
      <c r="B134" s="39" t="s">
        <v>608</v>
      </c>
      <c r="C134" s="39">
        <v>4.26666666666666</v>
      </c>
      <c r="D134" s="41">
        <v>43889.0</v>
      </c>
      <c r="E134" s="39" t="s">
        <v>828</v>
      </c>
      <c r="F134" s="39" t="s">
        <v>829</v>
      </c>
      <c r="G134" s="39" t="s">
        <v>830</v>
      </c>
      <c r="H134" s="39">
        <v>220.0</v>
      </c>
      <c r="N134" s="39" t="s">
        <v>831</v>
      </c>
      <c r="R134" s="39" t="s">
        <v>832</v>
      </c>
      <c r="S134" s="39" t="s">
        <v>833</v>
      </c>
      <c r="T134" s="39" t="s">
        <v>834</v>
      </c>
      <c r="U134" s="39" t="s">
        <v>831</v>
      </c>
      <c r="W134" s="39" t="s">
        <v>302</v>
      </c>
      <c r="X134" s="39" t="s">
        <v>908</v>
      </c>
      <c r="Z134" s="39" t="s">
        <v>852</v>
      </c>
      <c r="AB134" s="39">
        <v>4.26666666666666</v>
      </c>
      <c r="AC134" s="39">
        <v>6.0</v>
      </c>
      <c r="AD134" s="39">
        <v>0.0</v>
      </c>
    </row>
    <row r="135">
      <c r="A135" s="39" t="s">
        <v>912</v>
      </c>
      <c r="B135" s="39" t="s">
        <v>913</v>
      </c>
      <c r="C135" s="39">
        <v>0.783333333333333</v>
      </c>
      <c r="D135" s="41">
        <v>43892.0</v>
      </c>
      <c r="E135" s="39" t="s">
        <v>828</v>
      </c>
      <c r="F135" s="39" t="s">
        <v>829</v>
      </c>
      <c r="G135" s="39" t="s">
        <v>830</v>
      </c>
      <c r="H135" s="39">
        <v>320.0</v>
      </c>
      <c r="N135" s="39" t="s">
        <v>831</v>
      </c>
      <c r="R135" s="39" t="s">
        <v>832</v>
      </c>
      <c r="S135" s="39" t="s">
        <v>833</v>
      </c>
      <c r="T135" s="39" t="s">
        <v>834</v>
      </c>
      <c r="U135" s="39" t="s">
        <v>831</v>
      </c>
      <c r="W135" s="39" t="s">
        <v>437</v>
      </c>
      <c r="X135" s="39" t="s">
        <v>914</v>
      </c>
      <c r="Z135" s="39" t="s">
        <v>828</v>
      </c>
      <c r="AB135" s="39">
        <v>0.783333333333333</v>
      </c>
      <c r="AC135" s="39">
        <v>12.0</v>
      </c>
      <c r="AD135" s="39">
        <v>0.0</v>
      </c>
    </row>
    <row r="136">
      <c r="A136" s="39" t="s">
        <v>909</v>
      </c>
      <c r="B136" s="39" t="s">
        <v>910</v>
      </c>
      <c r="C136" s="39">
        <v>4.15</v>
      </c>
      <c r="D136" s="41">
        <v>43892.0</v>
      </c>
      <c r="E136" s="39" t="s">
        <v>828</v>
      </c>
      <c r="F136" s="39" t="s">
        <v>829</v>
      </c>
      <c r="G136" s="39" t="s">
        <v>830</v>
      </c>
      <c r="H136" s="39">
        <v>320.0</v>
      </c>
      <c r="N136" s="39" t="s">
        <v>831</v>
      </c>
      <c r="R136" s="39" t="s">
        <v>832</v>
      </c>
      <c r="S136" s="39" t="s">
        <v>833</v>
      </c>
      <c r="T136" s="39" t="s">
        <v>834</v>
      </c>
      <c r="U136" s="39" t="s">
        <v>831</v>
      </c>
      <c r="W136" s="39" t="s">
        <v>835</v>
      </c>
      <c r="X136" s="39" t="s">
        <v>911</v>
      </c>
      <c r="Z136" s="39" t="s">
        <v>900</v>
      </c>
      <c r="AB136" s="39">
        <v>4.15</v>
      </c>
      <c r="AC136" s="39">
        <v>6.0</v>
      </c>
      <c r="AD136" s="39">
        <v>0.0</v>
      </c>
    </row>
    <row r="137">
      <c r="A137" s="39" t="s">
        <v>571</v>
      </c>
      <c r="B137" s="39" t="s">
        <v>572</v>
      </c>
      <c r="C137" s="39">
        <v>0.283333333333333</v>
      </c>
      <c r="D137" s="41">
        <v>43892.0</v>
      </c>
      <c r="E137" s="39" t="s">
        <v>828</v>
      </c>
      <c r="F137" s="39" t="s">
        <v>829</v>
      </c>
      <c r="G137" s="39" t="s">
        <v>830</v>
      </c>
      <c r="H137" s="39">
        <v>320.0</v>
      </c>
      <c r="N137" s="39" t="s">
        <v>831</v>
      </c>
      <c r="R137" s="39" t="s">
        <v>832</v>
      </c>
      <c r="S137" s="39" t="s">
        <v>842</v>
      </c>
      <c r="T137" s="39" t="s">
        <v>834</v>
      </c>
      <c r="U137" s="39" t="s">
        <v>831</v>
      </c>
      <c r="W137" s="39" t="s">
        <v>302</v>
      </c>
      <c r="X137" s="39" t="s">
        <v>843</v>
      </c>
      <c r="Z137" s="39" t="s">
        <v>828</v>
      </c>
      <c r="AB137" s="39">
        <v>0.283333333333333</v>
      </c>
    </row>
    <row r="138">
      <c r="A138" s="39" t="s">
        <v>607</v>
      </c>
      <c r="B138" s="39" t="s">
        <v>608</v>
      </c>
      <c r="C138" s="39">
        <v>0.616666666666666</v>
      </c>
      <c r="D138" s="41">
        <v>43892.0</v>
      </c>
      <c r="E138" s="39" t="s">
        <v>828</v>
      </c>
      <c r="F138" s="39" t="s">
        <v>829</v>
      </c>
      <c r="G138" s="39" t="s">
        <v>830</v>
      </c>
      <c r="H138" s="39">
        <v>320.0</v>
      </c>
      <c r="N138" s="39" t="s">
        <v>831</v>
      </c>
      <c r="R138" s="39" t="s">
        <v>832</v>
      </c>
      <c r="S138" s="39" t="s">
        <v>833</v>
      </c>
      <c r="T138" s="39" t="s">
        <v>834</v>
      </c>
      <c r="U138" s="39" t="s">
        <v>831</v>
      </c>
      <c r="W138" s="39" t="s">
        <v>302</v>
      </c>
      <c r="X138" s="39" t="s">
        <v>908</v>
      </c>
      <c r="Z138" s="39" t="s">
        <v>852</v>
      </c>
      <c r="AB138" s="39">
        <v>0.616666666666666</v>
      </c>
      <c r="AC138" s="39">
        <v>6.0</v>
      </c>
      <c r="AD138" s="39">
        <v>0.0</v>
      </c>
    </row>
    <row r="139">
      <c r="A139" s="39" t="s">
        <v>915</v>
      </c>
      <c r="B139" s="39" t="s">
        <v>916</v>
      </c>
      <c r="C139" s="39">
        <v>0.166666666666666</v>
      </c>
      <c r="D139" s="41">
        <v>43892.0</v>
      </c>
      <c r="E139" s="39" t="s">
        <v>828</v>
      </c>
      <c r="F139" s="39" t="s">
        <v>829</v>
      </c>
      <c r="G139" s="39" t="s">
        <v>830</v>
      </c>
      <c r="H139" s="39">
        <v>320.0</v>
      </c>
      <c r="N139" s="39" t="s">
        <v>831</v>
      </c>
      <c r="R139" s="39" t="s">
        <v>832</v>
      </c>
      <c r="S139" s="39" t="s">
        <v>833</v>
      </c>
      <c r="T139" s="39" t="s">
        <v>834</v>
      </c>
      <c r="U139" s="39" t="s">
        <v>831</v>
      </c>
      <c r="W139" s="39" t="s">
        <v>840</v>
      </c>
      <c r="X139" s="39" t="s">
        <v>917</v>
      </c>
      <c r="Z139" s="39" t="s">
        <v>847</v>
      </c>
      <c r="AB139" s="39">
        <v>0.166666666666666</v>
      </c>
      <c r="AC139" s="39">
        <v>8.0</v>
      </c>
      <c r="AD139" s="39">
        <v>0.0</v>
      </c>
    </row>
    <row r="140">
      <c r="A140" s="39" t="s">
        <v>918</v>
      </c>
      <c r="B140" s="39" t="s">
        <v>919</v>
      </c>
      <c r="C140" s="39">
        <v>0.266666666666666</v>
      </c>
      <c r="D140" s="41">
        <v>43892.0</v>
      </c>
      <c r="E140" s="39" t="s">
        <v>828</v>
      </c>
      <c r="F140" s="39" t="s">
        <v>829</v>
      </c>
      <c r="G140" s="39" t="s">
        <v>830</v>
      </c>
      <c r="H140" s="39">
        <v>320.0</v>
      </c>
      <c r="N140" s="39" t="s">
        <v>831</v>
      </c>
      <c r="R140" s="39" t="s">
        <v>832</v>
      </c>
      <c r="S140" s="39" t="s">
        <v>833</v>
      </c>
      <c r="T140" s="39" t="s">
        <v>834</v>
      </c>
      <c r="U140" s="39" t="s">
        <v>831</v>
      </c>
      <c r="W140" s="39" t="s">
        <v>840</v>
      </c>
      <c r="X140" s="39" t="s">
        <v>920</v>
      </c>
      <c r="Z140" s="39" t="s">
        <v>847</v>
      </c>
      <c r="AB140" s="39">
        <v>0.266666666666666</v>
      </c>
      <c r="AC140" s="39">
        <v>6.0</v>
      </c>
      <c r="AD140" s="39">
        <v>0.0</v>
      </c>
    </row>
    <row r="141">
      <c r="A141" s="39" t="s">
        <v>921</v>
      </c>
      <c r="B141" s="39" t="s">
        <v>922</v>
      </c>
      <c r="C141" s="39">
        <v>0.283333333333333</v>
      </c>
      <c r="D141" s="41">
        <v>43892.0</v>
      </c>
      <c r="E141" s="39" t="s">
        <v>828</v>
      </c>
      <c r="F141" s="39" t="s">
        <v>829</v>
      </c>
      <c r="G141" s="39" t="s">
        <v>830</v>
      </c>
      <c r="H141" s="39">
        <v>320.0</v>
      </c>
      <c r="N141" s="39" t="s">
        <v>831</v>
      </c>
      <c r="R141" s="39" t="s">
        <v>832</v>
      </c>
      <c r="S141" s="39" t="s">
        <v>855</v>
      </c>
      <c r="T141" s="39" t="s">
        <v>834</v>
      </c>
      <c r="U141" s="39" t="s">
        <v>831</v>
      </c>
      <c r="W141" s="39" t="s">
        <v>840</v>
      </c>
      <c r="X141" s="39" t="s">
        <v>923</v>
      </c>
      <c r="Z141" s="39" t="s">
        <v>847</v>
      </c>
      <c r="AB141" s="39">
        <v>0.283333333333333</v>
      </c>
      <c r="AC141" s="39">
        <v>24.0</v>
      </c>
      <c r="AD141" s="39">
        <v>10.5333333333333</v>
      </c>
    </row>
    <row r="142">
      <c r="A142" s="39" t="s">
        <v>924</v>
      </c>
      <c r="B142" s="39" t="s">
        <v>925</v>
      </c>
      <c r="C142" s="39">
        <v>2.0</v>
      </c>
      <c r="D142" s="41">
        <v>43892.0</v>
      </c>
      <c r="E142" s="39" t="s">
        <v>847</v>
      </c>
      <c r="F142" s="39" t="s">
        <v>848</v>
      </c>
      <c r="G142" s="39" t="s">
        <v>849</v>
      </c>
      <c r="H142" s="39">
        <v>320.0</v>
      </c>
      <c r="N142" s="39" t="s">
        <v>831</v>
      </c>
      <c r="R142" s="39" t="s">
        <v>832</v>
      </c>
      <c r="S142" s="39" t="s">
        <v>889</v>
      </c>
      <c r="T142" s="39" t="s">
        <v>834</v>
      </c>
      <c r="U142" s="39" t="s">
        <v>831</v>
      </c>
      <c r="W142" s="39" t="s">
        <v>840</v>
      </c>
      <c r="X142" s="39" t="s">
        <v>926</v>
      </c>
      <c r="Z142" s="39" t="s">
        <v>847</v>
      </c>
      <c r="AB142" s="39">
        <v>2.0</v>
      </c>
    </row>
    <row r="143">
      <c r="A143" s="39" t="s">
        <v>912</v>
      </c>
      <c r="B143" s="39" t="s">
        <v>913</v>
      </c>
      <c r="C143" s="39">
        <v>3.76666666666666</v>
      </c>
      <c r="D143" s="41">
        <v>43893.0</v>
      </c>
      <c r="E143" s="39" t="s">
        <v>828</v>
      </c>
      <c r="F143" s="39" t="s">
        <v>829</v>
      </c>
      <c r="G143" s="39" t="s">
        <v>830</v>
      </c>
      <c r="H143" s="39">
        <v>320.0</v>
      </c>
      <c r="N143" s="39" t="s">
        <v>831</v>
      </c>
      <c r="R143" s="39" t="s">
        <v>832</v>
      </c>
      <c r="S143" s="39" t="s">
        <v>833</v>
      </c>
      <c r="T143" s="39" t="s">
        <v>834</v>
      </c>
      <c r="U143" s="39" t="s">
        <v>831</v>
      </c>
      <c r="W143" s="39" t="s">
        <v>437</v>
      </c>
      <c r="X143" s="39" t="s">
        <v>914</v>
      </c>
      <c r="Z143" s="39" t="s">
        <v>828</v>
      </c>
      <c r="AB143" s="39">
        <v>3.76666666666666</v>
      </c>
      <c r="AC143" s="39">
        <v>12.0</v>
      </c>
      <c r="AD143" s="39">
        <v>0.0</v>
      </c>
    </row>
    <row r="144">
      <c r="A144" s="39" t="s">
        <v>903</v>
      </c>
      <c r="B144" s="39" t="s">
        <v>598</v>
      </c>
      <c r="C144" s="39">
        <v>2.61666666666666</v>
      </c>
      <c r="D144" s="41">
        <v>43893.0</v>
      </c>
      <c r="E144" s="39" t="s">
        <v>828</v>
      </c>
      <c r="F144" s="39" t="s">
        <v>829</v>
      </c>
      <c r="G144" s="39" t="s">
        <v>830</v>
      </c>
      <c r="H144" s="39">
        <v>320.0</v>
      </c>
      <c r="N144" s="39" t="s">
        <v>883</v>
      </c>
      <c r="R144" s="39" t="s">
        <v>832</v>
      </c>
      <c r="S144" s="39" t="s">
        <v>833</v>
      </c>
      <c r="T144" s="39" t="s">
        <v>884</v>
      </c>
      <c r="U144" s="39" t="s">
        <v>883</v>
      </c>
      <c r="W144" s="39" t="s">
        <v>904</v>
      </c>
      <c r="X144" s="39" t="s">
        <v>905</v>
      </c>
      <c r="Z144" s="39" t="s">
        <v>900</v>
      </c>
      <c r="AB144" s="39">
        <v>2.61666666666666</v>
      </c>
      <c r="AC144" s="39">
        <v>12.0</v>
      </c>
      <c r="AD144" s="39">
        <v>0.0</v>
      </c>
    </row>
    <row r="145">
      <c r="A145" s="39" t="s">
        <v>607</v>
      </c>
      <c r="B145" s="39" t="s">
        <v>608</v>
      </c>
      <c r="C145" s="39">
        <v>1.5</v>
      </c>
      <c r="D145" s="41">
        <v>43893.0</v>
      </c>
      <c r="E145" s="39" t="s">
        <v>837</v>
      </c>
      <c r="F145" s="39" t="s">
        <v>886</v>
      </c>
      <c r="G145" s="39" t="s">
        <v>849</v>
      </c>
      <c r="H145" s="39">
        <v>320.0</v>
      </c>
      <c r="N145" s="39" t="s">
        <v>831</v>
      </c>
      <c r="R145" s="39" t="s">
        <v>832</v>
      </c>
      <c r="S145" s="39" t="s">
        <v>833</v>
      </c>
      <c r="T145" s="39" t="s">
        <v>834</v>
      </c>
      <c r="U145" s="39" t="s">
        <v>831</v>
      </c>
      <c r="W145" s="39" t="s">
        <v>302</v>
      </c>
      <c r="X145" s="39" t="s">
        <v>908</v>
      </c>
      <c r="Z145" s="39" t="s">
        <v>852</v>
      </c>
      <c r="AB145" s="39">
        <v>1.5</v>
      </c>
      <c r="AC145" s="39">
        <v>6.0</v>
      </c>
      <c r="AD145" s="39">
        <v>0.0</v>
      </c>
    </row>
    <row r="146">
      <c r="A146" s="39" t="s">
        <v>897</v>
      </c>
      <c r="B146" s="39" t="s">
        <v>898</v>
      </c>
      <c r="C146" s="39">
        <v>1.5</v>
      </c>
      <c r="D146" s="41">
        <v>43893.0</v>
      </c>
      <c r="E146" s="39" t="s">
        <v>837</v>
      </c>
      <c r="F146" s="39" t="s">
        <v>886</v>
      </c>
      <c r="G146" s="39" t="s">
        <v>849</v>
      </c>
      <c r="H146" s="39">
        <v>320.0</v>
      </c>
      <c r="N146" s="39" t="s">
        <v>831</v>
      </c>
      <c r="R146" s="39" t="s">
        <v>832</v>
      </c>
      <c r="S146" s="39" t="s">
        <v>833</v>
      </c>
      <c r="T146" s="39" t="s">
        <v>834</v>
      </c>
      <c r="U146" s="39" t="s">
        <v>831</v>
      </c>
      <c r="W146" s="39" t="s">
        <v>302</v>
      </c>
      <c r="X146" s="39" t="s">
        <v>899</v>
      </c>
      <c r="Z146" s="39" t="s">
        <v>876</v>
      </c>
      <c r="AB146" s="39">
        <v>1.5</v>
      </c>
      <c r="AC146" s="39">
        <v>40.0</v>
      </c>
      <c r="AD146" s="39">
        <v>7.78333333333333</v>
      </c>
    </row>
    <row r="147">
      <c r="A147" s="39" t="s">
        <v>909</v>
      </c>
      <c r="B147" s="39" t="s">
        <v>910</v>
      </c>
      <c r="C147" s="39">
        <v>0.75</v>
      </c>
      <c r="D147" s="41">
        <v>43893.0</v>
      </c>
      <c r="E147" s="39" t="s">
        <v>837</v>
      </c>
      <c r="F147" s="39" t="s">
        <v>886</v>
      </c>
      <c r="G147" s="39" t="s">
        <v>849</v>
      </c>
      <c r="H147" s="39">
        <v>320.0</v>
      </c>
      <c r="N147" s="39" t="s">
        <v>831</v>
      </c>
      <c r="R147" s="39" t="s">
        <v>832</v>
      </c>
      <c r="S147" s="39" t="s">
        <v>833</v>
      </c>
      <c r="T147" s="39" t="s">
        <v>834</v>
      </c>
      <c r="U147" s="39" t="s">
        <v>831</v>
      </c>
      <c r="W147" s="39" t="s">
        <v>835</v>
      </c>
      <c r="X147" s="39" t="s">
        <v>911</v>
      </c>
      <c r="Z147" s="39" t="s">
        <v>900</v>
      </c>
      <c r="AB147" s="39">
        <v>0.75</v>
      </c>
      <c r="AC147" s="39">
        <v>6.0</v>
      </c>
      <c r="AD147" s="39">
        <v>0.0</v>
      </c>
    </row>
    <row r="148">
      <c r="A148" s="39" t="s">
        <v>924</v>
      </c>
      <c r="B148" s="39" t="s">
        <v>925</v>
      </c>
      <c r="C148" s="39">
        <v>4.41666666666666</v>
      </c>
      <c r="D148" s="41">
        <v>43893.0</v>
      </c>
      <c r="E148" s="39" t="s">
        <v>847</v>
      </c>
      <c r="F148" s="39" t="s">
        <v>848</v>
      </c>
      <c r="G148" s="39" t="s">
        <v>849</v>
      </c>
      <c r="H148" s="39">
        <v>320.0</v>
      </c>
      <c r="N148" s="39" t="s">
        <v>831</v>
      </c>
      <c r="R148" s="39" t="s">
        <v>832</v>
      </c>
      <c r="S148" s="39" t="s">
        <v>889</v>
      </c>
      <c r="T148" s="39" t="s">
        <v>834</v>
      </c>
      <c r="U148" s="39" t="s">
        <v>831</v>
      </c>
      <c r="W148" s="39" t="s">
        <v>840</v>
      </c>
      <c r="X148" s="39" t="s">
        <v>926</v>
      </c>
      <c r="Z148" s="39" t="s">
        <v>847</v>
      </c>
      <c r="AB148" s="39">
        <v>4.41666666666666</v>
      </c>
    </row>
    <row r="149">
      <c r="A149" s="39" t="s">
        <v>906</v>
      </c>
      <c r="B149" s="39" t="s">
        <v>173</v>
      </c>
      <c r="C149" s="39">
        <v>0.333333333333333</v>
      </c>
      <c r="D149" s="41">
        <v>43893.0</v>
      </c>
      <c r="E149" s="39" t="s">
        <v>847</v>
      </c>
      <c r="F149" s="39" t="s">
        <v>848</v>
      </c>
      <c r="G149" s="39" t="s">
        <v>849</v>
      </c>
      <c r="H149" s="39">
        <v>320.0</v>
      </c>
      <c r="N149" s="39" t="s">
        <v>883</v>
      </c>
      <c r="R149" s="39" t="s">
        <v>832</v>
      </c>
      <c r="S149" s="39" t="s">
        <v>833</v>
      </c>
      <c r="T149" s="39" t="s">
        <v>884</v>
      </c>
      <c r="U149" s="39" t="s">
        <v>883</v>
      </c>
      <c r="W149" s="39" t="s">
        <v>904</v>
      </c>
      <c r="X149" s="39" t="s">
        <v>907</v>
      </c>
      <c r="Z149" s="39" t="s">
        <v>837</v>
      </c>
      <c r="AB149" s="39">
        <v>0.333333333333333</v>
      </c>
      <c r="AC149" s="39">
        <v>20.0</v>
      </c>
      <c r="AD149" s="39">
        <v>0.0</v>
      </c>
    </row>
    <row r="150">
      <c r="A150" s="39" t="s">
        <v>903</v>
      </c>
      <c r="B150" s="39" t="s">
        <v>598</v>
      </c>
      <c r="C150" s="39">
        <v>0.25</v>
      </c>
      <c r="D150" s="41">
        <v>43893.0</v>
      </c>
      <c r="E150" s="39" t="s">
        <v>847</v>
      </c>
      <c r="F150" s="39" t="s">
        <v>848</v>
      </c>
      <c r="G150" s="39" t="s">
        <v>849</v>
      </c>
      <c r="H150" s="39">
        <v>320.0</v>
      </c>
      <c r="N150" s="39" t="s">
        <v>883</v>
      </c>
      <c r="R150" s="39" t="s">
        <v>832</v>
      </c>
      <c r="S150" s="39" t="s">
        <v>833</v>
      </c>
      <c r="T150" s="39" t="s">
        <v>884</v>
      </c>
      <c r="U150" s="39" t="s">
        <v>883</v>
      </c>
      <c r="W150" s="39" t="s">
        <v>904</v>
      </c>
      <c r="X150" s="39" t="s">
        <v>905</v>
      </c>
      <c r="Z150" s="39" t="s">
        <v>900</v>
      </c>
      <c r="AB150" s="39">
        <v>0.25</v>
      </c>
      <c r="AC150" s="39">
        <v>12.0</v>
      </c>
      <c r="AD150" s="39">
        <v>0.0</v>
      </c>
    </row>
    <row r="151">
      <c r="A151" s="39" t="s">
        <v>909</v>
      </c>
      <c r="B151" s="39" t="s">
        <v>910</v>
      </c>
      <c r="C151" s="39">
        <v>1.36666666666666</v>
      </c>
      <c r="D151" s="41">
        <v>43894.0</v>
      </c>
      <c r="E151" s="39" t="s">
        <v>828</v>
      </c>
      <c r="F151" s="39" t="s">
        <v>829</v>
      </c>
      <c r="G151" s="39" t="s">
        <v>830</v>
      </c>
      <c r="H151" s="39">
        <v>320.0</v>
      </c>
      <c r="N151" s="39" t="s">
        <v>831</v>
      </c>
      <c r="R151" s="39" t="s">
        <v>832</v>
      </c>
      <c r="S151" s="39" t="s">
        <v>833</v>
      </c>
      <c r="T151" s="39" t="s">
        <v>834</v>
      </c>
      <c r="U151" s="39" t="s">
        <v>831</v>
      </c>
      <c r="W151" s="39" t="s">
        <v>835</v>
      </c>
      <c r="X151" s="39" t="s">
        <v>911</v>
      </c>
      <c r="Z151" s="39" t="s">
        <v>900</v>
      </c>
      <c r="AB151" s="39">
        <v>1.36666666666666</v>
      </c>
      <c r="AC151" s="39">
        <v>6.0</v>
      </c>
      <c r="AD151" s="39">
        <v>0.0</v>
      </c>
    </row>
    <row r="152">
      <c r="A152" s="39" t="s">
        <v>607</v>
      </c>
      <c r="B152" s="39" t="s">
        <v>608</v>
      </c>
      <c r="C152" s="39">
        <v>0.366666666666666</v>
      </c>
      <c r="D152" s="41">
        <v>43894.0</v>
      </c>
      <c r="E152" s="39" t="s">
        <v>828</v>
      </c>
      <c r="F152" s="39" t="s">
        <v>829</v>
      </c>
      <c r="G152" s="39" t="s">
        <v>830</v>
      </c>
      <c r="H152" s="39">
        <v>320.0</v>
      </c>
      <c r="N152" s="39" t="s">
        <v>831</v>
      </c>
      <c r="R152" s="39" t="s">
        <v>832</v>
      </c>
      <c r="S152" s="39" t="s">
        <v>833</v>
      </c>
      <c r="T152" s="39" t="s">
        <v>834</v>
      </c>
      <c r="U152" s="39" t="s">
        <v>831</v>
      </c>
      <c r="W152" s="39" t="s">
        <v>302</v>
      </c>
      <c r="X152" s="39" t="s">
        <v>908</v>
      </c>
      <c r="Z152" s="39" t="s">
        <v>852</v>
      </c>
      <c r="AB152" s="39">
        <v>0.366666666666666</v>
      </c>
      <c r="AC152" s="39">
        <v>6.0</v>
      </c>
      <c r="AD152" s="39">
        <v>0.0</v>
      </c>
    </row>
    <row r="153">
      <c r="A153" s="39" t="s">
        <v>927</v>
      </c>
      <c r="B153" s="39" t="s">
        <v>716</v>
      </c>
      <c r="C153" s="39">
        <v>0.216666666666666</v>
      </c>
      <c r="D153" s="41">
        <v>43894.0</v>
      </c>
      <c r="E153" s="39" t="s">
        <v>828</v>
      </c>
      <c r="F153" s="39" t="s">
        <v>829</v>
      </c>
      <c r="G153" s="39" t="s">
        <v>830</v>
      </c>
      <c r="H153" s="39">
        <v>320.0</v>
      </c>
      <c r="N153" s="39" t="s">
        <v>883</v>
      </c>
      <c r="R153" s="39" t="s">
        <v>832</v>
      </c>
      <c r="S153" s="39" t="s">
        <v>833</v>
      </c>
      <c r="T153" s="39" t="s">
        <v>884</v>
      </c>
      <c r="U153" s="39" t="s">
        <v>883</v>
      </c>
      <c r="W153" s="39" t="s">
        <v>928</v>
      </c>
      <c r="X153" s="39" t="s">
        <v>929</v>
      </c>
      <c r="Z153" s="39" t="s">
        <v>828</v>
      </c>
      <c r="AB153" s="39">
        <v>0.216666666666666</v>
      </c>
    </row>
    <row r="154">
      <c r="A154" s="39" t="s">
        <v>903</v>
      </c>
      <c r="B154" s="39" t="s">
        <v>598</v>
      </c>
      <c r="C154" s="39">
        <v>2.51666666666666</v>
      </c>
      <c r="D154" s="41">
        <v>43894.0</v>
      </c>
      <c r="E154" s="39" t="s">
        <v>828</v>
      </c>
      <c r="F154" s="39" t="s">
        <v>829</v>
      </c>
      <c r="G154" s="39" t="s">
        <v>830</v>
      </c>
      <c r="H154" s="39">
        <v>320.0</v>
      </c>
      <c r="N154" s="39" t="s">
        <v>883</v>
      </c>
      <c r="R154" s="39" t="s">
        <v>832</v>
      </c>
      <c r="S154" s="39" t="s">
        <v>833</v>
      </c>
      <c r="T154" s="39" t="s">
        <v>884</v>
      </c>
      <c r="U154" s="39" t="s">
        <v>883</v>
      </c>
      <c r="W154" s="39" t="s">
        <v>904</v>
      </c>
      <c r="X154" s="39" t="s">
        <v>905</v>
      </c>
      <c r="Z154" s="39" t="s">
        <v>900</v>
      </c>
      <c r="AB154" s="39">
        <v>2.51666666666666</v>
      </c>
      <c r="AC154" s="39">
        <v>12.0</v>
      </c>
      <c r="AD154" s="39">
        <v>0.0</v>
      </c>
    </row>
    <row r="155">
      <c r="A155" s="39" t="s">
        <v>909</v>
      </c>
      <c r="B155" s="39" t="s">
        <v>910</v>
      </c>
      <c r="C155" s="39">
        <v>1.0</v>
      </c>
      <c r="D155" s="41">
        <v>43894.0</v>
      </c>
      <c r="E155" s="39" t="s">
        <v>837</v>
      </c>
      <c r="F155" s="39" t="s">
        <v>886</v>
      </c>
      <c r="G155" s="39" t="s">
        <v>849</v>
      </c>
      <c r="H155" s="39">
        <v>320.0</v>
      </c>
      <c r="N155" s="39" t="s">
        <v>831</v>
      </c>
      <c r="R155" s="39" t="s">
        <v>832</v>
      </c>
      <c r="S155" s="39" t="s">
        <v>833</v>
      </c>
      <c r="T155" s="39" t="s">
        <v>834</v>
      </c>
      <c r="U155" s="39" t="s">
        <v>831</v>
      </c>
      <c r="W155" s="39" t="s">
        <v>835</v>
      </c>
      <c r="X155" s="39" t="s">
        <v>911</v>
      </c>
      <c r="Z155" s="39" t="s">
        <v>900</v>
      </c>
      <c r="AB155" s="39">
        <v>1.0</v>
      </c>
      <c r="AC155" s="39">
        <v>6.0</v>
      </c>
      <c r="AD155" s="39">
        <v>0.0</v>
      </c>
    </row>
    <row r="156">
      <c r="A156" s="39" t="s">
        <v>924</v>
      </c>
      <c r="B156" s="39" t="s">
        <v>925</v>
      </c>
      <c r="C156" s="39">
        <v>2.8</v>
      </c>
      <c r="D156" s="41">
        <v>43894.0</v>
      </c>
      <c r="E156" s="39" t="s">
        <v>847</v>
      </c>
      <c r="F156" s="39" t="s">
        <v>848</v>
      </c>
      <c r="G156" s="39" t="s">
        <v>849</v>
      </c>
      <c r="H156" s="39">
        <v>320.0</v>
      </c>
      <c r="N156" s="39" t="s">
        <v>831</v>
      </c>
      <c r="R156" s="39" t="s">
        <v>832</v>
      </c>
      <c r="S156" s="39" t="s">
        <v>889</v>
      </c>
      <c r="T156" s="39" t="s">
        <v>834</v>
      </c>
      <c r="U156" s="39" t="s">
        <v>831</v>
      </c>
      <c r="W156" s="39" t="s">
        <v>840</v>
      </c>
      <c r="X156" s="39" t="s">
        <v>926</v>
      </c>
      <c r="Z156" s="39" t="s">
        <v>847</v>
      </c>
      <c r="AB156" s="39">
        <v>2.8</v>
      </c>
    </row>
    <row r="157">
      <c r="A157" s="39" t="s">
        <v>903</v>
      </c>
      <c r="B157" s="39" t="s">
        <v>598</v>
      </c>
      <c r="C157" s="39">
        <v>2.26666666666666</v>
      </c>
      <c r="D157" s="41">
        <v>43895.0</v>
      </c>
      <c r="E157" s="39" t="s">
        <v>828</v>
      </c>
      <c r="F157" s="39" t="s">
        <v>829</v>
      </c>
      <c r="G157" s="39" t="s">
        <v>830</v>
      </c>
      <c r="H157" s="39">
        <v>320.0</v>
      </c>
      <c r="N157" s="39" t="s">
        <v>883</v>
      </c>
      <c r="R157" s="39" t="s">
        <v>832</v>
      </c>
      <c r="S157" s="39" t="s">
        <v>833</v>
      </c>
      <c r="T157" s="39" t="s">
        <v>884</v>
      </c>
      <c r="U157" s="39" t="s">
        <v>883</v>
      </c>
      <c r="W157" s="39" t="s">
        <v>904</v>
      </c>
      <c r="X157" s="39" t="s">
        <v>905</v>
      </c>
      <c r="Z157" s="39" t="s">
        <v>900</v>
      </c>
      <c r="AB157" s="39">
        <v>2.26666666666666</v>
      </c>
      <c r="AC157" s="39">
        <v>12.0</v>
      </c>
      <c r="AD157" s="39">
        <v>0.0</v>
      </c>
    </row>
    <row r="158">
      <c r="A158" s="39" t="s">
        <v>607</v>
      </c>
      <c r="B158" s="39" t="s">
        <v>608</v>
      </c>
      <c r="C158" s="39">
        <v>4.68333333333333</v>
      </c>
      <c r="D158" s="41">
        <v>43895.0</v>
      </c>
      <c r="E158" s="39" t="s">
        <v>828</v>
      </c>
      <c r="F158" s="39" t="s">
        <v>829</v>
      </c>
      <c r="G158" s="39" t="s">
        <v>830</v>
      </c>
      <c r="H158" s="39">
        <v>320.0</v>
      </c>
      <c r="N158" s="39" t="s">
        <v>831</v>
      </c>
      <c r="R158" s="39" t="s">
        <v>832</v>
      </c>
      <c r="S158" s="39" t="s">
        <v>833</v>
      </c>
      <c r="T158" s="39" t="s">
        <v>834</v>
      </c>
      <c r="U158" s="39" t="s">
        <v>831</v>
      </c>
      <c r="W158" s="39" t="s">
        <v>302</v>
      </c>
      <c r="X158" s="39" t="s">
        <v>908</v>
      </c>
      <c r="Z158" s="39" t="s">
        <v>852</v>
      </c>
      <c r="AB158" s="39">
        <v>4.68333333333333</v>
      </c>
      <c r="AC158" s="39">
        <v>6.0</v>
      </c>
      <c r="AD158" s="39">
        <v>0.0</v>
      </c>
    </row>
    <row r="159">
      <c r="A159" s="39" t="s">
        <v>897</v>
      </c>
      <c r="B159" s="39" t="s">
        <v>898</v>
      </c>
      <c r="C159" s="39">
        <v>0.466666666666666</v>
      </c>
      <c r="D159" s="41">
        <v>43895.0</v>
      </c>
      <c r="E159" s="39" t="s">
        <v>828</v>
      </c>
      <c r="F159" s="39" t="s">
        <v>829</v>
      </c>
      <c r="G159" s="39" t="s">
        <v>830</v>
      </c>
      <c r="H159" s="39">
        <v>320.0</v>
      </c>
      <c r="N159" s="39" t="s">
        <v>831</v>
      </c>
      <c r="R159" s="39" t="s">
        <v>832</v>
      </c>
      <c r="S159" s="39" t="s">
        <v>833</v>
      </c>
      <c r="T159" s="39" t="s">
        <v>834</v>
      </c>
      <c r="U159" s="39" t="s">
        <v>831</v>
      </c>
      <c r="W159" s="39" t="s">
        <v>302</v>
      </c>
      <c r="X159" s="39" t="s">
        <v>899</v>
      </c>
      <c r="Z159" s="39" t="s">
        <v>876</v>
      </c>
      <c r="AB159" s="39">
        <v>0.466666666666666</v>
      </c>
      <c r="AC159" s="39">
        <v>40.0</v>
      </c>
      <c r="AD159" s="39">
        <v>7.78333333333333</v>
      </c>
    </row>
    <row r="160">
      <c r="A160" s="39" t="s">
        <v>930</v>
      </c>
      <c r="B160" s="39" t="s">
        <v>931</v>
      </c>
      <c r="C160" s="39">
        <v>0.216666666666666</v>
      </c>
      <c r="D160" s="41">
        <v>43895.0</v>
      </c>
      <c r="E160" s="39" t="s">
        <v>828</v>
      </c>
      <c r="F160" s="39" t="s">
        <v>829</v>
      </c>
      <c r="G160" s="39" t="s">
        <v>830</v>
      </c>
      <c r="H160" s="39">
        <v>320.0</v>
      </c>
      <c r="N160" s="39" t="s">
        <v>883</v>
      </c>
      <c r="R160" s="39" t="s">
        <v>832</v>
      </c>
      <c r="S160" s="39" t="s">
        <v>833</v>
      </c>
      <c r="T160" s="39" t="s">
        <v>884</v>
      </c>
      <c r="U160" s="39" t="s">
        <v>883</v>
      </c>
      <c r="W160" s="39" t="s">
        <v>164</v>
      </c>
      <c r="X160" s="39" t="s">
        <v>932</v>
      </c>
      <c r="Z160" s="39" t="s">
        <v>847</v>
      </c>
      <c r="AB160" s="39">
        <v>0.216666666666666</v>
      </c>
      <c r="AC160" s="39">
        <v>6.0</v>
      </c>
      <c r="AD160" s="39">
        <v>0.0</v>
      </c>
    </row>
    <row r="161">
      <c r="A161" s="39" t="s">
        <v>924</v>
      </c>
      <c r="B161" s="39" t="s">
        <v>925</v>
      </c>
      <c r="C161" s="39">
        <v>5.83333333333333</v>
      </c>
      <c r="D161" s="41">
        <v>43895.0</v>
      </c>
      <c r="E161" s="39" t="s">
        <v>847</v>
      </c>
      <c r="F161" s="39" t="s">
        <v>848</v>
      </c>
      <c r="G161" s="39" t="s">
        <v>849</v>
      </c>
      <c r="H161" s="39">
        <v>320.0</v>
      </c>
      <c r="N161" s="39" t="s">
        <v>831</v>
      </c>
      <c r="R161" s="39" t="s">
        <v>832</v>
      </c>
      <c r="S161" s="39" t="s">
        <v>889</v>
      </c>
      <c r="T161" s="39" t="s">
        <v>834</v>
      </c>
      <c r="U161" s="39" t="s">
        <v>831</v>
      </c>
      <c r="W161" s="39" t="s">
        <v>840</v>
      </c>
      <c r="X161" s="39" t="s">
        <v>926</v>
      </c>
      <c r="Z161" s="39" t="s">
        <v>847</v>
      </c>
      <c r="AB161" s="39">
        <v>5.83333333333333</v>
      </c>
    </row>
    <row r="162">
      <c r="A162" s="39" t="s">
        <v>912</v>
      </c>
      <c r="B162" s="39" t="s">
        <v>913</v>
      </c>
      <c r="C162" s="39">
        <v>3.73333333333333</v>
      </c>
      <c r="D162" s="41">
        <v>43896.0</v>
      </c>
      <c r="E162" s="39" t="s">
        <v>828</v>
      </c>
      <c r="F162" s="39" t="s">
        <v>829</v>
      </c>
      <c r="G162" s="39" t="s">
        <v>830</v>
      </c>
      <c r="H162" s="39">
        <v>320.0</v>
      </c>
      <c r="N162" s="39" t="s">
        <v>831</v>
      </c>
      <c r="R162" s="39" t="s">
        <v>832</v>
      </c>
      <c r="S162" s="39" t="s">
        <v>833</v>
      </c>
      <c r="T162" s="39" t="s">
        <v>834</v>
      </c>
      <c r="U162" s="39" t="s">
        <v>831</v>
      </c>
      <c r="W162" s="39" t="s">
        <v>437</v>
      </c>
      <c r="X162" s="39" t="s">
        <v>914</v>
      </c>
      <c r="Z162" s="39" t="s">
        <v>828</v>
      </c>
      <c r="AB162" s="39">
        <v>3.73333333333333</v>
      </c>
      <c r="AC162" s="39">
        <v>12.0</v>
      </c>
      <c r="AD162" s="39">
        <v>0.0</v>
      </c>
    </row>
    <row r="163">
      <c r="A163" s="39" t="s">
        <v>906</v>
      </c>
      <c r="B163" s="39" t="s">
        <v>173</v>
      </c>
      <c r="C163" s="39">
        <v>1.43333333333333</v>
      </c>
      <c r="D163" s="41">
        <v>43896.0</v>
      </c>
      <c r="E163" s="39" t="s">
        <v>828</v>
      </c>
      <c r="F163" s="39" t="s">
        <v>829</v>
      </c>
      <c r="G163" s="39" t="s">
        <v>830</v>
      </c>
      <c r="H163" s="39">
        <v>320.0</v>
      </c>
      <c r="N163" s="39" t="s">
        <v>883</v>
      </c>
      <c r="R163" s="39" t="s">
        <v>832</v>
      </c>
      <c r="S163" s="39" t="s">
        <v>833</v>
      </c>
      <c r="T163" s="39" t="s">
        <v>884</v>
      </c>
      <c r="U163" s="39" t="s">
        <v>883</v>
      </c>
      <c r="W163" s="39" t="s">
        <v>904</v>
      </c>
      <c r="X163" s="39" t="s">
        <v>907</v>
      </c>
      <c r="Z163" s="39" t="s">
        <v>837</v>
      </c>
      <c r="AB163" s="39">
        <v>1.43333333333333</v>
      </c>
      <c r="AC163" s="39">
        <v>20.0</v>
      </c>
      <c r="AD163" s="39">
        <v>0.0</v>
      </c>
    </row>
    <row r="164">
      <c r="A164" s="39" t="s">
        <v>607</v>
      </c>
      <c r="B164" s="39" t="s">
        <v>608</v>
      </c>
      <c r="C164" s="39">
        <v>1.06666666666666</v>
      </c>
      <c r="D164" s="41">
        <v>43896.0</v>
      </c>
      <c r="E164" s="39" t="s">
        <v>828</v>
      </c>
      <c r="F164" s="39" t="s">
        <v>829</v>
      </c>
      <c r="G164" s="39" t="s">
        <v>830</v>
      </c>
      <c r="H164" s="39">
        <v>320.0</v>
      </c>
      <c r="N164" s="39" t="s">
        <v>831</v>
      </c>
      <c r="R164" s="39" t="s">
        <v>832</v>
      </c>
      <c r="S164" s="39" t="s">
        <v>833</v>
      </c>
      <c r="T164" s="39" t="s">
        <v>834</v>
      </c>
      <c r="U164" s="39" t="s">
        <v>831</v>
      </c>
      <c r="W164" s="39" t="s">
        <v>302</v>
      </c>
      <c r="X164" s="39" t="s">
        <v>908</v>
      </c>
      <c r="Z164" s="39" t="s">
        <v>852</v>
      </c>
      <c r="AB164" s="39">
        <v>1.06666666666666</v>
      </c>
      <c r="AC164" s="39">
        <v>6.0</v>
      </c>
      <c r="AD164" s="39">
        <v>0.0</v>
      </c>
    </row>
    <row r="165">
      <c r="A165" s="39" t="s">
        <v>909</v>
      </c>
      <c r="B165" s="39" t="s">
        <v>910</v>
      </c>
      <c r="C165" s="39">
        <v>0.666666666666666</v>
      </c>
      <c r="D165" s="41">
        <v>43896.0</v>
      </c>
      <c r="E165" s="39" t="s">
        <v>828</v>
      </c>
      <c r="F165" s="39" t="s">
        <v>829</v>
      </c>
      <c r="G165" s="39" t="s">
        <v>830</v>
      </c>
      <c r="H165" s="39">
        <v>320.0</v>
      </c>
      <c r="N165" s="39" t="s">
        <v>831</v>
      </c>
      <c r="R165" s="39" t="s">
        <v>832</v>
      </c>
      <c r="S165" s="39" t="s">
        <v>833</v>
      </c>
      <c r="T165" s="39" t="s">
        <v>834</v>
      </c>
      <c r="U165" s="39" t="s">
        <v>831</v>
      </c>
      <c r="W165" s="39" t="s">
        <v>835</v>
      </c>
      <c r="X165" s="39" t="s">
        <v>911</v>
      </c>
      <c r="Z165" s="39" t="s">
        <v>900</v>
      </c>
      <c r="AB165" s="39">
        <v>0.666666666666666</v>
      </c>
      <c r="AC165" s="39">
        <v>6.0</v>
      </c>
      <c r="AD165" s="39">
        <v>0.0</v>
      </c>
    </row>
    <row r="166">
      <c r="A166" s="39" t="s">
        <v>897</v>
      </c>
      <c r="B166" s="39" t="s">
        <v>898</v>
      </c>
      <c r="C166" s="39">
        <v>1.01666666666666</v>
      </c>
      <c r="D166" s="41">
        <v>43896.0</v>
      </c>
      <c r="E166" s="39" t="s">
        <v>828</v>
      </c>
      <c r="F166" s="39" t="s">
        <v>829</v>
      </c>
      <c r="G166" s="39" t="s">
        <v>830</v>
      </c>
      <c r="H166" s="39">
        <v>320.0</v>
      </c>
      <c r="N166" s="39" t="s">
        <v>831</v>
      </c>
      <c r="R166" s="39" t="s">
        <v>832</v>
      </c>
      <c r="S166" s="39" t="s">
        <v>833</v>
      </c>
      <c r="T166" s="39" t="s">
        <v>834</v>
      </c>
      <c r="U166" s="39" t="s">
        <v>831</v>
      </c>
      <c r="W166" s="39" t="s">
        <v>302</v>
      </c>
      <c r="X166" s="39" t="s">
        <v>899</v>
      </c>
      <c r="Z166" s="39" t="s">
        <v>876</v>
      </c>
      <c r="AB166" s="39">
        <v>1.01666666666666</v>
      </c>
      <c r="AC166" s="39">
        <v>40.0</v>
      </c>
      <c r="AD166" s="39">
        <v>7.78333333333333</v>
      </c>
    </row>
    <row r="167">
      <c r="A167" s="39" t="s">
        <v>924</v>
      </c>
      <c r="B167" s="39" t="s">
        <v>925</v>
      </c>
      <c r="C167" s="39">
        <v>0.783333333333333</v>
      </c>
      <c r="D167" s="41">
        <v>43896.0</v>
      </c>
      <c r="E167" s="39" t="s">
        <v>847</v>
      </c>
      <c r="F167" s="39" t="s">
        <v>848</v>
      </c>
      <c r="G167" s="39" t="s">
        <v>849</v>
      </c>
      <c r="H167" s="39">
        <v>320.0</v>
      </c>
      <c r="N167" s="39" t="s">
        <v>831</v>
      </c>
      <c r="R167" s="39" t="s">
        <v>832</v>
      </c>
      <c r="S167" s="39" t="s">
        <v>889</v>
      </c>
      <c r="T167" s="39" t="s">
        <v>834</v>
      </c>
      <c r="U167" s="39" t="s">
        <v>831</v>
      </c>
      <c r="W167" s="39" t="s">
        <v>840</v>
      </c>
      <c r="X167" s="39" t="s">
        <v>926</v>
      </c>
      <c r="Z167" s="39" t="s">
        <v>847</v>
      </c>
      <c r="AB167" s="39">
        <v>0.783333333333333</v>
      </c>
    </row>
    <row r="168">
      <c r="A168" s="39" t="s">
        <v>924</v>
      </c>
      <c r="B168" s="39" t="s">
        <v>925</v>
      </c>
      <c r="C168" s="39">
        <v>2.5</v>
      </c>
      <c r="D168" s="41">
        <v>43896.0</v>
      </c>
      <c r="E168" s="39" t="s">
        <v>847</v>
      </c>
      <c r="F168" s="39" t="s">
        <v>848</v>
      </c>
      <c r="G168" s="39" t="s">
        <v>849</v>
      </c>
      <c r="H168" s="39">
        <v>320.0</v>
      </c>
      <c r="N168" s="39" t="s">
        <v>831</v>
      </c>
      <c r="R168" s="39" t="s">
        <v>832</v>
      </c>
      <c r="S168" s="39" t="s">
        <v>889</v>
      </c>
      <c r="T168" s="39" t="s">
        <v>834</v>
      </c>
      <c r="U168" s="39" t="s">
        <v>831</v>
      </c>
      <c r="W168" s="39" t="s">
        <v>840</v>
      </c>
      <c r="X168" s="39" t="s">
        <v>926</v>
      </c>
      <c r="Z168" s="39" t="s">
        <v>847</v>
      </c>
      <c r="AB168" s="39">
        <v>2.5</v>
      </c>
    </row>
    <row r="169">
      <c r="A169" s="39" t="s">
        <v>906</v>
      </c>
      <c r="B169" s="39" t="s">
        <v>173</v>
      </c>
      <c r="C169" s="39">
        <v>0.316666666666666</v>
      </c>
      <c r="D169" s="41">
        <v>43896.0</v>
      </c>
      <c r="E169" s="39" t="s">
        <v>847</v>
      </c>
      <c r="F169" s="39" t="s">
        <v>848</v>
      </c>
      <c r="G169" s="39" t="s">
        <v>849</v>
      </c>
      <c r="H169" s="39">
        <v>320.0</v>
      </c>
      <c r="N169" s="39" t="s">
        <v>883</v>
      </c>
      <c r="R169" s="39" t="s">
        <v>832</v>
      </c>
      <c r="S169" s="39" t="s">
        <v>833</v>
      </c>
      <c r="T169" s="39" t="s">
        <v>884</v>
      </c>
      <c r="U169" s="39" t="s">
        <v>883</v>
      </c>
      <c r="W169" s="39" t="s">
        <v>904</v>
      </c>
      <c r="X169" s="39" t="s">
        <v>907</v>
      </c>
      <c r="Z169" s="39" t="s">
        <v>837</v>
      </c>
      <c r="AB169" s="39">
        <v>0.316666666666666</v>
      </c>
      <c r="AC169" s="39">
        <v>20.0</v>
      </c>
      <c r="AD169" s="39">
        <v>0.0</v>
      </c>
    </row>
    <row r="170">
      <c r="A170" s="39" t="s">
        <v>571</v>
      </c>
      <c r="B170" s="39" t="s">
        <v>572</v>
      </c>
      <c r="C170" s="39">
        <v>0.25</v>
      </c>
      <c r="D170" s="41">
        <v>43899.0</v>
      </c>
      <c r="E170" s="39" t="s">
        <v>828</v>
      </c>
      <c r="F170" s="39" t="s">
        <v>829</v>
      </c>
      <c r="G170" s="39" t="s">
        <v>830</v>
      </c>
      <c r="H170" s="39">
        <v>320.0</v>
      </c>
      <c r="N170" s="39" t="s">
        <v>831</v>
      </c>
      <c r="R170" s="39" t="s">
        <v>832</v>
      </c>
      <c r="S170" s="39" t="s">
        <v>842</v>
      </c>
      <c r="T170" s="39" t="s">
        <v>834</v>
      </c>
      <c r="U170" s="39" t="s">
        <v>831</v>
      </c>
      <c r="W170" s="39" t="s">
        <v>302</v>
      </c>
      <c r="X170" s="39" t="s">
        <v>843</v>
      </c>
      <c r="Z170" s="39" t="s">
        <v>828</v>
      </c>
      <c r="AB170" s="39">
        <v>0.25</v>
      </c>
    </row>
    <row r="171">
      <c r="A171" s="39" t="s">
        <v>607</v>
      </c>
      <c r="B171" s="39" t="s">
        <v>608</v>
      </c>
      <c r="C171" s="39">
        <v>2.15</v>
      </c>
      <c r="D171" s="41">
        <v>43900.0</v>
      </c>
      <c r="E171" s="39" t="s">
        <v>828</v>
      </c>
      <c r="F171" s="39" t="s">
        <v>829</v>
      </c>
      <c r="G171" s="39" t="s">
        <v>830</v>
      </c>
      <c r="H171" s="39">
        <v>320.0</v>
      </c>
      <c r="N171" s="39" t="s">
        <v>831</v>
      </c>
      <c r="R171" s="39" t="s">
        <v>832</v>
      </c>
      <c r="S171" s="39" t="s">
        <v>833</v>
      </c>
      <c r="T171" s="39" t="s">
        <v>834</v>
      </c>
      <c r="U171" s="39" t="s">
        <v>831</v>
      </c>
      <c r="W171" s="39" t="s">
        <v>302</v>
      </c>
      <c r="X171" s="39" t="s">
        <v>908</v>
      </c>
      <c r="Z171" s="39" t="s">
        <v>852</v>
      </c>
      <c r="AB171" s="39">
        <v>2.15</v>
      </c>
      <c r="AC171" s="39">
        <v>6.0</v>
      </c>
      <c r="AD171" s="39">
        <v>0.0</v>
      </c>
    </row>
    <row r="172">
      <c r="A172" s="39" t="s">
        <v>607</v>
      </c>
      <c r="B172" s="39" t="s">
        <v>608</v>
      </c>
      <c r="C172" s="39">
        <v>1.88333333333333</v>
      </c>
      <c r="D172" s="41">
        <v>43901.0</v>
      </c>
      <c r="E172" s="39" t="s">
        <v>828</v>
      </c>
      <c r="F172" s="39" t="s">
        <v>829</v>
      </c>
      <c r="G172" s="39" t="s">
        <v>830</v>
      </c>
      <c r="H172" s="39">
        <v>320.0</v>
      </c>
      <c r="N172" s="39" t="s">
        <v>831</v>
      </c>
      <c r="R172" s="39" t="s">
        <v>832</v>
      </c>
      <c r="S172" s="39" t="s">
        <v>833</v>
      </c>
      <c r="T172" s="39" t="s">
        <v>834</v>
      </c>
      <c r="U172" s="39" t="s">
        <v>831</v>
      </c>
      <c r="W172" s="39" t="s">
        <v>302</v>
      </c>
      <c r="X172" s="39" t="s">
        <v>908</v>
      </c>
      <c r="Z172" s="39" t="s">
        <v>852</v>
      </c>
      <c r="AB172" s="39">
        <v>1.88333333333333</v>
      </c>
      <c r="AC172" s="39">
        <v>6.0</v>
      </c>
      <c r="AD172" s="39">
        <v>0.0</v>
      </c>
    </row>
    <row r="173">
      <c r="A173" s="39" t="s">
        <v>906</v>
      </c>
      <c r="B173" s="39" t="s">
        <v>173</v>
      </c>
      <c r="C173" s="39">
        <v>0.05</v>
      </c>
      <c r="D173" s="41">
        <v>43901.0</v>
      </c>
      <c r="E173" s="39" t="s">
        <v>828</v>
      </c>
      <c r="F173" s="39" t="s">
        <v>829</v>
      </c>
      <c r="G173" s="39" t="s">
        <v>830</v>
      </c>
      <c r="H173" s="39">
        <v>320.0</v>
      </c>
      <c r="N173" s="39" t="s">
        <v>883</v>
      </c>
      <c r="R173" s="39" t="s">
        <v>832</v>
      </c>
      <c r="S173" s="39" t="s">
        <v>833</v>
      </c>
      <c r="T173" s="39" t="s">
        <v>884</v>
      </c>
      <c r="U173" s="39" t="s">
        <v>883</v>
      </c>
      <c r="W173" s="39" t="s">
        <v>904</v>
      </c>
      <c r="X173" s="39" t="s">
        <v>907</v>
      </c>
      <c r="Z173" s="39" t="s">
        <v>837</v>
      </c>
      <c r="AB173" s="39">
        <v>0.05</v>
      </c>
      <c r="AC173" s="39">
        <v>20.0</v>
      </c>
      <c r="AD173" s="39">
        <v>0.0</v>
      </c>
    </row>
    <row r="174">
      <c r="A174" s="39" t="s">
        <v>912</v>
      </c>
      <c r="B174" s="39" t="s">
        <v>913</v>
      </c>
      <c r="C174" s="39">
        <v>4.8</v>
      </c>
      <c r="D174" s="41">
        <v>43901.0</v>
      </c>
      <c r="E174" s="39" t="s">
        <v>828</v>
      </c>
      <c r="F174" s="39" t="s">
        <v>829</v>
      </c>
      <c r="G174" s="39" t="s">
        <v>830</v>
      </c>
      <c r="H174" s="39">
        <v>320.0</v>
      </c>
      <c r="N174" s="39" t="s">
        <v>831</v>
      </c>
      <c r="R174" s="39" t="s">
        <v>832</v>
      </c>
      <c r="S174" s="39" t="s">
        <v>833</v>
      </c>
      <c r="T174" s="39" t="s">
        <v>834</v>
      </c>
      <c r="U174" s="39" t="s">
        <v>831</v>
      </c>
      <c r="W174" s="39" t="s">
        <v>437</v>
      </c>
      <c r="X174" s="39" t="s">
        <v>914</v>
      </c>
      <c r="Z174" s="39" t="s">
        <v>828</v>
      </c>
      <c r="AB174" s="39">
        <v>4.8</v>
      </c>
      <c r="AC174" s="39">
        <v>12.0</v>
      </c>
      <c r="AD174" s="39">
        <v>0.0</v>
      </c>
    </row>
    <row r="175">
      <c r="A175" s="39" t="s">
        <v>924</v>
      </c>
      <c r="B175" s="39" t="s">
        <v>925</v>
      </c>
      <c r="C175" s="39">
        <v>5.33333333333333</v>
      </c>
      <c r="D175" s="41">
        <v>43901.0</v>
      </c>
      <c r="E175" s="39" t="s">
        <v>847</v>
      </c>
      <c r="F175" s="39" t="s">
        <v>848</v>
      </c>
      <c r="G175" s="39" t="s">
        <v>849</v>
      </c>
      <c r="H175" s="39">
        <v>320.0</v>
      </c>
      <c r="N175" s="39" t="s">
        <v>831</v>
      </c>
      <c r="R175" s="39" t="s">
        <v>832</v>
      </c>
      <c r="S175" s="39" t="s">
        <v>889</v>
      </c>
      <c r="T175" s="39" t="s">
        <v>834</v>
      </c>
      <c r="U175" s="39" t="s">
        <v>831</v>
      </c>
      <c r="W175" s="39" t="s">
        <v>840</v>
      </c>
      <c r="X175" s="39" t="s">
        <v>926</v>
      </c>
      <c r="Z175" s="39" t="s">
        <v>847</v>
      </c>
      <c r="AB175" s="39">
        <v>5.33333333333333</v>
      </c>
    </row>
    <row r="176">
      <c r="A176" s="39" t="s">
        <v>906</v>
      </c>
      <c r="B176" s="39" t="s">
        <v>173</v>
      </c>
      <c r="C176" s="39">
        <v>0.0333333333333333</v>
      </c>
      <c r="D176" s="41">
        <v>43901.0</v>
      </c>
      <c r="E176" s="39" t="s">
        <v>847</v>
      </c>
      <c r="F176" s="39" t="s">
        <v>848</v>
      </c>
      <c r="G176" s="39" t="s">
        <v>849</v>
      </c>
      <c r="H176" s="39">
        <v>320.0</v>
      </c>
      <c r="N176" s="39" t="s">
        <v>883</v>
      </c>
      <c r="R176" s="39" t="s">
        <v>832</v>
      </c>
      <c r="S176" s="39" t="s">
        <v>833</v>
      </c>
      <c r="T176" s="39" t="s">
        <v>884</v>
      </c>
      <c r="U176" s="39" t="s">
        <v>883</v>
      </c>
      <c r="W176" s="39" t="s">
        <v>904</v>
      </c>
      <c r="X176" s="39" t="s">
        <v>907</v>
      </c>
      <c r="Z176" s="39" t="s">
        <v>837</v>
      </c>
      <c r="AB176" s="39">
        <v>0.0333333333333333</v>
      </c>
      <c r="AC176" s="39">
        <v>20.0</v>
      </c>
      <c r="AD176" s="39">
        <v>0.0</v>
      </c>
    </row>
    <row r="177">
      <c r="A177" s="39" t="s">
        <v>912</v>
      </c>
      <c r="B177" s="39" t="s">
        <v>913</v>
      </c>
      <c r="C177" s="39">
        <v>0.133333333333333</v>
      </c>
      <c r="D177" s="41">
        <v>43902.0</v>
      </c>
      <c r="E177" s="39" t="s">
        <v>828</v>
      </c>
      <c r="F177" s="39" t="s">
        <v>829</v>
      </c>
      <c r="G177" s="39" t="s">
        <v>830</v>
      </c>
      <c r="H177" s="39">
        <v>320.0</v>
      </c>
      <c r="N177" s="39" t="s">
        <v>831</v>
      </c>
      <c r="R177" s="39" t="s">
        <v>832</v>
      </c>
      <c r="S177" s="39" t="s">
        <v>833</v>
      </c>
      <c r="T177" s="39" t="s">
        <v>834</v>
      </c>
      <c r="U177" s="39" t="s">
        <v>831</v>
      </c>
      <c r="W177" s="39" t="s">
        <v>437</v>
      </c>
      <c r="X177" s="39" t="s">
        <v>914</v>
      </c>
      <c r="Z177" s="39" t="s">
        <v>828</v>
      </c>
      <c r="AB177" s="39">
        <v>0.133333333333333</v>
      </c>
      <c r="AC177" s="39">
        <v>12.0</v>
      </c>
      <c r="AD177" s="39">
        <v>0.0</v>
      </c>
    </row>
    <row r="178">
      <c r="A178" s="39" t="s">
        <v>607</v>
      </c>
      <c r="B178" s="39" t="s">
        <v>608</v>
      </c>
      <c r="C178" s="39">
        <v>0.116666666666666</v>
      </c>
      <c r="D178" s="41">
        <v>43902.0</v>
      </c>
      <c r="E178" s="39" t="s">
        <v>828</v>
      </c>
      <c r="F178" s="39" t="s">
        <v>829</v>
      </c>
      <c r="G178" s="39" t="s">
        <v>830</v>
      </c>
      <c r="H178" s="39">
        <v>320.0</v>
      </c>
      <c r="N178" s="39" t="s">
        <v>831</v>
      </c>
      <c r="R178" s="39" t="s">
        <v>832</v>
      </c>
      <c r="S178" s="39" t="s">
        <v>833</v>
      </c>
      <c r="T178" s="39" t="s">
        <v>834</v>
      </c>
      <c r="U178" s="39" t="s">
        <v>831</v>
      </c>
      <c r="W178" s="39" t="s">
        <v>302</v>
      </c>
      <c r="X178" s="39" t="s">
        <v>908</v>
      </c>
      <c r="Z178" s="39" t="s">
        <v>852</v>
      </c>
      <c r="AB178" s="39">
        <v>0.116666666666666</v>
      </c>
      <c r="AC178" s="39">
        <v>6.0</v>
      </c>
      <c r="AD178" s="39">
        <v>0.0</v>
      </c>
    </row>
    <row r="179">
      <c r="A179" s="39" t="s">
        <v>912</v>
      </c>
      <c r="B179" s="39" t="s">
        <v>913</v>
      </c>
      <c r="C179" s="39">
        <v>3.76666666666666</v>
      </c>
      <c r="D179" s="41">
        <v>43903.0</v>
      </c>
      <c r="E179" s="39" t="s">
        <v>828</v>
      </c>
      <c r="F179" s="39" t="s">
        <v>829</v>
      </c>
      <c r="G179" s="39" t="s">
        <v>830</v>
      </c>
      <c r="H179" s="39">
        <v>320.0</v>
      </c>
      <c r="N179" s="39" t="s">
        <v>831</v>
      </c>
      <c r="R179" s="39" t="s">
        <v>832</v>
      </c>
      <c r="S179" s="39" t="s">
        <v>833</v>
      </c>
      <c r="T179" s="39" t="s">
        <v>834</v>
      </c>
      <c r="U179" s="39" t="s">
        <v>831</v>
      </c>
      <c r="W179" s="39" t="s">
        <v>437</v>
      </c>
      <c r="X179" s="39" t="s">
        <v>914</v>
      </c>
      <c r="Z179" s="39" t="s">
        <v>828</v>
      </c>
      <c r="AB179" s="39">
        <v>3.76666666666666</v>
      </c>
      <c r="AC179" s="39">
        <v>12.0</v>
      </c>
      <c r="AD179" s="39">
        <v>0.0</v>
      </c>
    </row>
    <row r="180">
      <c r="A180" s="39" t="s">
        <v>607</v>
      </c>
      <c r="B180" s="39" t="s">
        <v>608</v>
      </c>
      <c r="C180" s="39">
        <v>2.53333333333333</v>
      </c>
      <c r="D180" s="41">
        <v>43903.0</v>
      </c>
      <c r="E180" s="39" t="s">
        <v>828</v>
      </c>
      <c r="F180" s="39" t="s">
        <v>829</v>
      </c>
      <c r="G180" s="39" t="s">
        <v>830</v>
      </c>
      <c r="H180" s="39">
        <v>320.0</v>
      </c>
      <c r="N180" s="39" t="s">
        <v>831</v>
      </c>
      <c r="R180" s="39" t="s">
        <v>832</v>
      </c>
      <c r="S180" s="39" t="s">
        <v>833</v>
      </c>
      <c r="T180" s="39" t="s">
        <v>834</v>
      </c>
      <c r="U180" s="39" t="s">
        <v>831</v>
      </c>
      <c r="W180" s="39" t="s">
        <v>302</v>
      </c>
      <c r="X180" s="39" t="s">
        <v>908</v>
      </c>
      <c r="Z180" s="39" t="s">
        <v>852</v>
      </c>
      <c r="AB180" s="39">
        <v>2.53333333333333</v>
      </c>
      <c r="AC180" s="39">
        <v>6.0</v>
      </c>
      <c r="AD180" s="39">
        <v>0.0</v>
      </c>
    </row>
    <row r="181">
      <c r="A181" s="39" t="s">
        <v>607</v>
      </c>
      <c r="B181" s="39" t="s">
        <v>608</v>
      </c>
      <c r="C181" s="39">
        <v>3.81666666666666</v>
      </c>
      <c r="D181" s="41">
        <v>43906.0</v>
      </c>
      <c r="E181" s="39" t="s">
        <v>828</v>
      </c>
      <c r="F181" s="39" t="s">
        <v>829</v>
      </c>
      <c r="G181" s="39" t="s">
        <v>830</v>
      </c>
      <c r="H181" s="39">
        <v>320.0</v>
      </c>
      <c r="N181" s="39" t="s">
        <v>831</v>
      </c>
      <c r="R181" s="39" t="s">
        <v>832</v>
      </c>
      <c r="S181" s="39" t="s">
        <v>833</v>
      </c>
      <c r="T181" s="39" t="s">
        <v>834</v>
      </c>
      <c r="U181" s="39" t="s">
        <v>831</v>
      </c>
      <c r="W181" s="39" t="s">
        <v>302</v>
      </c>
      <c r="X181" s="39" t="s">
        <v>908</v>
      </c>
      <c r="Z181" s="39" t="s">
        <v>852</v>
      </c>
      <c r="AB181" s="39">
        <v>3.81666666666666</v>
      </c>
      <c r="AC181" s="39">
        <v>6.0</v>
      </c>
      <c r="AD181" s="39">
        <v>0.0</v>
      </c>
    </row>
    <row r="182">
      <c r="A182" s="39" t="s">
        <v>897</v>
      </c>
      <c r="B182" s="39" t="s">
        <v>898</v>
      </c>
      <c r="C182" s="39">
        <v>0.05</v>
      </c>
      <c r="D182" s="41">
        <v>43907.0</v>
      </c>
      <c r="E182" s="39" t="s">
        <v>828</v>
      </c>
      <c r="F182" s="39" t="s">
        <v>829</v>
      </c>
      <c r="G182" s="39" t="s">
        <v>830</v>
      </c>
      <c r="H182" s="39">
        <v>320.0</v>
      </c>
      <c r="N182" s="39" t="s">
        <v>831</v>
      </c>
      <c r="R182" s="39" t="s">
        <v>832</v>
      </c>
      <c r="S182" s="39" t="s">
        <v>833</v>
      </c>
      <c r="T182" s="39" t="s">
        <v>834</v>
      </c>
      <c r="U182" s="39" t="s">
        <v>831</v>
      </c>
      <c r="W182" s="39" t="s">
        <v>302</v>
      </c>
      <c r="X182" s="39" t="s">
        <v>899</v>
      </c>
      <c r="Z182" s="39" t="s">
        <v>876</v>
      </c>
      <c r="AB182" s="39">
        <v>0.05</v>
      </c>
      <c r="AC182" s="39">
        <v>40.0</v>
      </c>
      <c r="AD182" s="39">
        <v>7.78333333333333</v>
      </c>
    </row>
    <row r="183">
      <c r="A183" s="39" t="s">
        <v>909</v>
      </c>
      <c r="B183" s="39" t="s">
        <v>910</v>
      </c>
      <c r="C183" s="39">
        <v>0.05</v>
      </c>
      <c r="D183" s="41">
        <v>43907.0</v>
      </c>
      <c r="E183" s="39" t="s">
        <v>828</v>
      </c>
      <c r="F183" s="39" t="s">
        <v>829</v>
      </c>
      <c r="G183" s="39" t="s">
        <v>830</v>
      </c>
      <c r="H183" s="39">
        <v>320.0</v>
      </c>
      <c r="N183" s="39" t="s">
        <v>831</v>
      </c>
      <c r="R183" s="39" t="s">
        <v>832</v>
      </c>
      <c r="S183" s="39" t="s">
        <v>833</v>
      </c>
      <c r="T183" s="39" t="s">
        <v>834</v>
      </c>
      <c r="U183" s="39" t="s">
        <v>831</v>
      </c>
      <c r="W183" s="39" t="s">
        <v>835</v>
      </c>
      <c r="X183" s="39" t="s">
        <v>911</v>
      </c>
      <c r="Z183" s="39" t="s">
        <v>900</v>
      </c>
      <c r="AB183" s="39">
        <v>0.05</v>
      </c>
      <c r="AC183" s="39">
        <v>6.0</v>
      </c>
      <c r="AD183" s="39">
        <v>0.0</v>
      </c>
    </row>
    <row r="184">
      <c r="A184" s="39" t="s">
        <v>906</v>
      </c>
      <c r="B184" s="39" t="s">
        <v>173</v>
      </c>
      <c r="C184" s="39">
        <v>1.18333333333333</v>
      </c>
      <c r="D184" s="41">
        <v>43907.0</v>
      </c>
      <c r="E184" s="39" t="s">
        <v>828</v>
      </c>
      <c r="F184" s="39" t="s">
        <v>829</v>
      </c>
      <c r="G184" s="39" t="s">
        <v>830</v>
      </c>
      <c r="H184" s="39">
        <v>320.0</v>
      </c>
      <c r="N184" s="39" t="s">
        <v>883</v>
      </c>
      <c r="R184" s="39" t="s">
        <v>832</v>
      </c>
      <c r="S184" s="39" t="s">
        <v>833</v>
      </c>
      <c r="T184" s="39" t="s">
        <v>884</v>
      </c>
      <c r="U184" s="39" t="s">
        <v>883</v>
      </c>
      <c r="W184" s="39" t="s">
        <v>904</v>
      </c>
      <c r="X184" s="39" t="s">
        <v>907</v>
      </c>
      <c r="Z184" s="39" t="s">
        <v>837</v>
      </c>
      <c r="AB184" s="39">
        <v>1.18333333333333</v>
      </c>
      <c r="AC184" s="39">
        <v>20.0</v>
      </c>
      <c r="AD184" s="39">
        <v>0.0</v>
      </c>
    </row>
    <row r="185">
      <c r="A185" s="39" t="s">
        <v>607</v>
      </c>
      <c r="B185" s="39" t="s">
        <v>608</v>
      </c>
      <c r="C185" s="39">
        <v>1.21666666666666</v>
      </c>
      <c r="D185" s="41">
        <v>43907.0</v>
      </c>
      <c r="E185" s="39" t="s">
        <v>828</v>
      </c>
      <c r="F185" s="39" t="s">
        <v>829</v>
      </c>
      <c r="G185" s="39" t="s">
        <v>830</v>
      </c>
      <c r="H185" s="39">
        <v>320.0</v>
      </c>
      <c r="N185" s="39" t="s">
        <v>831</v>
      </c>
      <c r="R185" s="39" t="s">
        <v>832</v>
      </c>
      <c r="S185" s="39" t="s">
        <v>833</v>
      </c>
      <c r="T185" s="39" t="s">
        <v>834</v>
      </c>
      <c r="U185" s="39" t="s">
        <v>831</v>
      </c>
      <c r="W185" s="39" t="s">
        <v>302</v>
      </c>
      <c r="X185" s="39" t="s">
        <v>908</v>
      </c>
      <c r="Z185" s="39" t="s">
        <v>852</v>
      </c>
      <c r="AB185" s="39">
        <v>1.21666666666666</v>
      </c>
      <c r="AC185" s="39">
        <v>6.0</v>
      </c>
      <c r="AD185" s="39">
        <v>0.0</v>
      </c>
    </row>
    <row r="186">
      <c r="A186" s="39" t="s">
        <v>927</v>
      </c>
      <c r="B186" s="39" t="s">
        <v>716</v>
      </c>
      <c r="C186" s="39">
        <v>1.8</v>
      </c>
      <c r="D186" s="41">
        <v>43908.0</v>
      </c>
      <c r="E186" s="39" t="s">
        <v>828</v>
      </c>
      <c r="F186" s="39" t="s">
        <v>829</v>
      </c>
      <c r="G186" s="39" t="s">
        <v>830</v>
      </c>
      <c r="H186" s="39">
        <v>320.0</v>
      </c>
      <c r="N186" s="39" t="s">
        <v>883</v>
      </c>
      <c r="R186" s="39" t="s">
        <v>832</v>
      </c>
      <c r="S186" s="39" t="s">
        <v>833</v>
      </c>
      <c r="T186" s="39" t="s">
        <v>884</v>
      </c>
      <c r="U186" s="39" t="s">
        <v>883</v>
      </c>
      <c r="W186" s="39" t="s">
        <v>928</v>
      </c>
      <c r="X186" s="39" t="s">
        <v>929</v>
      </c>
      <c r="Z186" s="39" t="s">
        <v>828</v>
      </c>
      <c r="AB186" s="39">
        <v>1.8</v>
      </c>
    </row>
    <row r="187">
      <c r="A187" s="39" t="s">
        <v>903</v>
      </c>
      <c r="B187" s="39" t="s">
        <v>598</v>
      </c>
      <c r="C187" s="39">
        <v>3.26666666666666</v>
      </c>
      <c r="D187" s="41">
        <v>43908.0</v>
      </c>
      <c r="E187" s="39" t="s">
        <v>828</v>
      </c>
      <c r="F187" s="39" t="s">
        <v>829</v>
      </c>
      <c r="G187" s="39" t="s">
        <v>830</v>
      </c>
      <c r="H187" s="39">
        <v>320.0</v>
      </c>
      <c r="N187" s="39" t="s">
        <v>883</v>
      </c>
      <c r="R187" s="39" t="s">
        <v>832</v>
      </c>
      <c r="S187" s="39" t="s">
        <v>833</v>
      </c>
      <c r="T187" s="39" t="s">
        <v>884</v>
      </c>
      <c r="U187" s="39" t="s">
        <v>883</v>
      </c>
      <c r="W187" s="39" t="s">
        <v>904</v>
      </c>
      <c r="X187" s="39" t="s">
        <v>905</v>
      </c>
      <c r="Z187" s="39" t="s">
        <v>900</v>
      </c>
      <c r="AB187" s="39">
        <v>3.26666666666666</v>
      </c>
      <c r="AC187" s="39">
        <v>12.0</v>
      </c>
      <c r="AD187" s="39">
        <v>0.0</v>
      </c>
    </row>
    <row r="188">
      <c r="A188" s="39" t="s">
        <v>927</v>
      </c>
      <c r="B188" s="39" t="s">
        <v>716</v>
      </c>
      <c r="C188" s="39">
        <v>5.25</v>
      </c>
      <c r="D188" s="41">
        <v>43909.0</v>
      </c>
      <c r="E188" s="39" t="s">
        <v>828</v>
      </c>
      <c r="F188" s="39" t="s">
        <v>829</v>
      </c>
      <c r="G188" s="39" t="s">
        <v>830</v>
      </c>
      <c r="H188" s="39">
        <v>320.0</v>
      </c>
      <c r="N188" s="39" t="s">
        <v>883</v>
      </c>
      <c r="R188" s="39" t="s">
        <v>832</v>
      </c>
      <c r="S188" s="39" t="s">
        <v>833</v>
      </c>
      <c r="T188" s="39" t="s">
        <v>884</v>
      </c>
      <c r="U188" s="39" t="s">
        <v>883</v>
      </c>
      <c r="W188" s="39" t="s">
        <v>928</v>
      </c>
      <c r="X188" s="39" t="s">
        <v>929</v>
      </c>
      <c r="Z188" s="39" t="s">
        <v>828</v>
      </c>
      <c r="AB188" s="39">
        <v>5.25</v>
      </c>
    </row>
    <row r="189">
      <c r="A189" s="39" t="s">
        <v>906</v>
      </c>
      <c r="B189" s="39" t="s">
        <v>173</v>
      </c>
      <c r="C189" s="39">
        <v>0.733333333333333</v>
      </c>
      <c r="D189" s="41">
        <v>43909.0</v>
      </c>
      <c r="E189" s="39" t="s">
        <v>828</v>
      </c>
      <c r="F189" s="39" t="s">
        <v>829</v>
      </c>
      <c r="G189" s="39" t="s">
        <v>830</v>
      </c>
      <c r="H189" s="39">
        <v>320.0</v>
      </c>
      <c r="N189" s="39" t="s">
        <v>883</v>
      </c>
      <c r="R189" s="39" t="s">
        <v>832</v>
      </c>
      <c r="S189" s="39" t="s">
        <v>833</v>
      </c>
      <c r="T189" s="39" t="s">
        <v>884</v>
      </c>
      <c r="U189" s="39" t="s">
        <v>883</v>
      </c>
      <c r="W189" s="39" t="s">
        <v>904</v>
      </c>
      <c r="X189" s="39" t="s">
        <v>907</v>
      </c>
      <c r="Z189" s="39" t="s">
        <v>837</v>
      </c>
      <c r="AB189" s="39">
        <v>0.733333333333333</v>
      </c>
      <c r="AC189" s="39">
        <v>20.0</v>
      </c>
      <c r="AD189" s="39">
        <v>0.0</v>
      </c>
    </row>
    <row r="190">
      <c r="A190" s="39" t="s">
        <v>927</v>
      </c>
      <c r="B190" s="39" t="s">
        <v>716</v>
      </c>
      <c r="C190" s="39">
        <v>0.3</v>
      </c>
      <c r="D190" s="41">
        <v>43909.0</v>
      </c>
      <c r="E190" s="39" t="s">
        <v>828</v>
      </c>
      <c r="F190" s="39" t="s">
        <v>829</v>
      </c>
      <c r="G190" s="39" t="s">
        <v>830</v>
      </c>
      <c r="H190" s="39">
        <v>320.0</v>
      </c>
      <c r="N190" s="39" t="s">
        <v>883</v>
      </c>
      <c r="R190" s="39" t="s">
        <v>832</v>
      </c>
      <c r="S190" s="39" t="s">
        <v>833</v>
      </c>
      <c r="T190" s="39" t="s">
        <v>884</v>
      </c>
      <c r="U190" s="39" t="s">
        <v>883</v>
      </c>
      <c r="W190" s="39" t="s">
        <v>928</v>
      </c>
      <c r="X190" s="39" t="s">
        <v>929</v>
      </c>
      <c r="Z190" s="39" t="s">
        <v>828</v>
      </c>
      <c r="AB190" s="39">
        <v>0.3</v>
      </c>
    </row>
    <row r="191">
      <c r="A191" s="39" t="s">
        <v>903</v>
      </c>
      <c r="B191" s="39" t="s">
        <v>598</v>
      </c>
      <c r="C191" s="39">
        <v>0.816666666666666</v>
      </c>
      <c r="D191" s="41">
        <v>43909.0</v>
      </c>
      <c r="E191" s="39" t="s">
        <v>828</v>
      </c>
      <c r="F191" s="39" t="s">
        <v>829</v>
      </c>
      <c r="G191" s="39" t="s">
        <v>830</v>
      </c>
      <c r="H191" s="39">
        <v>320.0</v>
      </c>
      <c r="N191" s="39" t="s">
        <v>883</v>
      </c>
      <c r="R191" s="39" t="s">
        <v>832</v>
      </c>
      <c r="S191" s="39" t="s">
        <v>833</v>
      </c>
      <c r="T191" s="39" t="s">
        <v>884</v>
      </c>
      <c r="U191" s="39" t="s">
        <v>883</v>
      </c>
      <c r="W191" s="39" t="s">
        <v>904</v>
      </c>
      <c r="X191" s="39" t="s">
        <v>905</v>
      </c>
      <c r="Z191" s="39" t="s">
        <v>900</v>
      </c>
      <c r="AB191" s="39">
        <v>0.816666666666666</v>
      </c>
      <c r="AC191" s="39">
        <v>12.0</v>
      </c>
      <c r="AD191" s="39">
        <v>0.0</v>
      </c>
    </row>
    <row r="192">
      <c r="A192" s="39" t="s">
        <v>894</v>
      </c>
      <c r="B192" s="39" t="s">
        <v>895</v>
      </c>
      <c r="C192" s="39">
        <v>4.9</v>
      </c>
      <c r="D192" s="41">
        <v>43910.0</v>
      </c>
      <c r="E192" s="39" t="s">
        <v>828</v>
      </c>
      <c r="F192" s="39" t="s">
        <v>829</v>
      </c>
      <c r="G192" s="39" t="s">
        <v>830</v>
      </c>
      <c r="H192" s="39">
        <v>320.0</v>
      </c>
      <c r="N192" s="39" t="s">
        <v>883</v>
      </c>
      <c r="R192" s="39" t="s">
        <v>832</v>
      </c>
      <c r="S192" s="39" t="s">
        <v>833</v>
      </c>
      <c r="T192" s="39" t="s">
        <v>884</v>
      </c>
      <c r="U192" s="39" t="s">
        <v>883</v>
      </c>
      <c r="W192" s="39" t="s">
        <v>101</v>
      </c>
      <c r="X192" s="39" t="s">
        <v>896</v>
      </c>
      <c r="Z192" s="39" t="s">
        <v>876</v>
      </c>
      <c r="AB192" s="39">
        <v>4.9</v>
      </c>
      <c r="AC192" s="39">
        <v>12.0</v>
      </c>
      <c r="AD192" s="39">
        <v>0.0</v>
      </c>
    </row>
    <row r="193">
      <c r="A193" s="39" t="s">
        <v>571</v>
      </c>
      <c r="B193" s="39" t="s">
        <v>572</v>
      </c>
      <c r="C193" s="39">
        <v>0.25</v>
      </c>
      <c r="D193" s="41">
        <v>43913.0</v>
      </c>
      <c r="E193" s="39" t="s">
        <v>828</v>
      </c>
      <c r="F193" s="39" t="s">
        <v>829</v>
      </c>
      <c r="G193" s="39" t="s">
        <v>830</v>
      </c>
      <c r="H193" s="39">
        <v>320.0</v>
      </c>
      <c r="N193" s="39" t="s">
        <v>831</v>
      </c>
      <c r="R193" s="39" t="s">
        <v>832</v>
      </c>
      <c r="S193" s="39" t="s">
        <v>842</v>
      </c>
      <c r="T193" s="39" t="s">
        <v>834</v>
      </c>
      <c r="U193" s="39" t="s">
        <v>831</v>
      </c>
      <c r="W193" s="39" t="s">
        <v>302</v>
      </c>
      <c r="X193" s="39" t="s">
        <v>843</v>
      </c>
      <c r="Z193" s="39" t="s">
        <v>828</v>
      </c>
      <c r="AB193" s="39">
        <v>0.25</v>
      </c>
    </row>
    <row r="194">
      <c r="A194" s="39" t="s">
        <v>894</v>
      </c>
      <c r="B194" s="39" t="s">
        <v>895</v>
      </c>
      <c r="C194" s="39">
        <v>6.56666666666666</v>
      </c>
      <c r="D194" s="41">
        <v>43913.0</v>
      </c>
      <c r="E194" s="39" t="s">
        <v>828</v>
      </c>
      <c r="F194" s="39" t="s">
        <v>829</v>
      </c>
      <c r="G194" s="39" t="s">
        <v>830</v>
      </c>
      <c r="H194" s="39">
        <v>320.0</v>
      </c>
      <c r="N194" s="39" t="s">
        <v>883</v>
      </c>
      <c r="R194" s="39" t="s">
        <v>832</v>
      </c>
      <c r="S194" s="39" t="s">
        <v>833</v>
      </c>
      <c r="T194" s="39" t="s">
        <v>884</v>
      </c>
      <c r="U194" s="39" t="s">
        <v>883</v>
      </c>
      <c r="W194" s="39" t="s">
        <v>101</v>
      </c>
      <c r="X194" s="39" t="s">
        <v>896</v>
      </c>
      <c r="Z194" s="39" t="s">
        <v>876</v>
      </c>
      <c r="AB194" s="39">
        <v>6.56666666666666</v>
      </c>
      <c r="AC194" s="39">
        <v>12.0</v>
      </c>
      <c r="AD194" s="39">
        <v>0.0</v>
      </c>
    </row>
    <row r="195">
      <c r="A195" s="39" t="s">
        <v>912</v>
      </c>
      <c r="B195" s="39" t="s">
        <v>913</v>
      </c>
      <c r="C195" s="39">
        <v>0.1</v>
      </c>
      <c r="D195" s="41">
        <v>43913.0</v>
      </c>
      <c r="E195" s="39" t="s">
        <v>828</v>
      </c>
      <c r="F195" s="39" t="s">
        <v>829</v>
      </c>
      <c r="G195" s="39" t="s">
        <v>830</v>
      </c>
      <c r="H195" s="39">
        <v>320.0</v>
      </c>
      <c r="N195" s="39" t="s">
        <v>831</v>
      </c>
      <c r="R195" s="39" t="s">
        <v>832</v>
      </c>
      <c r="S195" s="39" t="s">
        <v>833</v>
      </c>
      <c r="T195" s="39" t="s">
        <v>834</v>
      </c>
      <c r="U195" s="39" t="s">
        <v>831</v>
      </c>
      <c r="W195" s="39" t="s">
        <v>437</v>
      </c>
      <c r="X195" s="39" t="s">
        <v>914</v>
      </c>
      <c r="Z195" s="39" t="s">
        <v>828</v>
      </c>
      <c r="AB195" s="39">
        <v>0.1</v>
      </c>
      <c r="AC195" s="39">
        <v>12.0</v>
      </c>
      <c r="AD195" s="39">
        <v>0.0</v>
      </c>
    </row>
    <row r="196">
      <c r="A196" s="39" t="s">
        <v>894</v>
      </c>
      <c r="B196" s="39" t="s">
        <v>895</v>
      </c>
      <c r="C196" s="39">
        <v>7.01666666666666</v>
      </c>
      <c r="D196" s="41">
        <v>43914.0</v>
      </c>
      <c r="E196" s="39" t="s">
        <v>828</v>
      </c>
      <c r="F196" s="39" t="s">
        <v>829</v>
      </c>
      <c r="G196" s="39" t="s">
        <v>830</v>
      </c>
      <c r="H196" s="39">
        <v>320.0</v>
      </c>
      <c r="N196" s="39" t="s">
        <v>883</v>
      </c>
      <c r="R196" s="39" t="s">
        <v>832</v>
      </c>
      <c r="S196" s="39" t="s">
        <v>833</v>
      </c>
      <c r="T196" s="39" t="s">
        <v>884</v>
      </c>
      <c r="U196" s="39" t="s">
        <v>883</v>
      </c>
      <c r="W196" s="39" t="s">
        <v>101</v>
      </c>
      <c r="X196" s="39" t="s">
        <v>896</v>
      </c>
      <c r="Z196" s="39" t="s">
        <v>876</v>
      </c>
      <c r="AB196" s="39">
        <v>7.01666666666666</v>
      </c>
      <c r="AC196" s="39">
        <v>12.0</v>
      </c>
      <c r="AD196" s="39">
        <v>0.0</v>
      </c>
    </row>
    <row r="197">
      <c r="A197" s="39" t="s">
        <v>927</v>
      </c>
      <c r="B197" s="39" t="s">
        <v>716</v>
      </c>
      <c r="C197" s="39">
        <v>0.666666666666666</v>
      </c>
      <c r="D197" s="41">
        <v>43914.0</v>
      </c>
      <c r="E197" s="39" t="s">
        <v>837</v>
      </c>
      <c r="F197" s="39" t="s">
        <v>886</v>
      </c>
      <c r="G197" s="39" t="s">
        <v>849</v>
      </c>
      <c r="H197" s="39">
        <v>320.0</v>
      </c>
      <c r="N197" s="39" t="s">
        <v>883</v>
      </c>
      <c r="R197" s="39" t="s">
        <v>832</v>
      </c>
      <c r="S197" s="39" t="s">
        <v>833</v>
      </c>
      <c r="T197" s="39" t="s">
        <v>884</v>
      </c>
      <c r="U197" s="39" t="s">
        <v>883</v>
      </c>
      <c r="W197" s="39" t="s">
        <v>928</v>
      </c>
      <c r="X197" s="39" t="s">
        <v>929</v>
      </c>
      <c r="Z197" s="39" t="s">
        <v>828</v>
      </c>
      <c r="AB197" s="39">
        <v>0.666666666666666</v>
      </c>
    </row>
    <row r="198">
      <c r="A198" s="39" t="s">
        <v>924</v>
      </c>
      <c r="B198" s="39" t="s">
        <v>925</v>
      </c>
      <c r="C198" s="39">
        <v>1.0</v>
      </c>
      <c r="D198" s="41">
        <v>43914.0</v>
      </c>
      <c r="E198" s="39" t="s">
        <v>847</v>
      </c>
      <c r="F198" s="39" t="s">
        <v>848</v>
      </c>
      <c r="G198" s="39" t="s">
        <v>849</v>
      </c>
      <c r="H198" s="39">
        <v>320.0</v>
      </c>
      <c r="N198" s="39" t="s">
        <v>831</v>
      </c>
      <c r="R198" s="39" t="s">
        <v>832</v>
      </c>
      <c r="S198" s="39" t="s">
        <v>889</v>
      </c>
      <c r="T198" s="39" t="s">
        <v>834</v>
      </c>
      <c r="U198" s="39" t="s">
        <v>831</v>
      </c>
      <c r="W198" s="39" t="s">
        <v>840</v>
      </c>
      <c r="X198" s="39" t="s">
        <v>926</v>
      </c>
      <c r="Z198" s="39" t="s">
        <v>847</v>
      </c>
      <c r="AB198" s="39">
        <v>1.0</v>
      </c>
    </row>
    <row r="199">
      <c r="A199" s="39" t="s">
        <v>894</v>
      </c>
      <c r="B199" s="39" t="s">
        <v>895</v>
      </c>
      <c r="C199" s="39">
        <v>6.45</v>
      </c>
      <c r="D199" s="41">
        <v>43915.0</v>
      </c>
      <c r="E199" s="39" t="s">
        <v>828</v>
      </c>
      <c r="F199" s="39" t="s">
        <v>829</v>
      </c>
      <c r="G199" s="39" t="s">
        <v>830</v>
      </c>
      <c r="H199" s="39">
        <v>320.0</v>
      </c>
      <c r="N199" s="39" t="s">
        <v>883</v>
      </c>
      <c r="R199" s="39" t="s">
        <v>832</v>
      </c>
      <c r="S199" s="39" t="s">
        <v>833</v>
      </c>
      <c r="T199" s="39" t="s">
        <v>884</v>
      </c>
      <c r="U199" s="39" t="s">
        <v>883</v>
      </c>
      <c r="W199" s="39" t="s">
        <v>101</v>
      </c>
      <c r="X199" s="39" t="s">
        <v>896</v>
      </c>
      <c r="Z199" s="39" t="s">
        <v>876</v>
      </c>
      <c r="AB199" s="39">
        <v>6.45</v>
      </c>
      <c r="AC199" s="39">
        <v>12.0</v>
      </c>
      <c r="AD199" s="39">
        <v>0.0</v>
      </c>
    </row>
    <row r="200">
      <c r="A200" s="39" t="s">
        <v>894</v>
      </c>
      <c r="B200" s="39" t="s">
        <v>895</v>
      </c>
      <c r="C200" s="39">
        <v>7.61666666666666</v>
      </c>
      <c r="D200" s="41">
        <v>43916.0</v>
      </c>
      <c r="E200" s="39" t="s">
        <v>828</v>
      </c>
      <c r="F200" s="39" t="s">
        <v>829</v>
      </c>
      <c r="G200" s="39" t="s">
        <v>830</v>
      </c>
      <c r="H200" s="39">
        <v>320.0</v>
      </c>
      <c r="N200" s="39" t="s">
        <v>883</v>
      </c>
      <c r="R200" s="39" t="s">
        <v>832</v>
      </c>
      <c r="S200" s="39" t="s">
        <v>833</v>
      </c>
      <c r="T200" s="39" t="s">
        <v>884</v>
      </c>
      <c r="U200" s="39" t="s">
        <v>883</v>
      </c>
      <c r="W200" s="39" t="s">
        <v>101</v>
      </c>
      <c r="X200" s="39" t="s">
        <v>896</v>
      </c>
      <c r="Z200" s="39" t="s">
        <v>876</v>
      </c>
      <c r="AB200" s="39">
        <v>7.61666666666666</v>
      </c>
      <c r="AC200" s="39">
        <v>12.0</v>
      </c>
      <c r="AD200" s="39">
        <v>0.0</v>
      </c>
    </row>
    <row r="201">
      <c r="A201" s="39" t="s">
        <v>894</v>
      </c>
      <c r="B201" s="39" t="s">
        <v>895</v>
      </c>
      <c r="C201" s="39">
        <v>6.3</v>
      </c>
      <c r="D201" s="41">
        <v>43917.0</v>
      </c>
      <c r="E201" s="39" t="s">
        <v>828</v>
      </c>
      <c r="F201" s="39" t="s">
        <v>829</v>
      </c>
      <c r="G201" s="39" t="s">
        <v>830</v>
      </c>
      <c r="H201" s="39">
        <v>320.0</v>
      </c>
      <c r="N201" s="39" t="s">
        <v>883</v>
      </c>
      <c r="R201" s="39" t="s">
        <v>832</v>
      </c>
      <c r="S201" s="39" t="s">
        <v>833</v>
      </c>
      <c r="T201" s="39" t="s">
        <v>884</v>
      </c>
      <c r="U201" s="39" t="s">
        <v>883</v>
      </c>
      <c r="W201" s="39" t="s">
        <v>101</v>
      </c>
      <c r="X201" s="39" t="s">
        <v>896</v>
      </c>
      <c r="Z201" s="39" t="s">
        <v>876</v>
      </c>
      <c r="AB201" s="39">
        <v>6.3</v>
      </c>
      <c r="AC201" s="39">
        <v>12.0</v>
      </c>
      <c r="AD201" s="39">
        <v>0.0</v>
      </c>
    </row>
    <row r="202">
      <c r="A202" s="39" t="s">
        <v>927</v>
      </c>
      <c r="B202" s="39" t="s">
        <v>716</v>
      </c>
      <c r="C202" s="39">
        <v>0.25</v>
      </c>
      <c r="D202" s="41">
        <v>43917.0</v>
      </c>
      <c r="E202" s="39" t="s">
        <v>828</v>
      </c>
      <c r="F202" s="39" t="s">
        <v>829</v>
      </c>
      <c r="G202" s="39" t="s">
        <v>830</v>
      </c>
      <c r="H202" s="39">
        <v>320.0</v>
      </c>
      <c r="N202" s="39" t="s">
        <v>883</v>
      </c>
      <c r="R202" s="39" t="s">
        <v>832</v>
      </c>
      <c r="S202" s="39" t="s">
        <v>833</v>
      </c>
      <c r="T202" s="39" t="s">
        <v>884</v>
      </c>
      <c r="U202" s="39" t="s">
        <v>883</v>
      </c>
      <c r="W202" s="39" t="s">
        <v>928</v>
      </c>
      <c r="X202" s="39" t="s">
        <v>929</v>
      </c>
      <c r="Z202" s="39" t="s">
        <v>828</v>
      </c>
      <c r="AB202" s="39">
        <v>0.25</v>
      </c>
    </row>
    <row r="203">
      <c r="A203" s="39" t="s">
        <v>924</v>
      </c>
      <c r="B203" s="39" t="s">
        <v>925</v>
      </c>
      <c r="C203" s="39">
        <v>1.75</v>
      </c>
      <c r="D203" s="41">
        <v>43917.0</v>
      </c>
      <c r="E203" s="39" t="s">
        <v>847</v>
      </c>
      <c r="F203" s="39" t="s">
        <v>848</v>
      </c>
      <c r="G203" s="39" t="s">
        <v>849</v>
      </c>
      <c r="H203" s="39">
        <v>320.0</v>
      </c>
      <c r="N203" s="39" t="s">
        <v>831</v>
      </c>
      <c r="R203" s="39" t="s">
        <v>832</v>
      </c>
      <c r="S203" s="39" t="s">
        <v>889</v>
      </c>
      <c r="T203" s="39" t="s">
        <v>834</v>
      </c>
      <c r="U203" s="39" t="s">
        <v>831</v>
      </c>
      <c r="W203" s="39" t="s">
        <v>840</v>
      </c>
      <c r="X203" s="39" t="s">
        <v>926</v>
      </c>
      <c r="Z203" s="39" t="s">
        <v>847</v>
      </c>
      <c r="AB203" s="39">
        <v>1.75</v>
      </c>
    </row>
    <row r="204">
      <c r="A204" s="39" t="s">
        <v>933</v>
      </c>
      <c r="B204" s="39" t="s">
        <v>934</v>
      </c>
      <c r="C204" s="39">
        <v>2.36666666666666</v>
      </c>
      <c r="D204" s="41">
        <v>43920.0</v>
      </c>
      <c r="E204" s="39" t="s">
        <v>828</v>
      </c>
      <c r="F204" s="39" t="s">
        <v>829</v>
      </c>
      <c r="G204" s="39" t="s">
        <v>830</v>
      </c>
      <c r="H204" s="39">
        <v>320.0</v>
      </c>
      <c r="N204" s="39" t="s">
        <v>883</v>
      </c>
      <c r="R204" s="39" t="s">
        <v>832</v>
      </c>
      <c r="S204" s="39" t="s">
        <v>833</v>
      </c>
      <c r="T204" s="39" t="s">
        <v>884</v>
      </c>
      <c r="U204" s="39" t="s">
        <v>883</v>
      </c>
      <c r="W204" s="39" t="s">
        <v>96</v>
      </c>
      <c r="X204" s="39" t="s">
        <v>935</v>
      </c>
      <c r="Z204" s="39" t="s">
        <v>876</v>
      </c>
      <c r="AB204" s="39">
        <v>2.36666666666666</v>
      </c>
      <c r="AC204" s="39">
        <v>16.0</v>
      </c>
      <c r="AD204" s="39">
        <v>0.0</v>
      </c>
    </row>
    <row r="205">
      <c r="A205" s="39" t="s">
        <v>894</v>
      </c>
      <c r="B205" s="39" t="s">
        <v>895</v>
      </c>
      <c r="C205" s="39">
        <v>1.41666666666666</v>
      </c>
      <c r="D205" s="41">
        <v>43920.0</v>
      </c>
      <c r="E205" s="39" t="s">
        <v>828</v>
      </c>
      <c r="F205" s="39" t="s">
        <v>829</v>
      </c>
      <c r="G205" s="39" t="s">
        <v>830</v>
      </c>
      <c r="H205" s="39">
        <v>320.0</v>
      </c>
      <c r="N205" s="39" t="s">
        <v>883</v>
      </c>
      <c r="R205" s="39" t="s">
        <v>832</v>
      </c>
      <c r="S205" s="39" t="s">
        <v>833</v>
      </c>
      <c r="T205" s="39" t="s">
        <v>884</v>
      </c>
      <c r="U205" s="39" t="s">
        <v>883</v>
      </c>
      <c r="W205" s="39" t="s">
        <v>101</v>
      </c>
      <c r="X205" s="39" t="s">
        <v>896</v>
      </c>
      <c r="Z205" s="39" t="s">
        <v>876</v>
      </c>
      <c r="AB205" s="39">
        <v>1.41666666666666</v>
      </c>
      <c r="AC205" s="39">
        <v>12.0</v>
      </c>
      <c r="AD205" s="39">
        <v>0.0</v>
      </c>
    </row>
    <row r="206">
      <c r="A206" s="39" t="s">
        <v>571</v>
      </c>
      <c r="B206" s="39" t="s">
        <v>572</v>
      </c>
      <c r="C206" s="39">
        <v>0.216666666666666</v>
      </c>
      <c r="D206" s="41">
        <v>43920.0</v>
      </c>
      <c r="E206" s="39" t="s">
        <v>828</v>
      </c>
      <c r="F206" s="39" t="s">
        <v>829</v>
      </c>
      <c r="G206" s="39" t="s">
        <v>830</v>
      </c>
      <c r="H206" s="39">
        <v>320.0</v>
      </c>
      <c r="N206" s="39" t="s">
        <v>831</v>
      </c>
      <c r="R206" s="39" t="s">
        <v>832</v>
      </c>
      <c r="S206" s="39" t="s">
        <v>842</v>
      </c>
      <c r="T206" s="39" t="s">
        <v>834</v>
      </c>
      <c r="U206" s="39" t="s">
        <v>831</v>
      </c>
      <c r="W206" s="39" t="s">
        <v>302</v>
      </c>
      <c r="X206" s="39" t="s">
        <v>843</v>
      </c>
      <c r="Z206" s="39" t="s">
        <v>828</v>
      </c>
      <c r="AB206" s="39">
        <v>0.216666666666666</v>
      </c>
    </row>
    <row r="207">
      <c r="A207" s="39" t="s">
        <v>927</v>
      </c>
      <c r="B207" s="39" t="s">
        <v>716</v>
      </c>
      <c r="C207" s="39">
        <v>0.9</v>
      </c>
      <c r="D207" s="41">
        <v>43920.0</v>
      </c>
      <c r="E207" s="39" t="s">
        <v>828</v>
      </c>
      <c r="F207" s="39" t="s">
        <v>829</v>
      </c>
      <c r="G207" s="39" t="s">
        <v>830</v>
      </c>
      <c r="H207" s="39">
        <v>320.0</v>
      </c>
      <c r="N207" s="39" t="s">
        <v>883</v>
      </c>
      <c r="R207" s="39" t="s">
        <v>832</v>
      </c>
      <c r="S207" s="39" t="s">
        <v>833</v>
      </c>
      <c r="T207" s="39" t="s">
        <v>884</v>
      </c>
      <c r="U207" s="39" t="s">
        <v>883</v>
      </c>
      <c r="W207" s="39" t="s">
        <v>928</v>
      </c>
      <c r="X207" s="39" t="s">
        <v>929</v>
      </c>
      <c r="Z207" s="39" t="s">
        <v>828</v>
      </c>
      <c r="AB207" s="39">
        <v>0.9</v>
      </c>
    </row>
    <row r="208">
      <c r="A208" s="39" t="s">
        <v>933</v>
      </c>
      <c r="B208" s="39" t="s">
        <v>934</v>
      </c>
      <c r="C208" s="39">
        <v>6.66666666666666</v>
      </c>
      <c r="D208" s="41">
        <v>43921.0</v>
      </c>
      <c r="E208" s="39" t="s">
        <v>828</v>
      </c>
      <c r="F208" s="39" t="s">
        <v>829</v>
      </c>
      <c r="G208" s="39" t="s">
        <v>830</v>
      </c>
      <c r="H208" s="39">
        <v>320.0</v>
      </c>
      <c r="N208" s="39" t="s">
        <v>883</v>
      </c>
      <c r="R208" s="39" t="s">
        <v>832</v>
      </c>
      <c r="S208" s="39" t="s">
        <v>833</v>
      </c>
      <c r="T208" s="39" t="s">
        <v>884</v>
      </c>
      <c r="U208" s="39" t="s">
        <v>883</v>
      </c>
      <c r="W208" s="39" t="s">
        <v>96</v>
      </c>
      <c r="X208" s="39" t="s">
        <v>935</v>
      </c>
      <c r="Z208" s="39" t="s">
        <v>876</v>
      </c>
      <c r="AB208" s="39">
        <v>6.66666666666666</v>
      </c>
      <c r="AC208" s="39">
        <v>16.0</v>
      </c>
      <c r="AD208" s="39">
        <v>0.0</v>
      </c>
    </row>
    <row r="209">
      <c r="A209" s="39" t="s">
        <v>894</v>
      </c>
      <c r="B209" s="39" t="s">
        <v>895</v>
      </c>
      <c r="C209" s="39">
        <v>0.5</v>
      </c>
      <c r="D209" s="41">
        <v>43921.46875</v>
      </c>
      <c r="E209" s="39" t="s">
        <v>900</v>
      </c>
      <c r="F209" s="39" t="s">
        <v>901</v>
      </c>
      <c r="G209" s="39" t="s">
        <v>902</v>
      </c>
      <c r="H209" s="39">
        <v>320.0</v>
      </c>
      <c r="N209" s="39" t="s">
        <v>883</v>
      </c>
      <c r="R209" s="39" t="s">
        <v>832</v>
      </c>
      <c r="S209" s="39" t="s">
        <v>833</v>
      </c>
      <c r="T209" s="39" t="s">
        <v>884</v>
      </c>
      <c r="U209" s="39" t="s">
        <v>883</v>
      </c>
      <c r="W209" s="39" t="s">
        <v>101</v>
      </c>
      <c r="X209" s="39" t="s">
        <v>896</v>
      </c>
      <c r="Z209" s="39" t="s">
        <v>876</v>
      </c>
      <c r="AB209" s="39">
        <v>0.5</v>
      </c>
      <c r="AC209" s="39">
        <v>12.0</v>
      </c>
      <c r="AD209" s="39">
        <v>0.0</v>
      </c>
    </row>
    <row r="210">
      <c r="A210" s="39" t="s">
        <v>918</v>
      </c>
      <c r="B210" s="39" t="s">
        <v>919</v>
      </c>
      <c r="C210" s="39">
        <v>0.883333333333333</v>
      </c>
      <c r="D210" s="41">
        <v>43922.0</v>
      </c>
      <c r="E210" s="39" t="s">
        <v>828</v>
      </c>
      <c r="F210" s="39" t="s">
        <v>829</v>
      </c>
      <c r="G210" s="39" t="s">
        <v>830</v>
      </c>
      <c r="H210" s="39">
        <v>420.0</v>
      </c>
      <c r="N210" s="39" t="s">
        <v>831</v>
      </c>
      <c r="R210" s="39" t="s">
        <v>832</v>
      </c>
      <c r="S210" s="39" t="s">
        <v>833</v>
      </c>
      <c r="T210" s="39" t="s">
        <v>834</v>
      </c>
      <c r="U210" s="39" t="s">
        <v>831</v>
      </c>
      <c r="W210" s="39" t="s">
        <v>840</v>
      </c>
      <c r="X210" s="39" t="s">
        <v>920</v>
      </c>
      <c r="Z210" s="39" t="s">
        <v>847</v>
      </c>
      <c r="AB210" s="39">
        <v>0.883333333333333</v>
      </c>
      <c r="AC210" s="39">
        <v>6.0</v>
      </c>
      <c r="AD210" s="39">
        <v>0.0</v>
      </c>
    </row>
    <row r="211">
      <c r="A211" s="39" t="s">
        <v>921</v>
      </c>
      <c r="B211" s="39" t="s">
        <v>922</v>
      </c>
      <c r="C211" s="39">
        <v>0.933333333333333</v>
      </c>
      <c r="D211" s="41">
        <v>43922.0</v>
      </c>
      <c r="E211" s="39" t="s">
        <v>828</v>
      </c>
      <c r="F211" s="39" t="s">
        <v>829</v>
      </c>
      <c r="G211" s="39" t="s">
        <v>830</v>
      </c>
      <c r="H211" s="39">
        <v>420.0</v>
      </c>
      <c r="N211" s="39" t="s">
        <v>831</v>
      </c>
      <c r="R211" s="39" t="s">
        <v>832</v>
      </c>
      <c r="S211" s="39" t="s">
        <v>855</v>
      </c>
      <c r="T211" s="39" t="s">
        <v>834</v>
      </c>
      <c r="U211" s="39" t="s">
        <v>831</v>
      </c>
      <c r="W211" s="39" t="s">
        <v>840</v>
      </c>
      <c r="X211" s="39" t="s">
        <v>923</v>
      </c>
      <c r="Z211" s="39" t="s">
        <v>847</v>
      </c>
      <c r="AB211" s="39">
        <v>0.933333333333333</v>
      </c>
      <c r="AC211" s="39">
        <v>24.0</v>
      </c>
      <c r="AD211" s="39">
        <v>10.5333333333333</v>
      </c>
    </row>
    <row r="212">
      <c r="A212" s="39" t="s">
        <v>894</v>
      </c>
      <c r="B212" s="39" t="s">
        <v>895</v>
      </c>
      <c r="C212" s="39">
        <v>0.533333333333333</v>
      </c>
      <c r="D212" s="41">
        <v>43922.0</v>
      </c>
      <c r="E212" s="39" t="s">
        <v>828</v>
      </c>
      <c r="F212" s="39" t="s">
        <v>829</v>
      </c>
      <c r="G212" s="39" t="s">
        <v>830</v>
      </c>
      <c r="H212" s="39">
        <v>420.0</v>
      </c>
      <c r="N212" s="39" t="s">
        <v>883</v>
      </c>
      <c r="R212" s="39" t="s">
        <v>832</v>
      </c>
      <c r="S212" s="39" t="s">
        <v>833</v>
      </c>
      <c r="T212" s="39" t="s">
        <v>884</v>
      </c>
      <c r="U212" s="39" t="s">
        <v>883</v>
      </c>
      <c r="W212" s="39" t="s">
        <v>101</v>
      </c>
      <c r="X212" s="39" t="s">
        <v>896</v>
      </c>
      <c r="Z212" s="39" t="s">
        <v>876</v>
      </c>
      <c r="AB212" s="39">
        <v>0.533333333333333</v>
      </c>
      <c r="AC212" s="39">
        <v>12.0</v>
      </c>
      <c r="AD212" s="39">
        <v>0.0</v>
      </c>
    </row>
    <row r="213">
      <c r="A213" s="39" t="s">
        <v>933</v>
      </c>
      <c r="B213" s="39" t="s">
        <v>934</v>
      </c>
      <c r="C213" s="39">
        <v>4.35</v>
      </c>
      <c r="D213" s="41">
        <v>43922.0</v>
      </c>
      <c r="E213" s="39" t="s">
        <v>828</v>
      </c>
      <c r="F213" s="39" t="s">
        <v>829</v>
      </c>
      <c r="G213" s="39" t="s">
        <v>830</v>
      </c>
      <c r="H213" s="39">
        <v>420.0</v>
      </c>
      <c r="N213" s="39" t="s">
        <v>883</v>
      </c>
      <c r="R213" s="39" t="s">
        <v>832</v>
      </c>
      <c r="S213" s="39" t="s">
        <v>833</v>
      </c>
      <c r="T213" s="39" t="s">
        <v>884</v>
      </c>
      <c r="U213" s="39" t="s">
        <v>883</v>
      </c>
      <c r="W213" s="39" t="s">
        <v>96</v>
      </c>
      <c r="X213" s="39" t="s">
        <v>935</v>
      </c>
      <c r="Z213" s="39" t="s">
        <v>876</v>
      </c>
      <c r="AB213" s="39">
        <v>4.35</v>
      </c>
      <c r="AC213" s="39">
        <v>16.0</v>
      </c>
      <c r="AD213" s="39">
        <v>0.0</v>
      </c>
    </row>
    <row r="214">
      <c r="A214" s="39" t="s">
        <v>924</v>
      </c>
      <c r="B214" s="39" t="s">
        <v>925</v>
      </c>
      <c r="C214" s="39">
        <v>1.0</v>
      </c>
      <c r="D214" s="41">
        <v>43922.0</v>
      </c>
      <c r="E214" s="39" t="s">
        <v>847</v>
      </c>
      <c r="F214" s="39" t="s">
        <v>848</v>
      </c>
      <c r="G214" s="39" t="s">
        <v>849</v>
      </c>
      <c r="H214" s="39">
        <v>420.0</v>
      </c>
      <c r="N214" s="39" t="s">
        <v>831</v>
      </c>
      <c r="R214" s="39" t="s">
        <v>832</v>
      </c>
      <c r="S214" s="39" t="s">
        <v>889</v>
      </c>
      <c r="T214" s="39" t="s">
        <v>834</v>
      </c>
      <c r="U214" s="39" t="s">
        <v>831</v>
      </c>
      <c r="W214" s="39" t="s">
        <v>840</v>
      </c>
      <c r="X214" s="39" t="s">
        <v>926</v>
      </c>
      <c r="Z214" s="39" t="s">
        <v>847</v>
      </c>
      <c r="AB214" s="39">
        <v>1.0</v>
      </c>
    </row>
    <row r="215">
      <c r="A215" s="39" t="s">
        <v>894</v>
      </c>
      <c r="B215" s="39" t="s">
        <v>895</v>
      </c>
      <c r="C215" s="39">
        <v>0.25</v>
      </c>
      <c r="D215" s="41">
        <v>43922.520833333336</v>
      </c>
      <c r="E215" s="39" t="s">
        <v>900</v>
      </c>
      <c r="F215" s="39" t="s">
        <v>901</v>
      </c>
      <c r="G215" s="39" t="s">
        <v>902</v>
      </c>
      <c r="H215" s="39">
        <v>420.0</v>
      </c>
      <c r="N215" s="39" t="s">
        <v>883</v>
      </c>
      <c r="R215" s="39" t="s">
        <v>832</v>
      </c>
      <c r="S215" s="39" t="s">
        <v>833</v>
      </c>
      <c r="T215" s="39" t="s">
        <v>884</v>
      </c>
      <c r="U215" s="39" t="s">
        <v>883</v>
      </c>
      <c r="W215" s="39" t="s">
        <v>101</v>
      </c>
      <c r="X215" s="39" t="s">
        <v>896</v>
      </c>
      <c r="Z215" s="39" t="s">
        <v>876</v>
      </c>
      <c r="AB215" s="39">
        <v>0.25</v>
      </c>
      <c r="AC215" s="39">
        <v>12.0</v>
      </c>
      <c r="AD215" s="39">
        <v>0.0</v>
      </c>
    </row>
    <row r="216">
      <c r="A216" s="39" t="s">
        <v>915</v>
      </c>
      <c r="B216" s="39" t="s">
        <v>916</v>
      </c>
      <c r="C216" s="39">
        <v>1.25</v>
      </c>
      <c r="D216" s="41">
        <v>43923.0</v>
      </c>
      <c r="E216" s="39" t="s">
        <v>828</v>
      </c>
      <c r="F216" s="39" t="s">
        <v>829</v>
      </c>
      <c r="G216" s="39" t="s">
        <v>830</v>
      </c>
      <c r="H216" s="39">
        <v>420.0</v>
      </c>
      <c r="N216" s="39" t="s">
        <v>831</v>
      </c>
      <c r="R216" s="39" t="s">
        <v>832</v>
      </c>
      <c r="S216" s="39" t="s">
        <v>833</v>
      </c>
      <c r="T216" s="39" t="s">
        <v>834</v>
      </c>
      <c r="U216" s="39" t="s">
        <v>831</v>
      </c>
      <c r="W216" s="39" t="s">
        <v>840</v>
      </c>
      <c r="X216" s="39" t="s">
        <v>917</v>
      </c>
      <c r="Z216" s="39" t="s">
        <v>847</v>
      </c>
      <c r="AB216" s="39">
        <v>1.25</v>
      </c>
      <c r="AC216" s="39">
        <v>8.0</v>
      </c>
      <c r="AD216" s="39">
        <v>0.0</v>
      </c>
    </row>
    <row r="217">
      <c r="A217" s="39" t="s">
        <v>933</v>
      </c>
      <c r="B217" s="39" t="s">
        <v>934</v>
      </c>
      <c r="C217" s="39">
        <v>0.416666666666666</v>
      </c>
      <c r="D217" s="41">
        <v>43923.0</v>
      </c>
      <c r="E217" s="39" t="s">
        <v>828</v>
      </c>
      <c r="F217" s="39" t="s">
        <v>829</v>
      </c>
      <c r="G217" s="39" t="s">
        <v>830</v>
      </c>
      <c r="H217" s="39">
        <v>420.0</v>
      </c>
      <c r="N217" s="39" t="s">
        <v>883</v>
      </c>
      <c r="R217" s="39" t="s">
        <v>832</v>
      </c>
      <c r="S217" s="39" t="s">
        <v>833</v>
      </c>
      <c r="T217" s="39" t="s">
        <v>884</v>
      </c>
      <c r="U217" s="39" t="s">
        <v>883</v>
      </c>
      <c r="W217" s="39" t="s">
        <v>96</v>
      </c>
      <c r="X217" s="39" t="s">
        <v>935</v>
      </c>
      <c r="Z217" s="39" t="s">
        <v>876</v>
      </c>
      <c r="AB217" s="39">
        <v>0.416666666666666</v>
      </c>
      <c r="AC217" s="39">
        <v>16.0</v>
      </c>
      <c r="AD217" s="39">
        <v>0.0</v>
      </c>
    </row>
    <row r="218">
      <c r="A218" s="39" t="s">
        <v>918</v>
      </c>
      <c r="B218" s="39" t="s">
        <v>919</v>
      </c>
      <c r="C218" s="39">
        <v>4.2</v>
      </c>
      <c r="D218" s="41">
        <v>43923.0</v>
      </c>
      <c r="E218" s="39" t="s">
        <v>828</v>
      </c>
      <c r="F218" s="39" t="s">
        <v>829</v>
      </c>
      <c r="G218" s="39" t="s">
        <v>830</v>
      </c>
      <c r="H218" s="39">
        <v>420.0</v>
      </c>
      <c r="N218" s="39" t="s">
        <v>831</v>
      </c>
      <c r="R218" s="39" t="s">
        <v>832</v>
      </c>
      <c r="S218" s="39" t="s">
        <v>833</v>
      </c>
      <c r="T218" s="39" t="s">
        <v>834</v>
      </c>
      <c r="U218" s="39" t="s">
        <v>831</v>
      </c>
      <c r="W218" s="39" t="s">
        <v>840</v>
      </c>
      <c r="X218" s="39" t="s">
        <v>920</v>
      </c>
      <c r="Z218" s="39" t="s">
        <v>847</v>
      </c>
      <c r="AB218" s="39">
        <v>4.2</v>
      </c>
      <c r="AC218" s="39">
        <v>6.0</v>
      </c>
      <c r="AD218" s="39">
        <v>0.0</v>
      </c>
    </row>
    <row r="219">
      <c r="A219" s="39" t="s">
        <v>927</v>
      </c>
      <c r="B219" s="39" t="s">
        <v>716</v>
      </c>
      <c r="C219" s="39">
        <v>0.05</v>
      </c>
      <c r="D219" s="41">
        <v>43923.0</v>
      </c>
      <c r="E219" s="39" t="s">
        <v>828</v>
      </c>
      <c r="F219" s="39" t="s">
        <v>829</v>
      </c>
      <c r="G219" s="39" t="s">
        <v>830</v>
      </c>
      <c r="H219" s="39">
        <v>420.0</v>
      </c>
      <c r="N219" s="39" t="s">
        <v>883</v>
      </c>
      <c r="R219" s="39" t="s">
        <v>832</v>
      </c>
      <c r="S219" s="39" t="s">
        <v>833</v>
      </c>
      <c r="T219" s="39" t="s">
        <v>884</v>
      </c>
      <c r="U219" s="39" t="s">
        <v>883</v>
      </c>
      <c r="W219" s="39" t="s">
        <v>928</v>
      </c>
      <c r="X219" s="39" t="s">
        <v>929</v>
      </c>
      <c r="Z219" s="39" t="s">
        <v>828</v>
      </c>
      <c r="AB219" s="39">
        <v>0.05</v>
      </c>
    </row>
    <row r="220">
      <c r="A220" s="39" t="s">
        <v>894</v>
      </c>
      <c r="B220" s="39" t="s">
        <v>895</v>
      </c>
      <c r="C220" s="39">
        <v>0.166666666666666</v>
      </c>
      <c r="D220" s="41">
        <v>43923.0</v>
      </c>
      <c r="E220" s="39" t="s">
        <v>828</v>
      </c>
      <c r="F220" s="39" t="s">
        <v>829</v>
      </c>
      <c r="G220" s="39" t="s">
        <v>830</v>
      </c>
      <c r="H220" s="39">
        <v>420.0</v>
      </c>
      <c r="N220" s="39" t="s">
        <v>883</v>
      </c>
      <c r="R220" s="39" t="s">
        <v>832</v>
      </c>
      <c r="S220" s="39" t="s">
        <v>833</v>
      </c>
      <c r="T220" s="39" t="s">
        <v>884</v>
      </c>
      <c r="U220" s="39" t="s">
        <v>883</v>
      </c>
      <c r="W220" s="39" t="s">
        <v>101</v>
      </c>
      <c r="X220" s="39" t="s">
        <v>896</v>
      </c>
      <c r="Z220" s="39" t="s">
        <v>876</v>
      </c>
      <c r="AB220" s="39">
        <v>0.166666666666666</v>
      </c>
      <c r="AC220" s="39">
        <v>12.0</v>
      </c>
      <c r="AD220" s="39">
        <v>0.0</v>
      </c>
    </row>
    <row r="221">
      <c r="A221" s="39" t="s">
        <v>924</v>
      </c>
      <c r="B221" s="39" t="s">
        <v>925</v>
      </c>
      <c r="C221" s="39">
        <v>3.48333333333333</v>
      </c>
      <c r="D221" s="41">
        <v>43923.0</v>
      </c>
      <c r="E221" s="39" t="s">
        <v>847</v>
      </c>
      <c r="F221" s="39" t="s">
        <v>848</v>
      </c>
      <c r="G221" s="39" t="s">
        <v>849</v>
      </c>
      <c r="H221" s="39">
        <v>420.0</v>
      </c>
      <c r="N221" s="39" t="s">
        <v>831</v>
      </c>
      <c r="R221" s="39" t="s">
        <v>832</v>
      </c>
      <c r="S221" s="39" t="s">
        <v>889</v>
      </c>
      <c r="T221" s="39" t="s">
        <v>834</v>
      </c>
      <c r="U221" s="39" t="s">
        <v>831</v>
      </c>
      <c r="W221" s="39" t="s">
        <v>840</v>
      </c>
      <c r="X221" s="39" t="s">
        <v>926</v>
      </c>
      <c r="Z221" s="39" t="s">
        <v>847</v>
      </c>
      <c r="AB221" s="39">
        <v>3.48333333333333</v>
      </c>
    </row>
    <row r="222">
      <c r="A222" s="39" t="s">
        <v>894</v>
      </c>
      <c r="B222" s="39" t="s">
        <v>895</v>
      </c>
      <c r="C222" s="39">
        <v>0.25</v>
      </c>
      <c r="D222" s="41">
        <v>43923.333333333336</v>
      </c>
      <c r="E222" s="39" t="s">
        <v>900</v>
      </c>
      <c r="F222" s="39" t="s">
        <v>901</v>
      </c>
      <c r="G222" s="39" t="s">
        <v>902</v>
      </c>
      <c r="H222" s="39">
        <v>420.0</v>
      </c>
      <c r="N222" s="39" t="s">
        <v>883</v>
      </c>
      <c r="R222" s="39" t="s">
        <v>832</v>
      </c>
      <c r="S222" s="39" t="s">
        <v>833</v>
      </c>
      <c r="T222" s="39" t="s">
        <v>884</v>
      </c>
      <c r="U222" s="39" t="s">
        <v>883</v>
      </c>
      <c r="W222" s="39" t="s">
        <v>101</v>
      </c>
      <c r="X222" s="39" t="s">
        <v>896</v>
      </c>
      <c r="Z222" s="39" t="s">
        <v>876</v>
      </c>
      <c r="AB222" s="39">
        <v>0.25</v>
      </c>
      <c r="AC222" s="39">
        <v>12.0</v>
      </c>
      <c r="AD222" s="39">
        <v>0.0</v>
      </c>
    </row>
    <row r="223">
      <c r="A223" s="39" t="s">
        <v>933</v>
      </c>
      <c r="B223" s="39" t="s">
        <v>934</v>
      </c>
      <c r="C223" s="39">
        <v>4.73333333333333</v>
      </c>
      <c r="D223" s="41">
        <v>43924.0</v>
      </c>
      <c r="E223" s="39" t="s">
        <v>828</v>
      </c>
      <c r="F223" s="39" t="s">
        <v>829</v>
      </c>
      <c r="G223" s="39" t="s">
        <v>830</v>
      </c>
      <c r="H223" s="39">
        <v>420.0</v>
      </c>
      <c r="N223" s="39" t="s">
        <v>883</v>
      </c>
      <c r="R223" s="39" t="s">
        <v>832</v>
      </c>
      <c r="S223" s="39" t="s">
        <v>833</v>
      </c>
      <c r="T223" s="39" t="s">
        <v>884</v>
      </c>
      <c r="U223" s="39" t="s">
        <v>883</v>
      </c>
      <c r="W223" s="39" t="s">
        <v>96</v>
      </c>
      <c r="X223" s="39" t="s">
        <v>935</v>
      </c>
      <c r="Z223" s="39" t="s">
        <v>876</v>
      </c>
      <c r="AB223" s="39">
        <v>4.73333333333333</v>
      </c>
      <c r="AC223" s="39">
        <v>16.0</v>
      </c>
      <c r="AD223" s="39">
        <v>0.0</v>
      </c>
    </row>
    <row r="224">
      <c r="A224" s="39" t="s">
        <v>924</v>
      </c>
      <c r="B224" s="39" t="s">
        <v>925</v>
      </c>
      <c r="C224" s="39">
        <v>3.0</v>
      </c>
      <c r="D224" s="41">
        <v>43924.0</v>
      </c>
      <c r="E224" s="39" t="s">
        <v>847</v>
      </c>
      <c r="F224" s="39" t="s">
        <v>848</v>
      </c>
      <c r="G224" s="39" t="s">
        <v>849</v>
      </c>
      <c r="H224" s="39">
        <v>420.0</v>
      </c>
      <c r="N224" s="39" t="s">
        <v>831</v>
      </c>
      <c r="R224" s="39" t="s">
        <v>832</v>
      </c>
      <c r="S224" s="39" t="s">
        <v>889</v>
      </c>
      <c r="T224" s="39" t="s">
        <v>834</v>
      </c>
      <c r="U224" s="39" t="s">
        <v>831</v>
      </c>
      <c r="W224" s="39" t="s">
        <v>840</v>
      </c>
      <c r="X224" s="39" t="s">
        <v>926</v>
      </c>
      <c r="Z224" s="39" t="s">
        <v>847</v>
      </c>
      <c r="AB224" s="39">
        <v>3.0</v>
      </c>
    </row>
    <row r="225">
      <c r="A225" s="39" t="s">
        <v>933</v>
      </c>
      <c r="B225" s="39" t="s">
        <v>934</v>
      </c>
      <c r="C225" s="39">
        <v>7.1</v>
      </c>
      <c r="D225" s="41">
        <v>43927.0</v>
      </c>
      <c r="E225" s="39" t="s">
        <v>828</v>
      </c>
      <c r="F225" s="39" t="s">
        <v>829</v>
      </c>
      <c r="G225" s="39" t="s">
        <v>830</v>
      </c>
      <c r="H225" s="39">
        <v>420.0</v>
      </c>
      <c r="N225" s="39" t="s">
        <v>883</v>
      </c>
      <c r="R225" s="39" t="s">
        <v>832</v>
      </c>
      <c r="S225" s="39" t="s">
        <v>833</v>
      </c>
      <c r="T225" s="39" t="s">
        <v>884</v>
      </c>
      <c r="U225" s="39" t="s">
        <v>883</v>
      </c>
      <c r="W225" s="39" t="s">
        <v>96</v>
      </c>
      <c r="X225" s="39" t="s">
        <v>935</v>
      </c>
      <c r="Z225" s="39" t="s">
        <v>876</v>
      </c>
      <c r="AB225" s="39">
        <v>7.1</v>
      </c>
      <c r="AC225" s="39">
        <v>16.0</v>
      </c>
      <c r="AD225" s="39">
        <v>0.0</v>
      </c>
    </row>
    <row r="226">
      <c r="A226" s="39" t="s">
        <v>912</v>
      </c>
      <c r="B226" s="39" t="s">
        <v>913</v>
      </c>
      <c r="C226" s="39">
        <v>0.0333333333333333</v>
      </c>
      <c r="D226" s="41">
        <v>43927.0</v>
      </c>
      <c r="E226" s="39" t="s">
        <v>828</v>
      </c>
      <c r="F226" s="39" t="s">
        <v>829</v>
      </c>
      <c r="G226" s="39" t="s">
        <v>830</v>
      </c>
      <c r="H226" s="39">
        <v>420.0</v>
      </c>
      <c r="N226" s="39" t="s">
        <v>831</v>
      </c>
      <c r="R226" s="39" t="s">
        <v>832</v>
      </c>
      <c r="S226" s="39" t="s">
        <v>833</v>
      </c>
      <c r="T226" s="39" t="s">
        <v>834</v>
      </c>
      <c r="U226" s="39" t="s">
        <v>831</v>
      </c>
      <c r="W226" s="39" t="s">
        <v>437</v>
      </c>
      <c r="X226" s="39" t="s">
        <v>914</v>
      </c>
      <c r="Z226" s="39" t="s">
        <v>828</v>
      </c>
      <c r="AB226" s="39">
        <v>0.0333333333333333</v>
      </c>
      <c r="AC226" s="39">
        <v>12.0</v>
      </c>
      <c r="AD226" s="39">
        <v>0.0</v>
      </c>
    </row>
    <row r="227">
      <c r="A227" s="39" t="s">
        <v>933</v>
      </c>
      <c r="B227" s="39" t="s">
        <v>934</v>
      </c>
      <c r="C227" s="39">
        <v>4.91666666666666</v>
      </c>
      <c r="D227" s="41">
        <v>43928.0</v>
      </c>
      <c r="E227" s="39" t="s">
        <v>828</v>
      </c>
      <c r="F227" s="39" t="s">
        <v>829</v>
      </c>
      <c r="G227" s="39" t="s">
        <v>830</v>
      </c>
      <c r="H227" s="39">
        <v>420.0</v>
      </c>
      <c r="N227" s="39" t="s">
        <v>883</v>
      </c>
      <c r="R227" s="39" t="s">
        <v>832</v>
      </c>
      <c r="S227" s="39" t="s">
        <v>833</v>
      </c>
      <c r="T227" s="39" t="s">
        <v>884</v>
      </c>
      <c r="U227" s="39" t="s">
        <v>883</v>
      </c>
      <c r="W227" s="39" t="s">
        <v>96</v>
      </c>
      <c r="X227" s="39" t="s">
        <v>935</v>
      </c>
      <c r="Z227" s="39" t="s">
        <v>876</v>
      </c>
      <c r="AB227" s="39">
        <v>4.91666666666666</v>
      </c>
      <c r="AC227" s="39">
        <v>16.0</v>
      </c>
      <c r="AD227" s="39">
        <v>0.0</v>
      </c>
    </row>
    <row r="228">
      <c r="A228" s="39" t="s">
        <v>933</v>
      </c>
      <c r="B228" s="39" t="s">
        <v>934</v>
      </c>
      <c r="C228" s="39">
        <v>7.75</v>
      </c>
      <c r="D228" s="41">
        <v>43929.0</v>
      </c>
      <c r="E228" s="39" t="s">
        <v>828</v>
      </c>
      <c r="F228" s="39" t="s">
        <v>829</v>
      </c>
      <c r="G228" s="39" t="s">
        <v>830</v>
      </c>
      <c r="H228" s="39">
        <v>420.0</v>
      </c>
      <c r="N228" s="39" t="s">
        <v>883</v>
      </c>
      <c r="R228" s="39" t="s">
        <v>832</v>
      </c>
      <c r="S228" s="39" t="s">
        <v>833</v>
      </c>
      <c r="T228" s="39" t="s">
        <v>884</v>
      </c>
      <c r="U228" s="39" t="s">
        <v>883</v>
      </c>
      <c r="W228" s="39" t="s">
        <v>96</v>
      </c>
      <c r="X228" s="39" t="s">
        <v>935</v>
      </c>
      <c r="Z228" s="39" t="s">
        <v>876</v>
      </c>
      <c r="AB228" s="39">
        <v>7.75</v>
      </c>
      <c r="AC228" s="39">
        <v>16.0</v>
      </c>
      <c r="AD228" s="39">
        <v>0.0</v>
      </c>
    </row>
    <row r="229">
      <c r="A229" s="39" t="s">
        <v>933</v>
      </c>
      <c r="B229" s="39" t="s">
        <v>934</v>
      </c>
      <c r="C229" s="39">
        <v>4.65</v>
      </c>
      <c r="D229" s="41">
        <v>43930.0</v>
      </c>
      <c r="E229" s="39" t="s">
        <v>828</v>
      </c>
      <c r="F229" s="39" t="s">
        <v>829</v>
      </c>
      <c r="G229" s="39" t="s">
        <v>830</v>
      </c>
      <c r="H229" s="39">
        <v>420.0</v>
      </c>
      <c r="N229" s="39" t="s">
        <v>883</v>
      </c>
      <c r="R229" s="39" t="s">
        <v>832</v>
      </c>
      <c r="S229" s="39" t="s">
        <v>833</v>
      </c>
      <c r="T229" s="39" t="s">
        <v>884</v>
      </c>
      <c r="U229" s="39" t="s">
        <v>883</v>
      </c>
      <c r="W229" s="39" t="s">
        <v>96</v>
      </c>
      <c r="X229" s="39" t="s">
        <v>935</v>
      </c>
      <c r="Z229" s="39" t="s">
        <v>876</v>
      </c>
      <c r="AB229" s="39">
        <v>4.65</v>
      </c>
      <c r="AC229" s="39">
        <v>16.0</v>
      </c>
      <c r="AD229" s="39">
        <v>0.0</v>
      </c>
    </row>
    <row r="230">
      <c r="A230" s="39" t="s">
        <v>912</v>
      </c>
      <c r="B230" s="39" t="s">
        <v>913</v>
      </c>
      <c r="C230" s="39">
        <v>0.666666666666666</v>
      </c>
      <c r="D230" s="41">
        <v>43934.0</v>
      </c>
      <c r="E230" s="39" t="s">
        <v>837</v>
      </c>
      <c r="F230" s="39" t="s">
        <v>886</v>
      </c>
      <c r="G230" s="39" t="s">
        <v>849</v>
      </c>
      <c r="H230" s="39">
        <v>420.0</v>
      </c>
      <c r="N230" s="39" t="s">
        <v>831</v>
      </c>
      <c r="R230" s="39" t="s">
        <v>832</v>
      </c>
      <c r="S230" s="39" t="s">
        <v>833</v>
      </c>
      <c r="T230" s="39" t="s">
        <v>834</v>
      </c>
      <c r="U230" s="39" t="s">
        <v>831</v>
      </c>
      <c r="W230" s="39" t="s">
        <v>437</v>
      </c>
      <c r="X230" s="39" t="s">
        <v>914</v>
      </c>
      <c r="Z230" s="39" t="s">
        <v>828</v>
      </c>
      <c r="AB230" s="39">
        <v>0.666666666666666</v>
      </c>
      <c r="AC230" s="39">
        <v>12.0</v>
      </c>
      <c r="AD230" s="39">
        <v>0.0</v>
      </c>
    </row>
    <row r="231">
      <c r="A231" s="39" t="s">
        <v>912</v>
      </c>
      <c r="B231" s="39" t="s">
        <v>913</v>
      </c>
      <c r="C231" s="39">
        <v>0.65</v>
      </c>
      <c r="D231" s="41">
        <v>43935.0</v>
      </c>
      <c r="E231" s="39" t="s">
        <v>828</v>
      </c>
      <c r="F231" s="39" t="s">
        <v>829</v>
      </c>
      <c r="G231" s="39" t="s">
        <v>830</v>
      </c>
      <c r="H231" s="39">
        <v>420.0</v>
      </c>
      <c r="N231" s="39" t="s">
        <v>831</v>
      </c>
      <c r="R231" s="39" t="s">
        <v>832</v>
      </c>
      <c r="S231" s="39" t="s">
        <v>833</v>
      </c>
      <c r="T231" s="39" t="s">
        <v>834</v>
      </c>
      <c r="U231" s="39" t="s">
        <v>831</v>
      </c>
      <c r="W231" s="39" t="s">
        <v>437</v>
      </c>
      <c r="X231" s="39" t="s">
        <v>914</v>
      </c>
      <c r="Z231" s="39" t="s">
        <v>828</v>
      </c>
      <c r="AB231" s="39">
        <v>0.65</v>
      </c>
      <c r="AC231" s="39">
        <v>12.0</v>
      </c>
      <c r="AD231" s="39">
        <v>0.0</v>
      </c>
    </row>
    <row r="232">
      <c r="A232" s="39" t="s">
        <v>924</v>
      </c>
      <c r="B232" s="39" t="s">
        <v>925</v>
      </c>
      <c r="C232" s="39">
        <v>0.45</v>
      </c>
      <c r="D232" s="41">
        <v>43935.0</v>
      </c>
      <c r="E232" s="39" t="s">
        <v>828</v>
      </c>
      <c r="F232" s="39" t="s">
        <v>829</v>
      </c>
      <c r="G232" s="39" t="s">
        <v>830</v>
      </c>
      <c r="H232" s="39">
        <v>420.0</v>
      </c>
      <c r="N232" s="39" t="s">
        <v>831</v>
      </c>
      <c r="R232" s="39" t="s">
        <v>832</v>
      </c>
      <c r="S232" s="39" t="s">
        <v>889</v>
      </c>
      <c r="T232" s="39" t="s">
        <v>834</v>
      </c>
      <c r="U232" s="39" t="s">
        <v>831</v>
      </c>
      <c r="W232" s="39" t="s">
        <v>840</v>
      </c>
      <c r="X232" s="39" t="s">
        <v>926</v>
      </c>
      <c r="Z232" s="39" t="s">
        <v>847</v>
      </c>
      <c r="AB232" s="39">
        <v>0.45</v>
      </c>
    </row>
    <row r="233">
      <c r="A233" s="39" t="s">
        <v>933</v>
      </c>
      <c r="B233" s="39" t="s">
        <v>934</v>
      </c>
      <c r="C233" s="39">
        <v>2.46666666666666</v>
      </c>
      <c r="D233" s="41">
        <v>43935.0</v>
      </c>
      <c r="E233" s="39" t="s">
        <v>828</v>
      </c>
      <c r="F233" s="39" t="s">
        <v>829</v>
      </c>
      <c r="G233" s="39" t="s">
        <v>830</v>
      </c>
      <c r="H233" s="39">
        <v>420.0</v>
      </c>
      <c r="N233" s="39" t="s">
        <v>883</v>
      </c>
      <c r="R233" s="39" t="s">
        <v>832</v>
      </c>
      <c r="S233" s="39" t="s">
        <v>833</v>
      </c>
      <c r="T233" s="39" t="s">
        <v>884</v>
      </c>
      <c r="U233" s="39" t="s">
        <v>883</v>
      </c>
      <c r="W233" s="39" t="s">
        <v>96</v>
      </c>
      <c r="X233" s="39" t="s">
        <v>935</v>
      </c>
      <c r="Z233" s="39" t="s">
        <v>876</v>
      </c>
      <c r="AB233" s="39">
        <v>2.46666666666666</v>
      </c>
      <c r="AC233" s="39">
        <v>16.0</v>
      </c>
      <c r="AD233" s="39">
        <v>0.0</v>
      </c>
    </row>
    <row r="234">
      <c r="A234" s="39" t="s">
        <v>924</v>
      </c>
      <c r="B234" s="39" t="s">
        <v>925</v>
      </c>
      <c r="C234" s="39">
        <v>0.5</v>
      </c>
      <c r="D234" s="41">
        <v>43935.0</v>
      </c>
      <c r="E234" s="39" t="s">
        <v>847</v>
      </c>
      <c r="F234" s="39" t="s">
        <v>848</v>
      </c>
      <c r="G234" s="39" t="s">
        <v>849</v>
      </c>
      <c r="H234" s="39">
        <v>420.0</v>
      </c>
      <c r="N234" s="39" t="s">
        <v>831</v>
      </c>
      <c r="R234" s="39" t="s">
        <v>832</v>
      </c>
      <c r="S234" s="39" t="s">
        <v>889</v>
      </c>
      <c r="T234" s="39" t="s">
        <v>834</v>
      </c>
      <c r="U234" s="39" t="s">
        <v>831</v>
      </c>
      <c r="W234" s="39" t="s">
        <v>840</v>
      </c>
      <c r="X234" s="39" t="s">
        <v>926</v>
      </c>
      <c r="Z234" s="39" t="s">
        <v>847</v>
      </c>
      <c r="AB234" s="39">
        <v>0.5</v>
      </c>
    </row>
    <row r="235">
      <c r="A235" s="39" t="s">
        <v>933</v>
      </c>
      <c r="B235" s="39" t="s">
        <v>934</v>
      </c>
      <c r="C235" s="39">
        <v>0.416666666666666</v>
      </c>
      <c r="D235" s="41">
        <v>43936.0</v>
      </c>
      <c r="E235" s="39" t="s">
        <v>828</v>
      </c>
      <c r="F235" s="39" t="s">
        <v>829</v>
      </c>
      <c r="G235" s="39" t="s">
        <v>830</v>
      </c>
      <c r="H235" s="39">
        <v>420.0</v>
      </c>
      <c r="N235" s="39" t="s">
        <v>883</v>
      </c>
      <c r="R235" s="39" t="s">
        <v>832</v>
      </c>
      <c r="S235" s="39" t="s">
        <v>833</v>
      </c>
      <c r="T235" s="39" t="s">
        <v>884</v>
      </c>
      <c r="U235" s="39" t="s">
        <v>883</v>
      </c>
      <c r="W235" s="39" t="s">
        <v>96</v>
      </c>
      <c r="X235" s="39" t="s">
        <v>935</v>
      </c>
      <c r="Z235" s="39" t="s">
        <v>876</v>
      </c>
      <c r="AB235" s="39">
        <v>0.416666666666666</v>
      </c>
      <c r="AC235" s="39">
        <v>16.0</v>
      </c>
      <c r="AD235" s="39">
        <v>0.0</v>
      </c>
    </row>
    <row r="236">
      <c r="A236" s="39" t="s">
        <v>912</v>
      </c>
      <c r="B236" s="39" t="s">
        <v>913</v>
      </c>
      <c r="C236" s="39">
        <v>0.183333333333333</v>
      </c>
      <c r="D236" s="41">
        <v>43936.0</v>
      </c>
      <c r="E236" s="39" t="s">
        <v>828</v>
      </c>
      <c r="F236" s="39" t="s">
        <v>829</v>
      </c>
      <c r="G236" s="39" t="s">
        <v>830</v>
      </c>
      <c r="H236" s="39">
        <v>420.0</v>
      </c>
      <c r="N236" s="39" t="s">
        <v>831</v>
      </c>
      <c r="R236" s="39" t="s">
        <v>832</v>
      </c>
      <c r="S236" s="39" t="s">
        <v>833</v>
      </c>
      <c r="T236" s="39" t="s">
        <v>834</v>
      </c>
      <c r="U236" s="39" t="s">
        <v>831</v>
      </c>
      <c r="W236" s="39" t="s">
        <v>437</v>
      </c>
      <c r="X236" s="39" t="s">
        <v>914</v>
      </c>
      <c r="Z236" s="39" t="s">
        <v>828</v>
      </c>
      <c r="AB236" s="39">
        <v>0.183333333333333</v>
      </c>
      <c r="AC236" s="39">
        <v>12.0</v>
      </c>
      <c r="AD236" s="39">
        <v>0.0</v>
      </c>
    </row>
    <row r="237">
      <c r="A237" s="39" t="s">
        <v>933</v>
      </c>
      <c r="B237" s="39" t="s">
        <v>934</v>
      </c>
      <c r="C237" s="39">
        <v>2.18333333333333</v>
      </c>
      <c r="D237" s="41">
        <v>43937.0</v>
      </c>
      <c r="E237" s="39" t="s">
        <v>828</v>
      </c>
      <c r="F237" s="39" t="s">
        <v>829</v>
      </c>
      <c r="G237" s="39" t="s">
        <v>830</v>
      </c>
      <c r="H237" s="39">
        <v>420.0</v>
      </c>
      <c r="N237" s="39" t="s">
        <v>883</v>
      </c>
      <c r="R237" s="39" t="s">
        <v>832</v>
      </c>
      <c r="S237" s="39" t="s">
        <v>833</v>
      </c>
      <c r="T237" s="39" t="s">
        <v>884</v>
      </c>
      <c r="U237" s="39" t="s">
        <v>883</v>
      </c>
      <c r="W237" s="39" t="s">
        <v>96</v>
      </c>
      <c r="X237" s="39" t="s">
        <v>935</v>
      </c>
      <c r="Z237" s="39" t="s">
        <v>876</v>
      </c>
      <c r="AB237" s="39">
        <v>2.18333333333333</v>
      </c>
      <c r="AC237" s="39">
        <v>16.0</v>
      </c>
      <c r="AD237" s="39">
        <v>0.0</v>
      </c>
    </row>
    <row r="238">
      <c r="A238" s="39" t="s">
        <v>912</v>
      </c>
      <c r="B238" s="39" t="s">
        <v>913</v>
      </c>
      <c r="C238" s="39">
        <v>0.183333333333333</v>
      </c>
      <c r="D238" s="41">
        <v>43937.0</v>
      </c>
      <c r="E238" s="39" t="s">
        <v>828</v>
      </c>
      <c r="F238" s="39" t="s">
        <v>829</v>
      </c>
      <c r="G238" s="39" t="s">
        <v>830</v>
      </c>
      <c r="H238" s="39">
        <v>420.0</v>
      </c>
      <c r="N238" s="39" t="s">
        <v>831</v>
      </c>
      <c r="R238" s="39" t="s">
        <v>832</v>
      </c>
      <c r="S238" s="39" t="s">
        <v>833</v>
      </c>
      <c r="T238" s="39" t="s">
        <v>834</v>
      </c>
      <c r="U238" s="39" t="s">
        <v>831</v>
      </c>
      <c r="W238" s="39" t="s">
        <v>437</v>
      </c>
      <c r="X238" s="39" t="s">
        <v>914</v>
      </c>
      <c r="Z238" s="39" t="s">
        <v>828</v>
      </c>
      <c r="AB238" s="39">
        <v>0.183333333333333</v>
      </c>
      <c r="AC238" s="39">
        <v>12.0</v>
      </c>
      <c r="AD238" s="39">
        <v>0.0</v>
      </c>
    </row>
    <row r="239">
      <c r="A239" s="39" t="s">
        <v>924</v>
      </c>
      <c r="B239" s="39" t="s">
        <v>925</v>
      </c>
      <c r="C239" s="39">
        <v>1.0</v>
      </c>
      <c r="D239" s="41">
        <v>43937.535416666666</v>
      </c>
      <c r="E239" s="39" t="s">
        <v>847</v>
      </c>
      <c r="F239" s="39" t="s">
        <v>848</v>
      </c>
      <c r="G239" s="39" t="s">
        <v>849</v>
      </c>
      <c r="H239" s="39">
        <v>420.0</v>
      </c>
      <c r="N239" s="39" t="s">
        <v>831</v>
      </c>
      <c r="R239" s="39" t="s">
        <v>832</v>
      </c>
      <c r="S239" s="39" t="s">
        <v>889</v>
      </c>
      <c r="T239" s="39" t="s">
        <v>834</v>
      </c>
      <c r="U239" s="39" t="s">
        <v>831</v>
      </c>
      <c r="W239" s="39" t="s">
        <v>840</v>
      </c>
      <c r="X239" s="39" t="s">
        <v>926</v>
      </c>
      <c r="Z239" s="39" t="s">
        <v>847</v>
      </c>
      <c r="AB239" s="39">
        <v>1.0</v>
      </c>
    </row>
    <row r="240">
      <c r="A240" s="39" t="s">
        <v>924</v>
      </c>
      <c r="B240" s="39" t="s">
        <v>925</v>
      </c>
      <c r="C240" s="39">
        <v>4.0</v>
      </c>
      <c r="D240" s="41">
        <v>43937.61319444444</v>
      </c>
      <c r="E240" s="39" t="s">
        <v>847</v>
      </c>
      <c r="F240" s="39" t="s">
        <v>848</v>
      </c>
      <c r="G240" s="39" t="s">
        <v>849</v>
      </c>
      <c r="H240" s="39">
        <v>420.0</v>
      </c>
      <c r="N240" s="39" t="s">
        <v>831</v>
      </c>
      <c r="R240" s="39" t="s">
        <v>832</v>
      </c>
      <c r="S240" s="39" t="s">
        <v>889</v>
      </c>
      <c r="T240" s="39" t="s">
        <v>834</v>
      </c>
      <c r="U240" s="39" t="s">
        <v>831</v>
      </c>
      <c r="W240" s="39" t="s">
        <v>840</v>
      </c>
      <c r="X240" s="39" t="s">
        <v>926</v>
      </c>
      <c r="Z240" s="39" t="s">
        <v>847</v>
      </c>
      <c r="AB240" s="39">
        <v>4.0</v>
      </c>
    </row>
    <row r="241">
      <c r="A241" s="39" t="s">
        <v>915</v>
      </c>
      <c r="B241" s="39" t="s">
        <v>916</v>
      </c>
      <c r="C241" s="39">
        <v>1.63333333333333</v>
      </c>
      <c r="D241" s="41">
        <v>43938.0</v>
      </c>
      <c r="E241" s="39" t="s">
        <v>828</v>
      </c>
      <c r="F241" s="39" t="s">
        <v>829</v>
      </c>
      <c r="G241" s="39" t="s">
        <v>830</v>
      </c>
      <c r="H241" s="39">
        <v>420.0</v>
      </c>
      <c r="N241" s="39" t="s">
        <v>831</v>
      </c>
      <c r="R241" s="39" t="s">
        <v>832</v>
      </c>
      <c r="S241" s="39" t="s">
        <v>833</v>
      </c>
      <c r="T241" s="39" t="s">
        <v>834</v>
      </c>
      <c r="U241" s="39" t="s">
        <v>831</v>
      </c>
      <c r="W241" s="39" t="s">
        <v>840</v>
      </c>
      <c r="X241" s="39" t="s">
        <v>917</v>
      </c>
      <c r="Z241" s="39" t="s">
        <v>847</v>
      </c>
      <c r="AB241" s="39">
        <v>1.63333333333333</v>
      </c>
      <c r="AC241" s="39">
        <v>8.0</v>
      </c>
      <c r="AD241" s="39">
        <v>0.0</v>
      </c>
    </row>
    <row r="242">
      <c r="A242" s="39" t="s">
        <v>933</v>
      </c>
      <c r="B242" s="39" t="s">
        <v>934</v>
      </c>
      <c r="C242" s="39">
        <v>0.933333333333333</v>
      </c>
      <c r="D242" s="41">
        <v>43938.0</v>
      </c>
      <c r="E242" s="39" t="s">
        <v>828</v>
      </c>
      <c r="F242" s="39" t="s">
        <v>829</v>
      </c>
      <c r="G242" s="39" t="s">
        <v>830</v>
      </c>
      <c r="H242" s="39">
        <v>420.0</v>
      </c>
      <c r="N242" s="39" t="s">
        <v>883</v>
      </c>
      <c r="R242" s="39" t="s">
        <v>832</v>
      </c>
      <c r="S242" s="39" t="s">
        <v>833</v>
      </c>
      <c r="T242" s="39" t="s">
        <v>884</v>
      </c>
      <c r="U242" s="39" t="s">
        <v>883</v>
      </c>
      <c r="W242" s="39" t="s">
        <v>96</v>
      </c>
      <c r="X242" s="39" t="s">
        <v>935</v>
      </c>
      <c r="Z242" s="39" t="s">
        <v>876</v>
      </c>
      <c r="AB242" s="39">
        <v>0.933333333333333</v>
      </c>
      <c r="AC242" s="39">
        <v>16.0</v>
      </c>
      <c r="AD242" s="39">
        <v>0.0</v>
      </c>
    </row>
    <row r="243">
      <c r="A243" s="39" t="s">
        <v>924</v>
      </c>
      <c r="B243" s="39" t="s">
        <v>925</v>
      </c>
      <c r="C243" s="39">
        <v>0.233333333333333</v>
      </c>
      <c r="D243" s="41">
        <v>43938.0</v>
      </c>
      <c r="E243" s="39" t="s">
        <v>828</v>
      </c>
      <c r="F243" s="39" t="s">
        <v>829</v>
      </c>
      <c r="G243" s="39" t="s">
        <v>830</v>
      </c>
      <c r="H243" s="39">
        <v>420.0</v>
      </c>
      <c r="N243" s="39" t="s">
        <v>831</v>
      </c>
      <c r="R243" s="39" t="s">
        <v>832</v>
      </c>
      <c r="S243" s="39" t="s">
        <v>889</v>
      </c>
      <c r="T243" s="39" t="s">
        <v>834</v>
      </c>
      <c r="U243" s="39" t="s">
        <v>831</v>
      </c>
      <c r="W243" s="39" t="s">
        <v>840</v>
      </c>
      <c r="X243" s="39" t="s">
        <v>926</v>
      </c>
      <c r="Z243" s="39" t="s">
        <v>847</v>
      </c>
      <c r="AB243" s="39">
        <v>0.233333333333333</v>
      </c>
    </row>
    <row r="244">
      <c r="A244" s="39" t="s">
        <v>924</v>
      </c>
      <c r="B244" s="39" t="s">
        <v>925</v>
      </c>
      <c r="C244" s="39">
        <v>2.0</v>
      </c>
      <c r="D244" s="41">
        <v>43938.0</v>
      </c>
      <c r="E244" s="39" t="s">
        <v>847</v>
      </c>
      <c r="F244" s="39" t="s">
        <v>848</v>
      </c>
      <c r="G244" s="39" t="s">
        <v>849</v>
      </c>
      <c r="H244" s="39">
        <v>420.0</v>
      </c>
      <c r="N244" s="39" t="s">
        <v>831</v>
      </c>
      <c r="R244" s="39" t="s">
        <v>832</v>
      </c>
      <c r="S244" s="39" t="s">
        <v>889</v>
      </c>
      <c r="T244" s="39" t="s">
        <v>834</v>
      </c>
      <c r="U244" s="39" t="s">
        <v>831</v>
      </c>
      <c r="W244" s="39" t="s">
        <v>840</v>
      </c>
      <c r="X244" s="39" t="s">
        <v>926</v>
      </c>
      <c r="Z244" s="39" t="s">
        <v>847</v>
      </c>
      <c r="AB244" s="39">
        <v>2.0</v>
      </c>
    </row>
    <row r="245">
      <c r="A245" s="39" t="s">
        <v>933</v>
      </c>
      <c r="B245" s="39" t="s">
        <v>934</v>
      </c>
      <c r="C245" s="39">
        <v>1.0</v>
      </c>
      <c r="D245" s="41">
        <v>43938.52222222222</v>
      </c>
      <c r="E245" s="39" t="s">
        <v>847</v>
      </c>
      <c r="F245" s="39" t="s">
        <v>848</v>
      </c>
      <c r="G245" s="39" t="s">
        <v>849</v>
      </c>
      <c r="H245" s="39">
        <v>420.0</v>
      </c>
      <c r="N245" s="39" t="s">
        <v>883</v>
      </c>
      <c r="R245" s="39" t="s">
        <v>832</v>
      </c>
      <c r="S245" s="39" t="s">
        <v>833</v>
      </c>
      <c r="T245" s="39" t="s">
        <v>884</v>
      </c>
      <c r="U245" s="39" t="s">
        <v>883</v>
      </c>
      <c r="W245" s="39" t="s">
        <v>96</v>
      </c>
      <c r="X245" s="39" t="s">
        <v>935</v>
      </c>
      <c r="Z245" s="39" t="s">
        <v>876</v>
      </c>
      <c r="AB245" s="39">
        <v>1.0</v>
      </c>
      <c r="AC245" s="39">
        <v>16.0</v>
      </c>
      <c r="AD245" s="39">
        <v>0.0</v>
      </c>
    </row>
    <row r="246">
      <c r="A246" s="39" t="s">
        <v>915</v>
      </c>
      <c r="B246" s="39" t="s">
        <v>916</v>
      </c>
      <c r="C246" s="39">
        <v>2.96666666666666</v>
      </c>
      <c r="D246" s="41">
        <v>43941.0</v>
      </c>
      <c r="E246" s="39" t="s">
        <v>828</v>
      </c>
      <c r="F246" s="39" t="s">
        <v>829</v>
      </c>
      <c r="G246" s="39" t="s">
        <v>830</v>
      </c>
      <c r="H246" s="39">
        <v>420.0</v>
      </c>
      <c r="N246" s="39" t="s">
        <v>831</v>
      </c>
      <c r="R246" s="39" t="s">
        <v>832</v>
      </c>
      <c r="S246" s="39" t="s">
        <v>833</v>
      </c>
      <c r="T246" s="39" t="s">
        <v>834</v>
      </c>
      <c r="U246" s="39" t="s">
        <v>831</v>
      </c>
      <c r="W246" s="39" t="s">
        <v>840</v>
      </c>
      <c r="X246" s="39" t="s">
        <v>917</v>
      </c>
      <c r="Z246" s="39" t="s">
        <v>847</v>
      </c>
      <c r="AB246" s="39">
        <v>2.96666666666666</v>
      </c>
      <c r="AC246" s="39">
        <v>8.0</v>
      </c>
      <c r="AD246" s="39">
        <v>0.0</v>
      </c>
    </row>
    <row r="247">
      <c r="A247" s="39" t="s">
        <v>936</v>
      </c>
      <c r="B247" s="39" t="s">
        <v>937</v>
      </c>
      <c r="C247" s="39">
        <v>1.9</v>
      </c>
      <c r="D247" s="41">
        <v>43941.0</v>
      </c>
      <c r="E247" s="39" t="s">
        <v>828</v>
      </c>
      <c r="F247" s="39" t="s">
        <v>829</v>
      </c>
      <c r="G247" s="39" t="s">
        <v>830</v>
      </c>
      <c r="H247" s="39">
        <v>420.0</v>
      </c>
      <c r="N247" s="39" t="s">
        <v>938</v>
      </c>
      <c r="R247" s="39" t="s">
        <v>832</v>
      </c>
      <c r="S247" s="39" t="s">
        <v>939</v>
      </c>
      <c r="T247" s="39" t="s">
        <v>741</v>
      </c>
      <c r="U247" s="39" t="s">
        <v>938</v>
      </c>
      <c r="X247" s="39" t="s">
        <v>940</v>
      </c>
      <c r="Z247" s="39" t="s">
        <v>872</v>
      </c>
      <c r="AB247" s="39">
        <v>1.9</v>
      </c>
    </row>
    <row r="248">
      <c r="A248" s="39" t="s">
        <v>933</v>
      </c>
      <c r="B248" s="39" t="s">
        <v>934</v>
      </c>
      <c r="C248" s="39">
        <v>0.133333333333333</v>
      </c>
      <c r="D248" s="41">
        <v>43941.0</v>
      </c>
      <c r="E248" s="39" t="s">
        <v>828</v>
      </c>
      <c r="F248" s="39" t="s">
        <v>829</v>
      </c>
      <c r="G248" s="39" t="s">
        <v>830</v>
      </c>
      <c r="H248" s="39">
        <v>420.0</v>
      </c>
      <c r="N248" s="39" t="s">
        <v>883</v>
      </c>
      <c r="R248" s="39" t="s">
        <v>832</v>
      </c>
      <c r="S248" s="39" t="s">
        <v>833</v>
      </c>
      <c r="T248" s="39" t="s">
        <v>884</v>
      </c>
      <c r="U248" s="39" t="s">
        <v>883</v>
      </c>
      <c r="W248" s="39" t="s">
        <v>96</v>
      </c>
      <c r="X248" s="39" t="s">
        <v>935</v>
      </c>
      <c r="Z248" s="39" t="s">
        <v>876</v>
      </c>
      <c r="AB248" s="39">
        <v>0.133333333333333</v>
      </c>
      <c r="AC248" s="39">
        <v>16.0</v>
      </c>
      <c r="AD248" s="39">
        <v>0.0</v>
      </c>
    </row>
    <row r="249">
      <c r="A249" s="39" t="s">
        <v>941</v>
      </c>
      <c r="B249" s="39" t="s">
        <v>942</v>
      </c>
      <c r="C249" s="39">
        <v>0.666666666666666</v>
      </c>
      <c r="D249" s="41">
        <v>43942.0</v>
      </c>
      <c r="E249" s="39" t="s">
        <v>828</v>
      </c>
      <c r="F249" s="39" t="s">
        <v>829</v>
      </c>
      <c r="G249" s="39" t="s">
        <v>830</v>
      </c>
      <c r="H249" s="39">
        <v>420.0</v>
      </c>
      <c r="N249" s="39" t="s">
        <v>938</v>
      </c>
      <c r="R249" s="39" t="s">
        <v>832</v>
      </c>
      <c r="S249" s="39" t="s">
        <v>939</v>
      </c>
      <c r="T249" s="39" t="s">
        <v>741</v>
      </c>
      <c r="U249" s="39" t="s">
        <v>938</v>
      </c>
      <c r="X249" s="39" t="s">
        <v>943</v>
      </c>
      <c r="Y249" s="39" t="s">
        <v>944</v>
      </c>
      <c r="Z249" s="39" t="s">
        <v>872</v>
      </c>
      <c r="AB249" s="39">
        <v>0.666666666666666</v>
      </c>
    </row>
    <row r="250">
      <c r="A250" s="39" t="s">
        <v>915</v>
      </c>
      <c r="B250" s="39" t="s">
        <v>916</v>
      </c>
      <c r="C250" s="39">
        <v>5.0</v>
      </c>
      <c r="D250" s="41">
        <v>43942.0</v>
      </c>
      <c r="E250" s="39" t="s">
        <v>828</v>
      </c>
      <c r="F250" s="39" t="s">
        <v>829</v>
      </c>
      <c r="G250" s="39" t="s">
        <v>830</v>
      </c>
      <c r="H250" s="39">
        <v>420.0</v>
      </c>
      <c r="N250" s="39" t="s">
        <v>831</v>
      </c>
      <c r="R250" s="39" t="s">
        <v>832</v>
      </c>
      <c r="S250" s="39" t="s">
        <v>833</v>
      </c>
      <c r="T250" s="39" t="s">
        <v>834</v>
      </c>
      <c r="U250" s="39" t="s">
        <v>831</v>
      </c>
      <c r="W250" s="39" t="s">
        <v>840</v>
      </c>
      <c r="X250" s="39" t="s">
        <v>917</v>
      </c>
      <c r="Z250" s="39" t="s">
        <v>847</v>
      </c>
      <c r="AB250" s="39">
        <v>5.0</v>
      </c>
      <c r="AC250" s="39">
        <v>8.0</v>
      </c>
      <c r="AD250" s="39">
        <v>0.0</v>
      </c>
    </row>
    <row r="251">
      <c r="A251" s="39" t="s">
        <v>912</v>
      </c>
      <c r="B251" s="39" t="s">
        <v>913</v>
      </c>
      <c r="C251" s="39">
        <v>0.766666666666666</v>
      </c>
      <c r="D251" s="41">
        <v>43942.0</v>
      </c>
      <c r="E251" s="39" t="s">
        <v>828</v>
      </c>
      <c r="F251" s="39" t="s">
        <v>829</v>
      </c>
      <c r="G251" s="39" t="s">
        <v>830</v>
      </c>
      <c r="H251" s="39">
        <v>420.0</v>
      </c>
      <c r="N251" s="39" t="s">
        <v>831</v>
      </c>
      <c r="R251" s="39" t="s">
        <v>832</v>
      </c>
      <c r="S251" s="39" t="s">
        <v>833</v>
      </c>
      <c r="T251" s="39" t="s">
        <v>834</v>
      </c>
      <c r="U251" s="39" t="s">
        <v>831</v>
      </c>
      <c r="W251" s="39" t="s">
        <v>437</v>
      </c>
      <c r="X251" s="39" t="s">
        <v>914</v>
      </c>
      <c r="Z251" s="39" t="s">
        <v>828</v>
      </c>
      <c r="AB251" s="39">
        <v>0.766666666666666</v>
      </c>
      <c r="AC251" s="39">
        <v>12.0</v>
      </c>
      <c r="AD251" s="39">
        <v>0.0</v>
      </c>
    </row>
    <row r="252">
      <c r="A252" s="39" t="s">
        <v>915</v>
      </c>
      <c r="B252" s="39" t="s">
        <v>916</v>
      </c>
      <c r="C252" s="39">
        <v>3.7</v>
      </c>
      <c r="D252" s="41">
        <v>43943.0</v>
      </c>
      <c r="E252" s="39" t="s">
        <v>828</v>
      </c>
      <c r="F252" s="39" t="s">
        <v>829</v>
      </c>
      <c r="G252" s="39" t="s">
        <v>830</v>
      </c>
      <c r="H252" s="39">
        <v>420.0</v>
      </c>
      <c r="N252" s="39" t="s">
        <v>831</v>
      </c>
      <c r="R252" s="39" t="s">
        <v>832</v>
      </c>
      <c r="S252" s="39" t="s">
        <v>833</v>
      </c>
      <c r="T252" s="39" t="s">
        <v>834</v>
      </c>
      <c r="U252" s="39" t="s">
        <v>831</v>
      </c>
      <c r="W252" s="39" t="s">
        <v>840</v>
      </c>
      <c r="X252" s="39" t="s">
        <v>917</v>
      </c>
      <c r="Z252" s="39" t="s">
        <v>847</v>
      </c>
      <c r="AB252" s="39">
        <v>3.7</v>
      </c>
      <c r="AC252" s="39">
        <v>8.0</v>
      </c>
      <c r="AD252" s="39">
        <v>0.0</v>
      </c>
    </row>
    <row r="253">
      <c r="A253" s="39" t="s">
        <v>933</v>
      </c>
      <c r="B253" s="39" t="s">
        <v>934</v>
      </c>
      <c r="C253" s="39">
        <v>1.55</v>
      </c>
      <c r="D253" s="41">
        <v>43943.0</v>
      </c>
      <c r="E253" s="39" t="s">
        <v>828</v>
      </c>
      <c r="F253" s="39" t="s">
        <v>829</v>
      </c>
      <c r="G253" s="39" t="s">
        <v>830</v>
      </c>
      <c r="H253" s="39">
        <v>420.0</v>
      </c>
      <c r="N253" s="39" t="s">
        <v>883</v>
      </c>
      <c r="R253" s="39" t="s">
        <v>832</v>
      </c>
      <c r="S253" s="39" t="s">
        <v>833</v>
      </c>
      <c r="T253" s="39" t="s">
        <v>884</v>
      </c>
      <c r="U253" s="39" t="s">
        <v>883</v>
      </c>
      <c r="W253" s="39" t="s">
        <v>96</v>
      </c>
      <c r="X253" s="39" t="s">
        <v>935</v>
      </c>
      <c r="Z253" s="39" t="s">
        <v>876</v>
      </c>
      <c r="AB253" s="39">
        <v>1.55</v>
      </c>
      <c r="AC253" s="39">
        <v>16.0</v>
      </c>
      <c r="AD253" s="39">
        <v>0.0</v>
      </c>
    </row>
    <row r="254">
      <c r="A254" s="39" t="s">
        <v>933</v>
      </c>
      <c r="B254" s="39" t="s">
        <v>934</v>
      </c>
      <c r="C254" s="39">
        <v>5.56666666666666</v>
      </c>
      <c r="D254" s="41">
        <v>43944.0</v>
      </c>
      <c r="E254" s="39" t="s">
        <v>828</v>
      </c>
      <c r="F254" s="39" t="s">
        <v>829</v>
      </c>
      <c r="G254" s="39" t="s">
        <v>830</v>
      </c>
      <c r="H254" s="39">
        <v>420.0</v>
      </c>
      <c r="N254" s="39" t="s">
        <v>883</v>
      </c>
      <c r="R254" s="39" t="s">
        <v>832</v>
      </c>
      <c r="S254" s="39" t="s">
        <v>833</v>
      </c>
      <c r="T254" s="39" t="s">
        <v>884</v>
      </c>
      <c r="U254" s="39" t="s">
        <v>883</v>
      </c>
      <c r="W254" s="39" t="s">
        <v>96</v>
      </c>
      <c r="X254" s="39" t="s">
        <v>935</v>
      </c>
      <c r="Z254" s="39" t="s">
        <v>876</v>
      </c>
      <c r="AB254" s="39">
        <v>5.56666666666666</v>
      </c>
      <c r="AC254" s="39">
        <v>16.0</v>
      </c>
      <c r="AD254" s="39">
        <v>0.0</v>
      </c>
    </row>
    <row r="255">
      <c r="A255" s="39" t="s">
        <v>941</v>
      </c>
      <c r="B255" s="39" t="s">
        <v>942</v>
      </c>
      <c r="C255" s="39">
        <v>0.366666666666666</v>
      </c>
      <c r="D255" s="41">
        <v>43945.0</v>
      </c>
      <c r="E255" s="39" t="s">
        <v>828</v>
      </c>
      <c r="F255" s="39" t="s">
        <v>829</v>
      </c>
      <c r="G255" s="39" t="s">
        <v>830</v>
      </c>
      <c r="H255" s="39">
        <v>420.0</v>
      </c>
      <c r="N255" s="39" t="s">
        <v>938</v>
      </c>
      <c r="R255" s="39" t="s">
        <v>832</v>
      </c>
      <c r="S255" s="39" t="s">
        <v>939</v>
      </c>
      <c r="T255" s="39" t="s">
        <v>741</v>
      </c>
      <c r="U255" s="39" t="s">
        <v>938</v>
      </c>
      <c r="X255" s="39" t="s">
        <v>943</v>
      </c>
      <c r="Y255" s="39" t="s">
        <v>944</v>
      </c>
      <c r="Z255" s="39" t="s">
        <v>872</v>
      </c>
      <c r="AB255" s="39">
        <v>0.366666666666666</v>
      </c>
    </row>
    <row r="256">
      <c r="A256" s="39" t="s">
        <v>918</v>
      </c>
      <c r="B256" s="39" t="s">
        <v>919</v>
      </c>
      <c r="C256" s="39">
        <v>5.7</v>
      </c>
      <c r="D256" s="41">
        <v>43945.0</v>
      </c>
      <c r="E256" s="39" t="s">
        <v>828</v>
      </c>
      <c r="F256" s="39" t="s">
        <v>829</v>
      </c>
      <c r="G256" s="39" t="s">
        <v>830</v>
      </c>
      <c r="H256" s="39">
        <v>420.0</v>
      </c>
      <c r="N256" s="39" t="s">
        <v>831</v>
      </c>
      <c r="R256" s="39" t="s">
        <v>832</v>
      </c>
      <c r="S256" s="39" t="s">
        <v>833</v>
      </c>
      <c r="T256" s="39" t="s">
        <v>834</v>
      </c>
      <c r="U256" s="39" t="s">
        <v>831</v>
      </c>
      <c r="W256" s="39" t="s">
        <v>840</v>
      </c>
      <c r="X256" s="39" t="s">
        <v>920</v>
      </c>
      <c r="Z256" s="39" t="s">
        <v>847</v>
      </c>
      <c r="AB256" s="39">
        <v>5.7</v>
      </c>
      <c r="AC256" s="39">
        <v>6.0</v>
      </c>
      <c r="AD256" s="39">
        <v>0.0</v>
      </c>
    </row>
    <row r="257">
      <c r="A257" s="39" t="s">
        <v>918</v>
      </c>
      <c r="B257" s="39" t="s">
        <v>919</v>
      </c>
      <c r="C257" s="39">
        <v>3.46666666666666</v>
      </c>
      <c r="D257" s="41">
        <v>43948.0</v>
      </c>
      <c r="E257" s="39" t="s">
        <v>828</v>
      </c>
      <c r="F257" s="39" t="s">
        <v>829</v>
      </c>
      <c r="G257" s="39" t="s">
        <v>830</v>
      </c>
      <c r="H257" s="39">
        <v>420.0</v>
      </c>
      <c r="N257" s="39" t="s">
        <v>831</v>
      </c>
      <c r="R257" s="39" t="s">
        <v>832</v>
      </c>
      <c r="S257" s="39" t="s">
        <v>833</v>
      </c>
      <c r="T257" s="39" t="s">
        <v>834</v>
      </c>
      <c r="U257" s="39" t="s">
        <v>831</v>
      </c>
      <c r="W257" s="39" t="s">
        <v>840</v>
      </c>
      <c r="X257" s="39" t="s">
        <v>920</v>
      </c>
      <c r="Z257" s="39" t="s">
        <v>847</v>
      </c>
      <c r="AB257" s="39">
        <v>3.46666666666666</v>
      </c>
      <c r="AC257" s="39">
        <v>6.0</v>
      </c>
      <c r="AD257" s="39">
        <v>0.0</v>
      </c>
    </row>
    <row r="258">
      <c r="A258" s="39" t="s">
        <v>571</v>
      </c>
      <c r="B258" s="39" t="s">
        <v>572</v>
      </c>
      <c r="C258" s="39">
        <v>0.283333333333333</v>
      </c>
      <c r="D258" s="41">
        <v>43948.0</v>
      </c>
      <c r="E258" s="39" t="s">
        <v>828</v>
      </c>
      <c r="F258" s="39" t="s">
        <v>829</v>
      </c>
      <c r="G258" s="39" t="s">
        <v>830</v>
      </c>
      <c r="H258" s="39">
        <v>420.0</v>
      </c>
      <c r="N258" s="39" t="s">
        <v>831</v>
      </c>
      <c r="R258" s="39" t="s">
        <v>832</v>
      </c>
      <c r="S258" s="39" t="s">
        <v>842</v>
      </c>
      <c r="T258" s="39" t="s">
        <v>834</v>
      </c>
      <c r="U258" s="39" t="s">
        <v>831</v>
      </c>
      <c r="W258" s="39" t="s">
        <v>302</v>
      </c>
      <c r="X258" s="39" t="s">
        <v>843</v>
      </c>
      <c r="Z258" s="39" t="s">
        <v>828</v>
      </c>
      <c r="AB258" s="39">
        <v>0.283333333333333</v>
      </c>
    </row>
    <row r="259">
      <c r="A259" s="39" t="s">
        <v>941</v>
      </c>
      <c r="B259" s="39" t="s">
        <v>942</v>
      </c>
      <c r="C259" s="39">
        <v>0.233333333333333</v>
      </c>
      <c r="D259" s="41">
        <v>43948.0</v>
      </c>
      <c r="E259" s="39" t="s">
        <v>828</v>
      </c>
      <c r="F259" s="39" t="s">
        <v>829</v>
      </c>
      <c r="G259" s="39" t="s">
        <v>830</v>
      </c>
      <c r="H259" s="39">
        <v>420.0</v>
      </c>
      <c r="N259" s="39" t="s">
        <v>938</v>
      </c>
      <c r="R259" s="39" t="s">
        <v>832</v>
      </c>
      <c r="S259" s="39" t="s">
        <v>939</v>
      </c>
      <c r="T259" s="39" t="s">
        <v>741</v>
      </c>
      <c r="U259" s="39" t="s">
        <v>938</v>
      </c>
      <c r="X259" s="39" t="s">
        <v>943</v>
      </c>
      <c r="Y259" s="39" t="s">
        <v>944</v>
      </c>
      <c r="Z259" s="39" t="s">
        <v>872</v>
      </c>
      <c r="AB259" s="39">
        <v>0.233333333333333</v>
      </c>
    </row>
    <row r="260">
      <c r="A260" s="39" t="s">
        <v>933</v>
      </c>
      <c r="B260" s="39" t="s">
        <v>934</v>
      </c>
      <c r="C260" s="39">
        <v>0.5</v>
      </c>
      <c r="D260" s="41">
        <v>43948.46875</v>
      </c>
      <c r="E260" s="39" t="s">
        <v>900</v>
      </c>
      <c r="F260" s="39" t="s">
        <v>901</v>
      </c>
      <c r="G260" s="39" t="s">
        <v>902</v>
      </c>
      <c r="H260" s="39">
        <v>420.0</v>
      </c>
      <c r="N260" s="39" t="s">
        <v>883</v>
      </c>
      <c r="R260" s="39" t="s">
        <v>832</v>
      </c>
      <c r="S260" s="39" t="s">
        <v>833</v>
      </c>
      <c r="T260" s="39" t="s">
        <v>884</v>
      </c>
      <c r="U260" s="39" t="s">
        <v>883</v>
      </c>
      <c r="W260" s="39" t="s">
        <v>96</v>
      </c>
      <c r="X260" s="39" t="s">
        <v>935</v>
      </c>
      <c r="Z260" s="39" t="s">
        <v>876</v>
      </c>
      <c r="AB260" s="39">
        <v>0.5</v>
      </c>
      <c r="AC260" s="39">
        <v>16.0</v>
      </c>
      <c r="AD260" s="39">
        <v>0.0</v>
      </c>
    </row>
    <row r="261">
      <c r="A261" s="39" t="s">
        <v>945</v>
      </c>
      <c r="B261" s="39" t="s">
        <v>946</v>
      </c>
      <c r="C261" s="39">
        <v>0.3</v>
      </c>
      <c r="D261" s="41">
        <v>43949.0</v>
      </c>
      <c r="E261" s="39" t="s">
        <v>828</v>
      </c>
      <c r="F261" s="39" t="s">
        <v>829</v>
      </c>
      <c r="G261" s="39" t="s">
        <v>830</v>
      </c>
      <c r="H261" s="39">
        <v>420.0</v>
      </c>
      <c r="N261" s="39" t="s">
        <v>947</v>
      </c>
      <c r="R261" s="39" t="s">
        <v>948</v>
      </c>
      <c r="S261" s="39" t="s">
        <v>833</v>
      </c>
      <c r="T261" s="39" t="s">
        <v>949</v>
      </c>
      <c r="U261" s="39" t="s">
        <v>947</v>
      </c>
      <c r="X261" s="39" t="s">
        <v>950</v>
      </c>
      <c r="Z261" s="39" t="s">
        <v>951</v>
      </c>
      <c r="AB261" s="39">
        <v>0.3</v>
      </c>
    </row>
    <row r="262">
      <c r="A262" s="39" t="s">
        <v>921</v>
      </c>
      <c r="B262" s="39" t="s">
        <v>922</v>
      </c>
      <c r="C262" s="39">
        <v>3.45</v>
      </c>
      <c r="D262" s="41">
        <v>43949.0</v>
      </c>
      <c r="E262" s="39" t="s">
        <v>828</v>
      </c>
      <c r="F262" s="39" t="s">
        <v>829</v>
      </c>
      <c r="G262" s="39" t="s">
        <v>830</v>
      </c>
      <c r="H262" s="39">
        <v>420.0</v>
      </c>
      <c r="N262" s="39" t="s">
        <v>831</v>
      </c>
      <c r="R262" s="39" t="s">
        <v>832</v>
      </c>
      <c r="S262" s="39" t="s">
        <v>855</v>
      </c>
      <c r="T262" s="39" t="s">
        <v>834</v>
      </c>
      <c r="U262" s="39" t="s">
        <v>831</v>
      </c>
      <c r="W262" s="39" t="s">
        <v>840</v>
      </c>
      <c r="X262" s="39" t="s">
        <v>923</v>
      </c>
      <c r="Z262" s="39" t="s">
        <v>847</v>
      </c>
      <c r="AB262" s="39">
        <v>3.45</v>
      </c>
      <c r="AC262" s="39">
        <v>24.0</v>
      </c>
      <c r="AD262" s="39">
        <v>10.5333333333333</v>
      </c>
    </row>
    <row r="263">
      <c r="A263" s="39" t="s">
        <v>918</v>
      </c>
      <c r="B263" s="39" t="s">
        <v>919</v>
      </c>
      <c r="C263" s="39">
        <v>0.35</v>
      </c>
      <c r="D263" s="41">
        <v>43949.0</v>
      </c>
      <c r="E263" s="39" t="s">
        <v>828</v>
      </c>
      <c r="F263" s="39" t="s">
        <v>829</v>
      </c>
      <c r="G263" s="39" t="s">
        <v>830</v>
      </c>
      <c r="H263" s="39">
        <v>420.0</v>
      </c>
      <c r="N263" s="39" t="s">
        <v>831</v>
      </c>
      <c r="R263" s="39" t="s">
        <v>832</v>
      </c>
      <c r="S263" s="39" t="s">
        <v>833</v>
      </c>
      <c r="T263" s="39" t="s">
        <v>834</v>
      </c>
      <c r="U263" s="39" t="s">
        <v>831</v>
      </c>
      <c r="W263" s="39" t="s">
        <v>840</v>
      </c>
      <c r="X263" s="39" t="s">
        <v>920</v>
      </c>
      <c r="Z263" s="39" t="s">
        <v>847</v>
      </c>
      <c r="AB263" s="39">
        <v>0.35</v>
      </c>
      <c r="AC263" s="39">
        <v>6.0</v>
      </c>
      <c r="AD263" s="39">
        <v>0.0</v>
      </c>
    </row>
    <row r="264">
      <c r="A264" s="39" t="s">
        <v>921</v>
      </c>
      <c r="B264" s="39" t="s">
        <v>922</v>
      </c>
      <c r="C264" s="39">
        <v>4.75</v>
      </c>
      <c r="D264" s="41">
        <v>43950.0</v>
      </c>
      <c r="E264" s="39" t="s">
        <v>828</v>
      </c>
      <c r="F264" s="39" t="s">
        <v>829</v>
      </c>
      <c r="G264" s="39" t="s">
        <v>830</v>
      </c>
      <c r="H264" s="39">
        <v>420.0</v>
      </c>
      <c r="N264" s="39" t="s">
        <v>831</v>
      </c>
      <c r="R264" s="39" t="s">
        <v>832</v>
      </c>
      <c r="S264" s="39" t="s">
        <v>855</v>
      </c>
      <c r="T264" s="39" t="s">
        <v>834</v>
      </c>
      <c r="U264" s="39" t="s">
        <v>831</v>
      </c>
      <c r="W264" s="39" t="s">
        <v>840</v>
      </c>
      <c r="X264" s="39" t="s">
        <v>923</v>
      </c>
      <c r="Z264" s="39" t="s">
        <v>847</v>
      </c>
      <c r="AB264" s="39">
        <v>4.75</v>
      </c>
      <c r="AC264" s="39">
        <v>24.0</v>
      </c>
      <c r="AD264" s="39">
        <v>10.5333333333333</v>
      </c>
    </row>
    <row r="265">
      <c r="A265" s="39" t="s">
        <v>933</v>
      </c>
      <c r="B265" s="39" t="s">
        <v>934</v>
      </c>
      <c r="C265" s="39">
        <v>1.56666666666666</v>
      </c>
      <c r="D265" s="41">
        <v>43950.0</v>
      </c>
      <c r="E265" s="39" t="s">
        <v>828</v>
      </c>
      <c r="F265" s="39" t="s">
        <v>829</v>
      </c>
      <c r="G265" s="39" t="s">
        <v>830</v>
      </c>
      <c r="H265" s="39">
        <v>420.0</v>
      </c>
      <c r="N265" s="39" t="s">
        <v>883</v>
      </c>
      <c r="R265" s="39" t="s">
        <v>832</v>
      </c>
      <c r="S265" s="39" t="s">
        <v>833</v>
      </c>
      <c r="T265" s="39" t="s">
        <v>884</v>
      </c>
      <c r="U265" s="39" t="s">
        <v>883</v>
      </c>
      <c r="W265" s="39" t="s">
        <v>96</v>
      </c>
      <c r="X265" s="39" t="s">
        <v>935</v>
      </c>
      <c r="Z265" s="39" t="s">
        <v>876</v>
      </c>
      <c r="AB265" s="39">
        <v>1.56666666666666</v>
      </c>
      <c r="AC265" s="39">
        <v>16.0</v>
      </c>
      <c r="AD265" s="39">
        <v>0.0</v>
      </c>
    </row>
    <row r="266">
      <c r="A266" s="39" t="s">
        <v>945</v>
      </c>
      <c r="B266" s="39" t="s">
        <v>946</v>
      </c>
      <c r="C266" s="39">
        <v>0.0666666666666666</v>
      </c>
      <c r="D266" s="41">
        <v>43950.0</v>
      </c>
      <c r="E266" s="39" t="s">
        <v>828</v>
      </c>
      <c r="F266" s="39" t="s">
        <v>829</v>
      </c>
      <c r="G266" s="39" t="s">
        <v>830</v>
      </c>
      <c r="H266" s="39">
        <v>420.0</v>
      </c>
      <c r="N266" s="39" t="s">
        <v>947</v>
      </c>
      <c r="R266" s="39" t="s">
        <v>948</v>
      </c>
      <c r="S266" s="39" t="s">
        <v>833</v>
      </c>
      <c r="T266" s="39" t="s">
        <v>949</v>
      </c>
      <c r="U266" s="39" t="s">
        <v>947</v>
      </c>
      <c r="X266" s="39" t="s">
        <v>950</v>
      </c>
      <c r="Z266" s="39" t="s">
        <v>951</v>
      </c>
      <c r="AB266" s="39">
        <v>0.0666666666666666</v>
      </c>
    </row>
    <row r="267">
      <c r="A267" s="39" t="s">
        <v>952</v>
      </c>
      <c r="B267" s="39" t="s">
        <v>953</v>
      </c>
      <c r="C267" s="39">
        <v>0.533333333333333</v>
      </c>
      <c r="D267" s="41">
        <v>43951.0</v>
      </c>
      <c r="E267" s="39" t="s">
        <v>828</v>
      </c>
      <c r="F267" s="39" t="s">
        <v>829</v>
      </c>
      <c r="G267" s="39" t="s">
        <v>830</v>
      </c>
      <c r="H267" s="39">
        <v>420.0</v>
      </c>
      <c r="N267" s="39" t="s">
        <v>938</v>
      </c>
      <c r="R267" s="39" t="s">
        <v>832</v>
      </c>
      <c r="S267" s="39" t="s">
        <v>939</v>
      </c>
      <c r="T267" s="39" t="s">
        <v>741</v>
      </c>
      <c r="U267" s="39" t="s">
        <v>938</v>
      </c>
      <c r="X267" s="39" t="s">
        <v>954</v>
      </c>
      <c r="Y267" s="39" t="s">
        <v>944</v>
      </c>
      <c r="Z267" s="39" t="s">
        <v>872</v>
      </c>
      <c r="AB267" s="39">
        <v>0.533333333333333</v>
      </c>
    </row>
    <row r="268">
      <c r="A268" s="39" t="s">
        <v>945</v>
      </c>
      <c r="B268" s="39" t="s">
        <v>946</v>
      </c>
      <c r="C268" s="39">
        <v>4.18333333333333</v>
      </c>
      <c r="D268" s="41">
        <v>43951.0</v>
      </c>
      <c r="E268" s="39" t="s">
        <v>828</v>
      </c>
      <c r="F268" s="39" t="s">
        <v>829</v>
      </c>
      <c r="G268" s="39" t="s">
        <v>830</v>
      </c>
      <c r="H268" s="39">
        <v>420.0</v>
      </c>
      <c r="N268" s="39" t="s">
        <v>947</v>
      </c>
      <c r="R268" s="39" t="s">
        <v>948</v>
      </c>
      <c r="S268" s="39" t="s">
        <v>833</v>
      </c>
      <c r="T268" s="39" t="s">
        <v>949</v>
      </c>
      <c r="U268" s="39" t="s">
        <v>947</v>
      </c>
      <c r="X268" s="39" t="s">
        <v>950</v>
      </c>
      <c r="Z268" s="39" t="s">
        <v>951</v>
      </c>
      <c r="AB268" s="39">
        <v>4.18333333333333</v>
      </c>
    </row>
    <row r="269">
      <c r="A269" s="39" t="s">
        <v>921</v>
      </c>
      <c r="B269" s="39" t="s">
        <v>922</v>
      </c>
      <c r="C269" s="39">
        <v>0.1</v>
      </c>
      <c r="D269" s="41">
        <v>43951.0</v>
      </c>
      <c r="E269" s="39" t="s">
        <v>828</v>
      </c>
      <c r="F269" s="39" t="s">
        <v>829</v>
      </c>
      <c r="G269" s="39" t="s">
        <v>830</v>
      </c>
      <c r="H269" s="39">
        <v>420.0</v>
      </c>
      <c r="N269" s="39" t="s">
        <v>831</v>
      </c>
      <c r="R269" s="39" t="s">
        <v>832</v>
      </c>
      <c r="S269" s="39" t="s">
        <v>855</v>
      </c>
      <c r="T269" s="39" t="s">
        <v>834</v>
      </c>
      <c r="U269" s="39" t="s">
        <v>831</v>
      </c>
      <c r="W269" s="39" t="s">
        <v>840</v>
      </c>
      <c r="X269" s="39" t="s">
        <v>923</v>
      </c>
      <c r="Z269" s="39" t="s">
        <v>847</v>
      </c>
      <c r="AB269" s="39">
        <v>0.1</v>
      </c>
      <c r="AC269" s="39">
        <v>24.0</v>
      </c>
      <c r="AD269" s="39">
        <v>10.5333333333333</v>
      </c>
    </row>
    <row r="270">
      <c r="A270" s="39" t="s">
        <v>945</v>
      </c>
      <c r="B270" s="39" t="s">
        <v>946</v>
      </c>
      <c r="C270" s="39">
        <v>0.416666666666666</v>
      </c>
      <c r="D270" s="41">
        <v>43951.510416666664</v>
      </c>
      <c r="E270" s="39" t="s">
        <v>847</v>
      </c>
      <c r="F270" s="39" t="s">
        <v>848</v>
      </c>
      <c r="G270" s="39" t="s">
        <v>849</v>
      </c>
      <c r="H270" s="39">
        <v>420.0</v>
      </c>
      <c r="N270" s="39" t="s">
        <v>947</v>
      </c>
      <c r="R270" s="39" t="s">
        <v>948</v>
      </c>
      <c r="S270" s="39" t="s">
        <v>833</v>
      </c>
      <c r="T270" s="39" t="s">
        <v>949</v>
      </c>
      <c r="U270" s="39" t="s">
        <v>947</v>
      </c>
      <c r="X270" s="39" t="s">
        <v>950</v>
      </c>
      <c r="Z270" s="39" t="s">
        <v>951</v>
      </c>
      <c r="AB270" s="39">
        <v>0.416666666666666</v>
      </c>
    </row>
    <row r="271">
      <c r="A271" s="39" t="s">
        <v>945</v>
      </c>
      <c r="B271" s="39" t="s">
        <v>946</v>
      </c>
      <c r="C271" s="39">
        <v>3.8</v>
      </c>
      <c r="D271" s="41">
        <v>43952.0</v>
      </c>
      <c r="E271" s="39" t="s">
        <v>828</v>
      </c>
      <c r="F271" s="39" t="s">
        <v>829</v>
      </c>
      <c r="G271" s="39" t="s">
        <v>830</v>
      </c>
      <c r="H271" s="39">
        <v>520.0</v>
      </c>
      <c r="N271" s="39" t="s">
        <v>947</v>
      </c>
      <c r="R271" s="39" t="s">
        <v>948</v>
      </c>
      <c r="S271" s="39" t="s">
        <v>833</v>
      </c>
      <c r="T271" s="39" t="s">
        <v>949</v>
      </c>
      <c r="U271" s="39" t="s">
        <v>947</v>
      </c>
      <c r="X271" s="39" t="s">
        <v>950</v>
      </c>
      <c r="Z271" s="39" t="s">
        <v>951</v>
      </c>
      <c r="AB271" s="39">
        <v>3.8</v>
      </c>
    </row>
    <row r="272">
      <c r="A272" s="39" t="s">
        <v>945</v>
      </c>
      <c r="B272" s="39" t="s">
        <v>946</v>
      </c>
      <c r="C272" s="39">
        <v>0.0666666666666666</v>
      </c>
      <c r="D272" s="41">
        <v>43952.6625</v>
      </c>
      <c r="E272" s="39" t="s">
        <v>847</v>
      </c>
      <c r="F272" s="39" t="s">
        <v>848</v>
      </c>
      <c r="G272" s="39" t="s">
        <v>849</v>
      </c>
      <c r="H272" s="39">
        <v>520.0</v>
      </c>
      <c r="N272" s="39" t="s">
        <v>947</v>
      </c>
      <c r="R272" s="39" t="s">
        <v>948</v>
      </c>
      <c r="S272" s="39" t="s">
        <v>833</v>
      </c>
      <c r="T272" s="39" t="s">
        <v>949</v>
      </c>
      <c r="U272" s="39" t="s">
        <v>947</v>
      </c>
      <c r="X272" s="39" t="s">
        <v>950</v>
      </c>
      <c r="Z272" s="39" t="s">
        <v>951</v>
      </c>
      <c r="AB272" s="39">
        <v>0.0666666666666666</v>
      </c>
    </row>
    <row r="273">
      <c r="A273" s="39" t="s">
        <v>945</v>
      </c>
      <c r="B273" s="39" t="s">
        <v>946</v>
      </c>
      <c r="C273" s="39">
        <v>1.66666666666666</v>
      </c>
      <c r="D273" s="41">
        <v>43955.0</v>
      </c>
      <c r="E273" s="39" t="s">
        <v>828</v>
      </c>
      <c r="F273" s="39" t="s">
        <v>829</v>
      </c>
      <c r="G273" s="39" t="s">
        <v>830</v>
      </c>
      <c r="H273" s="39">
        <v>520.0</v>
      </c>
      <c r="N273" s="39" t="s">
        <v>947</v>
      </c>
      <c r="R273" s="39" t="s">
        <v>948</v>
      </c>
      <c r="S273" s="39" t="s">
        <v>833</v>
      </c>
      <c r="T273" s="39" t="s">
        <v>949</v>
      </c>
      <c r="U273" s="39" t="s">
        <v>947</v>
      </c>
      <c r="X273" s="39" t="s">
        <v>950</v>
      </c>
      <c r="Z273" s="39" t="s">
        <v>951</v>
      </c>
      <c r="AB273" s="39">
        <v>1.66666666666666</v>
      </c>
    </row>
    <row r="274">
      <c r="A274" s="39" t="s">
        <v>952</v>
      </c>
      <c r="B274" s="39" t="s">
        <v>953</v>
      </c>
      <c r="C274" s="39">
        <v>0.583333333333333</v>
      </c>
      <c r="D274" s="41">
        <v>43955.0</v>
      </c>
      <c r="E274" s="39" t="s">
        <v>828</v>
      </c>
      <c r="F274" s="39" t="s">
        <v>829</v>
      </c>
      <c r="G274" s="39" t="s">
        <v>830</v>
      </c>
      <c r="H274" s="39">
        <v>520.0</v>
      </c>
      <c r="N274" s="39" t="s">
        <v>938</v>
      </c>
      <c r="R274" s="39" t="s">
        <v>832</v>
      </c>
      <c r="S274" s="39" t="s">
        <v>939</v>
      </c>
      <c r="T274" s="39" t="s">
        <v>741</v>
      </c>
      <c r="U274" s="39" t="s">
        <v>938</v>
      </c>
      <c r="X274" s="39" t="s">
        <v>954</v>
      </c>
      <c r="Y274" s="39" t="s">
        <v>944</v>
      </c>
      <c r="Z274" s="39" t="s">
        <v>872</v>
      </c>
      <c r="AB274" s="39">
        <v>0.583333333333333</v>
      </c>
    </row>
    <row r="275">
      <c r="A275" s="39" t="s">
        <v>955</v>
      </c>
      <c r="B275" s="39" t="s">
        <v>956</v>
      </c>
      <c r="C275" s="39">
        <v>1.31666666666666</v>
      </c>
      <c r="D275" s="41">
        <v>43955.0</v>
      </c>
      <c r="E275" s="39" t="s">
        <v>828</v>
      </c>
      <c r="F275" s="39" t="s">
        <v>829</v>
      </c>
      <c r="G275" s="39" t="s">
        <v>830</v>
      </c>
      <c r="H275" s="39">
        <v>520.0</v>
      </c>
      <c r="N275" s="39" t="s">
        <v>938</v>
      </c>
      <c r="R275" s="39" t="s">
        <v>957</v>
      </c>
      <c r="S275" s="39" t="s">
        <v>939</v>
      </c>
      <c r="T275" s="39" t="s">
        <v>741</v>
      </c>
      <c r="U275" s="39" t="s">
        <v>938</v>
      </c>
      <c r="X275" s="39" t="s">
        <v>958</v>
      </c>
      <c r="Y275" s="39" t="s">
        <v>952</v>
      </c>
      <c r="Z275" s="39" t="s">
        <v>828</v>
      </c>
      <c r="AB275" s="39">
        <v>1.31666666666666</v>
      </c>
    </row>
    <row r="276">
      <c r="A276" s="39" t="s">
        <v>933</v>
      </c>
      <c r="B276" s="39" t="s">
        <v>934</v>
      </c>
      <c r="C276" s="39">
        <v>1.0</v>
      </c>
      <c r="D276" s="41">
        <v>43956.0</v>
      </c>
      <c r="E276" s="39" t="s">
        <v>828</v>
      </c>
      <c r="F276" s="39" t="s">
        <v>829</v>
      </c>
      <c r="G276" s="39" t="s">
        <v>830</v>
      </c>
      <c r="H276" s="39">
        <v>520.0</v>
      </c>
      <c r="N276" s="39" t="s">
        <v>883</v>
      </c>
      <c r="R276" s="39" t="s">
        <v>832</v>
      </c>
      <c r="S276" s="39" t="s">
        <v>833</v>
      </c>
      <c r="T276" s="39" t="s">
        <v>884</v>
      </c>
      <c r="U276" s="39" t="s">
        <v>883</v>
      </c>
      <c r="W276" s="39" t="s">
        <v>96</v>
      </c>
      <c r="X276" s="39" t="s">
        <v>935</v>
      </c>
      <c r="Z276" s="39" t="s">
        <v>876</v>
      </c>
      <c r="AB276" s="39">
        <v>1.0</v>
      </c>
      <c r="AC276" s="39">
        <v>16.0</v>
      </c>
      <c r="AD276" s="39">
        <v>0.0</v>
      </c>
    </row>
    <row r="277">
      <c r="A277" s="39" t="s">
        <v>945</v>
      </c>
      <c r="B277" s="39" t="s">
        <v>946</v>
      </c>
      <c r="C277" s="39">
        <v>1.08333333333333</v>
      </c>
      <c r="D277" s="41">
        <v>43956.0</v>
      </c>
      <c r="E277" s="39" t="s">
        <v>828</v>
      </c>
      <c r="F277" s="39" t="s">
        <v>829</v>
      </c>
      <c r="G277" s="39" t="s">
        <v>830</v>
      </c>
      <c r="H277" s="39">
        <v>520.0</v>
      </c>
      <c r="N277" s="39" t="s">
        <v>947</v>
      </c>
      <c r="R277" s="39" t="s">
        <v>948</v>
      </c>
      <c r="S277" s="39" t="s">
        <v>833</v>
      </c>
      <c r="T277" s="39" t="s">
        <v>949</v>
      </c>
      <c r="U277" s="39" t="s">
        <v>947</v>
      </c>
      <c r="X277" s="39" t="s">
        <v>950</v>
      </c>
      <c r="Z277" s="39" t="s">
        <v>951</v>
      </c>
      <c r="AB277" s="39">
        <v>1.08333333333333</v>
      </c>
    </row>
    <row r="278">
      <c r="A278" s="39" t="s">
        <v>571</v>
      </c>
      <c r="B278" s="39" t="s">
        <v>572</v>
      </c>
      <c r="C278" s="39">
        <v>0.166666666666666</v>
      </c>
      <c r="D278" s="41">
        <v>43956.0</v>
      </c>
      <c r="E278" s="39" t="s">
        <v>828</v>
      </c>
      <c r="F278" s="39" t="s">
        <v>829</v>
      </c>
      <c r="G278" s="39" t="s">
        <v>830</v>
      </c>
      <c r="H278" s="39">
        <v>520.0</v>
      </c>
      <c r="N278" s="39" t="s">
        <v>831</v>
      </c>
      <c r="R278" s="39" t="s">
        <v>832</v>
      </c>
      <c r="S278" s="39" t="s">
        <v>842</v>
      </c>
      <c r="T278" s="39" t="s">
        <v>834</v>
      </c>
      <c r="U278" s="39" t="s">
        <v>831</v>
      </c>
      <c r="W278" s="39" t="s">
        <v>302</v>
      </c>
      <c r="X278" s="39" t="s">
        <v>843</v>
      </c>
      <c r="Z278" s="39" t="s">
        <v>828</v>
      </c>
      <c r="AB278" s="39">
        <v>0.166666666666666</v>
      </c>
    </row>
    <row r="279">
      <c r="A279" s="39" t="s">
        <v>921</v>
      </c>
      <c r="B279" s="39" t="s">
        <v>922</v>
      </c>
      <c r="C279" s="39">
        <v>1.13333333333333</v>
      </c>
      <c r="D279" s="41">
        <v>43956.0</v>
      </c>
      <c r="E279" s="39" t="s">
        <v>828</v>
      </c>
      <c r="F279" s="39" t="s">
        <v>829</v>
      </c>
      <c r="G279" s="39" t="s">
        <v>830</v>
      </c>
      <c r="H279" s="39">
        <v>520.0</v>
      </c>
      <c r="N279" s="39" t="s">
        <v>831</v>
      </c>
      <c r="R279" s="39" t="s">
        <v>832</v>
      </c>
      <c r="S279" s="39" t="s">
        <v>855</v>
      </c>
      <c r="T279" s="39" t="s">
        <v>834</v>
      </c>
      <c r="U279" s="39" t="s">
        <v>831</v>
      </c>
      <c r="W279" s="39" t="s">
        <v>840</v>
      </c>
      <c r="X279" s="39" t="s">
        <v>923</v>
      </c>
      <c r="Z279" s="39" t="s">
        <v>847</v>
      </c>
      <c r="AB279" s="39">
        <v>1.13333333333333</v>
      </c>
      <c r="AC279" s="39">
        <v>24.0</v>
      </c>
      <c r="AD279" s="39">
        <v>10.5333333333333</v>
      </c>
    </row>
    <row r="280">
      <c r="A280" s="39" t="s">
        <v>945</v>
      </c>
      <c r="B280" s="39" t="s">
        <v>946</v>
      </c>
      <c r="C280" s="39">
        <v>0.333333333333333</v>
      </c>
      <c r="D280" s="41">
        <v>43956.0</v>
      </c>
      <c r="E280" s="39" t="s">
        <v>828</v>
      </c>
      <c r="F280" s="39" t="s">
        <v>829</v>
      </c>
      <c r="G280" s="39" t="s">
        <v>830</v>
      </c>
      <c r="H280" s="39">
        <v>520.0</v>
      </c>
      <c r="N280" s="39" t="s">
        <v>947</v>
      </c>
      <c r="R280" s="39" t="s">
        <v>948</v>
      </c>
      <c r="S280" s="39" t="s">
        <v>833</v>
      </c>
      <c r="T280" s="39" t="s">
        <v>949</v>
      </c>
      <c r="U280" s="39" t="s">
        <v>947</v>
      </c>
      <c r="X280" s="39" t="s">
        <v>950</v>
      </c>
      <c r="Z280" s="39" t="s">
        <v>951</v>
      </c>
      <c r="AB280" s="39">
        <v>0.333333333333333</v>
      </c>
    </row>
    <row r="281">
      <c r="A281" s="39" t="s">
        <v>945</v>
      </c>
      <c r="B281" s="39" t="s">
        <v>946</v>
      </c>
      <c r="C281" s="39">
        <v>0.1</v>
      </c>
      <c r="D281" s="41">
        <v>43956.634722222225</v>
      </c>
      <c r="E281" s="39" t="s">
        <v>847</v>
      </c>
      <c r="F281" s="39" t="s">
        <v>848</v>
      </c>
      <c r="G281" s="39" t="s">
        <v>849</v>
      </c>
      <c r="H281" s="39">
        <v>520.0</v>
      </c>
      <c r="N281" s="39" t="s">
        <v>947</v>
      </c>
      <c r="R281" s="39" t="s">
        <v>948</v>
      </c>
      <c r="S281" s="39" t="s">
        <v>833</v>
      </c>
      <c r="T281" s="39" t="s">
        <v>949</v>
      </c>
      <c r="U281" s="39" t="s">
        <v>947</v>
      </c>
      <c r="X281" s="39" t="s">
        <v>950</v>
      </c>
      <c r="Z281" s="39" t="s">
        <v>951</v>
      </c>
      <c r="AB281" s="39">
        <v>0.1</v>
      </c>
    </row>
    <row r="282">
      <c r="A282" s="39" t="s">
        <v>945</v>
      </c>
      <c r="B282" s="39" t="s">
        <v>946</v>
      </c>
      <c r="C282" s="39">
        <v>3.75</v>
      </c>
      <c r="D282" s="41">
        <v>43957.0</v>
      </c>
      <c r="E282" s="39" t="s">
        <v>828</v>
      </c>
      <c r="F282" s="39" t="s">
        <v>829</v>
      </c>
      <c r="G282" s="39" t="s">
        <v>830</v>
      </c>
      <c r="H282" s="39">
        <v>520.0</v>
      </c>
      <c r="N282" s="39" t="s">
        <v>947</v>
      </c>
      <c r="R282" s="39" t="s">
        <v>948</v>
      </c>
      <c r="S282" s="39" t="s">
        <v>833</v>
      </c>
      <c r="T282" s="39" t="s">
        <v>949</v>
      </c>
      <c r="U282" s="39" t="s">
        <v>947</v>
      </c>
      <c r="X282" s="39" t="s">
        <v>950</v>
      </c>
      <c r="Z282" s="39" t="s">
        <v>951</v>
      </c>
      <c r="AB282" s="39">
        <v>3.75</v>
      </c>
    </row>
    <row r="283">
      <c r="A283" s="39" t="s">
        <v>921</v>
      </c>
      <c r="B283" s="39" t="s">
        <v>922</v>
      </c>
      <c r="C283" s="39">
        <v>2.81666666666666</v>
      </c>
      <c r="D283" s="41">
        <v>43957.0</v>
      </c>
      <c r="E283" s="39" t="s">
        <v>828</v>
      </c>
      <c r="F283" s="39" t="s">
        <v>829</v>
      </c>
      <c r="G283" s="39" t="s">
        <v>830</v>
      </c>
      <c r="H283" s="39">
        <v>520.0</v>
      </c>
      <c r="N283" s="39" t="s">
        <v>831</v>
      </c>
      <c r="R283" s="39" t="s">
        <v>832</v>
      </c>
      <c r="S283" s="39" t="s">
        <v>855</v>
      </c>
      <c r="T283" s="39" t="s">
        <v>834</v>
      </c>
      <c r="U283" s="39" t="s">
        <v>831</v>
      </c>
      <c r="W283" s="39" t="s">
        <v>840</v>
      </c>
      <c r="X283" s="39" t="s">
        <v>923</v>
      </c>
      <c r="Z283" s="39" t="s">
        <v>847</v>
      </c>
      <c r="AB283" s="39">
        <v>2.81666666666666</v>
      </c>
      <c r="AC283" s="39">
        <v>24.0</v>
      </c>
      <c r="AD283" s="39">
        <v>10.5333333333333</v>
      </c>
    </row>
    <row r="284">
      <c r="A284" s="39" t="s">
        <v>945</v>
      </c>
      <c r="B284" s="39" t="s">
        <v>946</v>
      </c>
      <c r="C284" s="39">
        <v>0.0833333333333333</v>
      </c>
      <c r="D284" s="41">
        <v>43957.59444444445</v>
      </c>
      <c r="E284" s="39" t="s">
        <v>847</v>
      </c>
      <c r="F284" s="39" t="s">
        <v>848</v>
      </c>
      <c r="G284" s="39" t="s">
        <v>849</v>
      </c>
      <c r="H284" s="39">
        <v>520.0</v>
      </c>
      <c r="N284" s="39" t="s">
        <v>947</v>
      </c>
      <c r="R284" s="39" t="s">
        <v>948</v>
      </c>
      <c r="S284" s="39" t="s">
        <v>833</v>
      </c>
      <c r="T284" s="39" t="s">
        <v>949</v>
      </c>
      <c r="U284" s="39" t="s">
        <v>947</v>
      </c>
      <c r="X284" s="39" t="s">
        <v>950</v>
      </c>
      <c r="Z284" s="39" t="s">
        <v>951</v>
      </c>
      <c r="AB284" s="39">
        <v>0.0833333333333333</v>
      </c>
    </row>
    <row r="285">
      <c r="A285" s="39" t="s">
        <v>918</v>
      </c>
      <c r="B285" s="39" t="s">
        <v>919</v>
      </c>
      <c r="C285" s="39">
        <v>0.7</v>
      </c>
      <c r="D285" s="41">
        <v>43957.63611111111</v>
      </c>
      <c r="E285" s="39" t="s">
        <v>847</v>
      </c>
      <c r="F285" s="39" t="s">
        <v>848</v>
      </c>
      <c r="G285" s="39" t="s">
        <v>849</v>
      </c>
      <c r="H285" s="39">
        <v>520.0</v>
      </c>
      <c r="N285" s="39" t="s">
        <v>831</v>
      </c>
      <c r="R285" s="39" t="s">
        <v>832</v>
      </c>
      <c r="S285" s="39" t="s">
        <v>833</v>
      </c>
      <c r="T285" s="39" t="s">
        <v>834</v>
      </c>
      <c r="U285" s="39" t="s">
        <v>831</v>
      </c>
      <c r="W285" s="39" t="s">
        <v>840</v>
      </c>
      <c r="X285" s="39" t="s">
        <v>920</v>
      </c>
      <c r="Z285" s="39" t="s">
        <v>847</v>
      </c>
      <c r="AB285" s="39">
        <v>0.7</v>
      </c>
      <c r="AC285" s="39">
        <v>6.0</v>
      </c>
      <c r="AD285" s="39">
        <v>0.0</v>
      </c>
    </row>
    <row r="286">
      <c r="A286" s="39" t="s">
        <v>915</v>
      </c>
      <c r="B286" s="39" t="s">
        <v>916</v>
      </c>
      <c r="C286" s="39">
        <v>0.116666666666666</v>
      </c>
      <c r="D286" s="41">
        <v>43957.67361111111</v>
      </c>
      <c r="E286" s="39" t="s">
        <v>847</v>
      </c>
      <c r="F286" s="39" t="s">
        <v>848</v>
      </c>
      <c r="G286" s="39" t="s">
        <v>849</v>
      </c>
      <c r="H286" s="39">
        <v>520.0</v>
      </c>
      <c r="N286" s="39" t="s">
        <v>831</v>
      </c>
      <c r="R286" s="39" t="s">
        <v>832</v>
      </c>
      <c r="S286" s="39" t="s">
        <v>833</v>
      </c>
      <c r="T286" s="39" t="s">
        <v>834</v>
      </c>
      <c r="U286" s="39" t="s">
        <v>831</v>
      </c>
      <c r="W286" s="39" t="s">
        <v>840</v>
      </c>
      <c r="X286" s="39" t="s">
        <v>917</v>
      </c>
      <c r="Z286" s="39" t="s">
        <v>847</v>
      </c>
      <c r="AB286" s="39">
        <v>0.116666666666666</v>
      </c>
      <c r="AC286" s="39">
        <v>8.0</v>
      </c>
      <c r="AD286" s="39">
        <v>0.0</v>
      </c>
    </row>
    <row r="287">
      <c r="A287" s="39" t="s">
        <v>933</v>
      </c>
      <c r="B287" s="39" t="s">
        <v>934</v>
      </c>
      <c r="C287" s="39">
        <v>0.45</v>
      </c>
      <c r="D287" s="41">
        <v>43957.68125</v>
      </c>
      <c r="E287" s="39" t="s">
        <v>847</v>
      </c>
      <c r="F287" s="39" t="s">
        <v>848</v>
      </c>
      <c r="G287" s="39" t="s">
        <v>849</v>
      </c>
      <c r="H287" s="39">
        <v>520.0</v>
      </c>
      <c r="N287" s="39" t="s">
        <v>883</v>
      </c>
      <c r="R287" s="39" t="s">
        <v>832</v>
      </c>
      <c r="S287" s="39" t="s">
        <v>833</v>
      </c>
      <c r="T287" s="39" t="s">
        <v>884</v>
      </c>
      <c r="U287" s="39" t="s">
        <v>883</v>
      </c>
      <c r="W287" s="39" t="s">
        <v>96</v>
      </c>
      <c r="X287" s="39" t="s">
        <v>935</v>
      </c>
      <c r="Z287" s="39" t="s">
        <v>876</v>
      </c>
      <c r="AB287" s="39">
        <v>0.45</v>
      </c>
      <c r="AC287" s="39">
        <v>16.0</v>
      </c>
      <c r="AD287" s="39">
        <v>0.0</v>
      </c>
    </row>
    <row r="288">
      <c r="A288" s="39" t="s">
        <v>918</v>
      </c>
      <c r="B288" s="39" t="s">
        <v>919</v>
      </c>
      <c r="C288" s="39">
        <v>0.183333333333333</v>
      </c>
      <c r="D288" s="41">
        <v>43958.0</v>
      </c>
      <c r="E288" s="39" t="s">
        <v>828</v>
      </c>
      <c r="F288" s="39" t="s">
        <v>829</v>
      </c>
      <c r="G288" s="39" t="s">
        <v>830</v>
      </c>
      <c r="H288" s="39">
        <v>520.0</v>
      </c>
      <c r="N288" s="39" t="s">
        <v>831</v>
      </c>
      <c r="R288" s="39" t="s">
        <v>832</v>
      </c>
      <c r="S288" s="39" t="s">
        <v>833</v>
      </c>
      <c r="T288" s="39" t="s">
        <v>834</v>
      </c>
      <c r="U288" s="39" t="s">
        <v>831</v>
      </c>
      <c r="W288" s="39" t="s">
        <v>840</v>
      </c>
      <c r="X288" s="39" t="s">
        <v>920</v>
      </c>
      <c r="Z288" s="39" t="s">
        <v>847</v>
      </c>
      <c r="AB288" s="39">
        <v>0.183333333333333</v>
      </c>
      <c r="AC288" s="39">
        <v>6.0</v>
      </c>
      <c r="AD288" s="39">
        <v>0.0</v>
      </c>
    </row>
    <row r="289">
      <c r="A289" s="39" t="s">
        <v>945</v>
      </c>
      <c r="B289" s="39" t="s">
        <v>946</v>
      </c>
      <c r="C289" s="39">
        <v>5.51666666666666</v>
      </c>
      <c r="D289" s="41">
        <v>43958.0</v>
      </c>
      <c r="E289" s="39" t="s">
        <v>828</v>
      </c>
      <c r="F289" s="39" t="s">
        <v>829</v>
      </c>
      <c r="G289" s="39" t="s">
        <v>830</v>
      </c>
      <c r="H289" s="39">
        <v>520.0</v>
      </c>
      <c r="N289" s="39" t="s">
        <v>947</v>
      </c>
      <c r="R289" s="39" t="s">
        <v>948</v>
      </c>
      <c r="S289" s="39" t="s">
        <v>833</v>
      </c>
      <c r="T289" s="39" t="s">
        <v>949</v>
      </c>
      <c r="U289" s="39" t="s">
        <v>947</v>
      </c>
      <c r="X289" s="39" t="s">
        <v>950</v>
      </c>
      <c r="Z289" s="39" t="s">
        <v>951</v>
      </c>
      <c r="AB289" s="39">
        <v>5.51666666666666</v>
      </c>
    </row>
    <row r="290">
      <c r="A290" s="39" t="s">
        <v>933</v>
      </c>
      <c r="B290" s="39" t="s">
        <v>934</v>
      </c>
      <c r="C290" s="39">
        <v>0.65</v>
      </c>
      <c r="D290" s="41">
        <v>43958.0</v>
      </c>
      <c r="E290" s="39" t="s">
        <v>828</v>
      </c>
      <c r="F290" s="39" t="s">
        <v>829</v>
      </c>
      <c r="G290" s="39" t="s">
        <v>830</v>
      </c>
      <c r="H290" s="39">
        <v>520.0</v>
      </c>
      <c r="N290" s="39" t="s">
        <v>883</v>
      </c>
      <c r="R290" s="39" t="s">
        <v>832</v>
      </c>
      <c r="S290" s="39" t="s">
        <v>833</v>
      </c>
      <c r="T290" s="39" t="s">
        <v>884</v>
      </c>
      <c r="U290" s="39" t="s">
        <v>883</v>
      </c>
      <c r="W290" s="39" t="s">
        <v>96</v>
      </c>
      <c r="X290" s="39" t="s">
        <v>935</v>
      </c>
      <c r="Z290" s="39" t="s">
        <v>876</v>
      </c>
      <c r="AB290" s="39">
        <v>0.65</v>
      </c>
      <c r="AC290" s="39">
        <v>16.0</v>
      </c>
      <c r="AD290" s="39">
        <v>0.0</v>
      </c>
    </row>
    <row r="291">
      <c r="A291" s="39" t="s">
        <v>945</v>
      </c>
      <c r="B291" s="39" t="s">
        <v>946</v>
      </c>
      <c r="C291" s="39">
        <v>1.5</v>
      </c>
      <c r="D291" s="41">
        <v>43958.0</v>
      </c>
      <c r="E291" s="39" t="s">
        <v>872</v>
      </c>
      <c r="F291" s="39" t="s">
        <v>724</v>
      </c>
      <c r="G291" s="39" t="s">
        <v>830</v>
      </c>
      <c r="H291" s="39">
        <v>520.0</v>
      </c>
      <c r="N291" s="39" t="s">
        <v>947</v>
      </c>
      <c r="R291" s="39" t="s">
        <v>948</v>
      </c>
      <c r="S291" s="39" t="s">
        <v>833</v>
      </c>
      <c r="T291" s="39" t="s">
        <v>949</v>
      </c>
      <c r="U291" s="39" t="s">
        <v>947</v>
      </c>
      <c r="X291" s="39" t="s">
        <v>959</v>
      </c>
      <c r="Z291" s="39" t="s">
        <v>951</v>
      </c>
      <c r="AB291" s="39">
        <v>1.5</v>
      </c>
    </row>
    <row r="292">
      <c r="A292" s="39" t="s">
        <v>945</v>
      </c>
      <c r="B292" s="39" t="s">
        <v>946</v>
      </c>
      <c r="C292" s="39">
        <v>0.333333333333333</v>
      </c>
      <c r="D292" s="41">
        <v>43958.75625</v>
      </c>
      <c r="E292" s="39" t="s">
        <v>847</v>
      </c>
      <c r="F292" s="39" t="s">
        <v>848</v>
      </c>
      <c r="G292" s="39" t="s">
        <v>849</v>
      </c>
      <c r="H292" s="39">
        <v>520.0</v>
      </c>
      <c r="N292" s="39" t="s">
        <v>947</v>
      </c>
      <c r="R292" s="39" t="s">
        <v>948</v>
      </c>
      <c r="S292" s="39" t="s">
        <v>833</v>
      </c>
      <c r="T292" s="39" t="s">
        <v>949</v>
      </c>
      <c r="U292" s="39" t="s">
        <v>947</v>
      </c>
      <c r="X292" s="39" t="s">
        <v>950</v>
      </c>
      <c r="Z292" s="39" t="s">
        <v>951</v>
      </c>
      <c r="AB292" s="39">
        <v>0.333333333333333</v>
      </c>
    </row>
    <row r="293">
      <c r="A293" s="39" t="s">
        <v>945</v>
      </c>
      <c r="B293" s="39" t="s">
        <v>946</v>
      </c>
      <c r="C293" s="39">
        <v>4.06666666666666</v>
      </c>
      <c r="D293" s="41">
        <v>43959.0</v>
      </c>
      <c r="E293" s="39" t="s">
        <v>828</v>
      </c>
      <c r="F293" s="39" t="s">
        <v>829</v>
      </c>
      <c r="G293" s="39" t="s">
        <v>830</v>
      </c>
      <c r="H293" s="39">
        <v>520.0</v>
      </c>
      <c r="N293" s="39" t="s">
        <v>947</v>
      </c>
      <c r="R293" s="39" t="s">
        <v>948</v>
      </c>
      <c r="S293" s="39" t="s">
        <v>833</v>
      </c>
      <c r="T293" s="39" t="s">
        <v>949</v>
      </c>
      <c r="U293" s="39" t="s">
        <v>947</v>
      </c>
      <c r="X293" s="39" t="s">
        <v>950</v>
      </c>
      <c r="Z293" s="39" t="s">
        <v>951</v>
      </c>
      <c r="AB293" s="39">
        <v>4.06666666666666</v>
      </c>
    </row>
    <row r="294">
      <c r="A294" s="39" t="s">
        <v>945</v>
      </c>
      <c r="B294" s="39" t="s">
        <v>946</v>
      </c>
      <c r="C294" s="39">
        <v>0.333333333333333</v>
      </c>
      <c r="D294" s="41">
        <v>43959.56319444445</v>
      </c>
      <c r="E294" s="39" t="s">
        <v>847</v>
      </c>
      <c r="F294" s="39" t="s">
        <v>848</v>
      </c>
      <c r="G294" s="39" t="s">
        <v>849</v>
      </c>
      <c r="H294" s="39">
        <v>520.0</v>
      </c>
      <c r="N294" s="39" t="s">
        <v>947</v>
      </c>
      <c r="R294" s="39" t="s">
        <v>948</v>
      </c>
      <c r="S294" s="39" t="s">
        <v>833</v>
      </c>
      <c r="T294" s="39" t="s">
        <v>949</v>
      </c>
      <c r="U294" s="39" t="s">
        <v>947</v>
      </c>
      <c r="X294" s="39" t="s">
        <v>950</v>
      </c>
      <c r="Z294" s="39" t="s">
        <v>951</v>
      </c>
      <c r="AB294" s="39">
        <v>0.333333333333333</v>
      </c>
    </row>
    <row r="295">
      <c r="A295" s="39" t="s">
        <v>571</v>
      </c>
      <c r="B295" s="39" t="s">
        <v>572</v>
      </c>
      <c r="C295" s="39">
        <v>0.166666666666666</v>
      </c>
      <c r="D295" s="41">
        <v>43962.0</v>
      </c>
      <c r="E295" s="39" t="s">
        <v>828</v>
      </c>
      <c r="F295" s="39" t="s">
        <v>829</v>
      </c>
      <c r="G295" s="39" t="s">
        <v>830</v>
      </c>
      <c r="H295" s="39">
        <v>520.0</v>
      </c>
      <c r="N295" s="39" t="s">
        <v>831</v>
      </c>
      <c r="R295" s="39" t="s">
        <v>832</v>
      </c>
      <c r="S295" s="39" t="s">
        <v>842</v>
      </c>
      <c r="T295" s="39" t="s">
        <v>834</v>
      </c>
      <c r="U295" s="39" t="s">
        <v>831</v>
      </c>
      <c r="W295" s="39" t="s">
        <v>302</v>
      </c>
      <c r="X295" s="39" t="s">
        <v>843</v>
      </c>
      <c r="Z295" s="39" t="s">
        <v>828</v>
      </c>
      <c r="AB295" s="39">
        <v>0.166666666666666</v>
      </c>
    </row>
    <row r="296">
      <c r="A296" s="39" t="s">
        <v>945</v>
      </c>
      <c r="B296" s="39" t="s">
        <v>946</v>
      </c>
      <c r="C296" s="39">
        <v>3.85</v>
      </c>
      <c r="D296" s="41">
        <v>43962.0</v>
      </c>
      <c r="E296" s="39" t="s">
        <v>828</v>
      </c>
      <c r="F296" s="39" t="s">
        <v>829</v>
      </c>
      <c r="G296" s="39" t="s">
        <v>830</v>
      </c>
      <c r="H296" s="39">
        <v>520.0</v>
      </c>
      <c r="N296" s="39" t="s">
        <v>947</v>
      </c>
      <c r="R296" s="39" t="s">
        <v>948</v>
      </c>
      <c r="S296" s="39" t="s">
        <v>833</v>
      </c>
      <c r="T296" s="39" t="s">
        <v>949</v>
      </c>
      <c r="U296" s="39" t="s">
        <v>947</v>
      </c>
      <c r="X296" s="39" t="s">
        <v>950</v>
      </c>
      <c r="Z296" s="39" t="s">
        <v>951</v>
      </c>
      <c r="AB296" s="39">
        <v>3.85</v>
      </c>
    </row>
    <row r="297">
      <c r="A297" s="39" t="s">
        <v>945</v>
      </c>
      <c r="B297" s="39" t="s">
        <v>946</v>
      </c>
      <c r="C297" s="39">
        <v>1.0</v>
      </c>
      <c r="D297" s="41">
        <v>43962.59861111111</v>
      </c>
      <c r="E297" s="39" t="s">
        <v>847</v>
      </c>
      <c r="F297" s="39" t="s">
        <v>848</v>
      </c>
      <c r="G297" s="39" t="s">
        <v>849</v>
      </c>
      <c r="H297" s="39">
        <v>520.0</v>
      </c>
      <c r="N297" s="39" t="s">
        <v>947</v>
      </c>
      <c r="R297" s="39" t="s">
        <v>948</v>
      </c>
      <c r="S297" s="39" t="s">
        <v>833</v>
      </c>
      <c r="T297" s="39" t="s">
        <v>949</v>
      </c>
      <c r="U297" s="39" t="s">
        <v>947</v>
      </c>
      <c r="X297" s="39" t="s">
        <v>950</v>
      </c>
      <c r="Z297" s="39" t="s">
        <v>951</v>
      </c>
      <c r="AB297" s="39">
        <v>1.0</v>
      </c>
    </row>
    <row r="298">
      <c r="A298" s="39" t="s">
        <v>933</v>
      </c>
      <c r="B298" s="39" t="s">
        <v>934</v>
      </c>
      <c r="C298" s="39">
        <v>0.333333333333333</v>
      </c>
      <c r="D298" s="41">
        <v>43962.774305555555</v>
      </c>
      <c r="E298" s="39" t="s">
        <v>847</v>
      </c>
      <c r="F298" s="39" t="s">
        <v>848</v>
      </c>
      <c r="G298" s="39" t="s">
        <v>849</v>
      </c>
      <c r="H298" s="39">
        <v>520.0</v>
      </c>
      <c r="N298" s="39" t="s">
        <v>883</v>
      </c>
      <c r="R298" s="39" t="s">
        <v>832</v>
      </c>
      <c r="S298" s="39" t="s">
        <v>833</v>
      </c>
      <c r="T298" s="39" t="s">
        <v>884</v>
      </c>
      <c r="U298" s="39" t="s">
        <v>883</v>
      </c>
      <c r="W298" s="39" t="s">
        <v>96</v>
      </c>
      <c r="X298" s="39" t="s">
        <v>935</v>
      </c>
      <c r="Z298" s="39" t="s">
        <v>876</v>
      </c>
      <c r="AB298" s="39">
        <v>0.333333333333333</v>
      </c>
      <c r="AC298" s="39">
        <v>16.0</v>
      </c>
      <c r="AD298" s="39">
        <v>0.0</v>
      </c>
    </row>
    <row r="299">
      <c r="A299" s="39" t="s">
        <v>933</v>
      </c>
      <c r="B299" s="39" t="s">
        <v>934</v>
      </c>
      <c r="C299" s="39">
        <v>0.1</v>
      </c>
      <c r="D299" s="41">
        <v>43963.0</v>
      </c>
      <c r="E299" s="39" t="s">
        <v>828</v>
      </c>
      <c r="F299" s="39" t="s">
        <v>829</v>
      </c>
      <c r="G299" s="39" t="s">
        <v>830</v>
      </c>
      <c r="H299" s="39">
        <v>520.0</v>
      </c>
      <c r="N299" s="39" t="s">
        <v>883</v>
      </c>
      <c r="R299" s="39" t="s">
        <v>832</v>
      </c>
      <c r="S299" s="39" t="s">
        <v>833</v>
      </c>
      <c r="T299" s="39" t="s">
        <v>884</v>
      </c>
      <c r="U299" s="39" t="s">
        <v>883</v>
      </c>
      <c r="W299" s="39" t="s">
        <v>96</v>
      </c>
      <c r="X299" s="39" t="s">
        <v>935</v>
      </c>
      <c r="Z299" s="39" t="s">
        <v>876</v>
      </c>
      <c r="AB299" s="39">
        <v>0.1</v>
      </c>
      <c r="AC299" s="39">
        <v>16.0</v>
      </c>
      <c r="AD299" s="39">
        <v>0.0</v>
      </c>
    </row>
    <row r="300">
      <c r="A300" s="39" t="s">
        <v>571</v>
      </c>
      <c r="B300" s="39" t="s">
        <v>572</v>
      </c>
      <c r="C300" s="39">
        <v>0.266666666666666</v>
      </c>
      <c r="D300" s="41">
        <v>43963.0</v>
      </c>
      <c r="E300" s="39" t="s">
        <v>828</v>
      </c>
      <c r="F300" s="39" t="s">
        <v>829</v>
      </c>
      <c r="G300" s="39" t="s">
        <v>830</v>
      </c>
      <c r="H300" s="39">
        <v>520.0</v>
      </c>
      <c r="N300" s="39" t="s">
        <v>831</v>
      </c>
      <c r="R300" s="39" t="s">
        <v>832</v>
      </c>
      <c r="S300" s="39" t="s">
        <v>842</v>
      </c>
      <c r="T300" s="39" t="s">
        <v>834</v>
      </c>
      <c r="U300" s="39" t="s">
        <v>831</v>
      </c>
      <c r="W300" s="39" t="s">
        <v>302</v>
      </c>
      <c r="X300" s="39" t="s">
        <v>843</v>
      </c>
      <c r="Z300" s="39" t="s">
        <v>828</v>
      </c>
      <c r="AB300" s="39">
        <v>0.266666666666666</v>
      </c>
    </row>
    <row r="301">
      <c r="A301" s="39" t="s">
        <v>918</v>
      </c>
      <c r="B301" s="39" t="s">
        <v>919</v>
      </c>
      <c r="C301" s="39">
        <v>0.733333333333333</v>
      </c>
      <c r="D301" s="41">
        <v>43964.0</v>
      </c>
      <c r="E301" s="39" t="s">
        <v>828</v>
      </c>
      <c r="F301" s="39" t="s">
        <v>829</v>
      </c>
      <c r="G301" s="39" t="s">
        <v>830</v>
      </c>
      <c r="H301" s="39">
        <v>520.0</v>
      </c>
      <c r="N301" s="39" t="s">
        <v>831</v>
      </c>
      <c r="R301" s="39" t="s">
        <v>832</v>
      </c>
      <c r="S301" s="39" t="s">
        <v>833</v>
      </c>
      <c r="T301" s="39" t="s">
        <v>834</v>
      </c>
      <c r="U301" s="39" t="s">
        <v>831</v>
      </c>
      <c r="W301" s="39" t="s">
        <v>840</v>
      </c>
      <c r="X301" s="39" t="s">
        <v>920</v>
      </c>
      <c r="Z301" s="39" t="s">
        <v>847</v>
      </c>
      <c r="AB301" s="39">
        <v>0.733333333333333</v>
      </c>
      <c r="AC301" s="39">
        <v>6.0</v>
      </c>
      <c r="AD301" s="39">
        <v>0.0</v>
      </c>
    </row>
    <row r="302">
      <c r="A302" s="39" t="s">
        <v>933</v>
      </c>
      <c r="B302" s="39" t="s">
        <v>934</v>
      </c>
      <c r="C302" s="39">
        <v>0.45</v>
      </c>
      <c r="D302" s="41">
        <v>43964.0</v>
      </c>
      <c r="E302" s="39" t="s">
        <v>828</v>
      </c>
      <c r="F302" s="39" t="s">
        <v>829</v>
      </c>
      <c r="G302" s="39" t="s">
        <v>830</v>
      </c>
      <c r="H302" s="39">
        <v>520.0</v>
      </c>
      <c r="N302" s="39" t="s">
        <v>883</v>
      </c>
      <c r="R302" s="39" t="s">
        <v>832</v>
      </c>
      <c r="S302" s="39" t="s">
        <v>833</v>
      </c>
      <c r="T302" s="39" t="s">
        <v>884</v>
      </c>
      <c r="U302" s="39" t="s">
        <v>883</v>
      </c>
      <c r="W302" s="39" t="s">
        <v>96</v>
      </c>
      <c r="X302" s="39" t="s">
        <v>935</v>
      </c>
      <c r="Z302" s="39" t="s">
        <v>876</v>
      </c>
      <c r="AB302" s="39">
        <v>0.45</v>
      </c>
      <c r="AC302" s="39">
        <v>16.0</v>
      </c>
      <c r="AD302" s="39">
        <v>0.0</v>
      </c>
    </row>
    <row r="303">
      <c r="A303" s="39" t="s">
        <v>941</v>
      </c>
      <c r="B303" s="39" t="s">
        <v>942</v>
      </c>
      <c r="C303" s="39">
        <v>1.75</v>
      </c>
      <c r="D303" s="41">
        <v>43964.0</v>
      </c>
      <c r="E303" s="39" t="s">
        <v>828</v>
      </c>
      <c r="F303" s="39" t="s">
        <v>829</v>
      </c>
      <c r="G303" s="39" t="s">
        <v>830</v>
      </c>
      <c r="H303" s="39">
        <v>520.0</v>
      </c>
      <c r="N303" s="39" t="s">
        <v>938</v>
      </c>
      <c r="R303" s="39" t="s">
        <v>832</v>
      </c>
      <c r="S303" s="39" t="s">
        <v>939</v>
      </c>
      <c r="T303" s="39" t="s">
        <v>741</v>
      </c>
      <c r="U303" s="39" t="s">
        <v>938</v>
      </c>
      <c r="X303" s="39" t="s">
        <v>943</v>
      </c>
      <c r="Y303" s="39" t="s">
        <v>944</v>
      </c>
      <c r="Z303" s="39" t="s">
        <v>872</v>
      </c>
      <c r="AB303" s="39">
        <v>1.75</v>
      </c>
    </row>
    <row r="304">
      <c r="A304" s="39" t="s">
        <v>915</v>
      </c>
      <c r="B304" s="39" t="s">
        <v>916</v>
      </c>
      <c r="C304" s="39">
        <v>0.716666666666666</v>
      </c>
      <c r="D304" s="41">
        <v>43964.0</v>
      </c>
      <c r="E304" s="39" t="s">
        <v>828</v>
      </c>
      <c r="F304" s="39" t="s">
        <v>829</v>
      </c>
      <c r="G304" s="39" t="s">
        <v>830</v>
      </c>
      <c r="H304" s="39">
        <v>520.0</v>
      </c>
      <c r="N304" s="39" t="s">
        <v>831</v>
      </c>
      <c r="R304" s="39" t="s">
        <v>832</v>
      </c>
      <c r="S304" s="39" t="s">
        <v>833</v>
      </c>
      <c r="T304" s="39" t="s">
        <v>834</v>
      </c>
      <c r="U304" s="39" t="s">
        <v>831</v>
      </c>
      <c r="W304" s="39" t="s">
        <v>840</v>
      </c>
      <c r="X304" s="39" t="s">
        <v>917</v>
      </c>
      <c r="Z304" s="39" t="s">
        <v>847</v>
      </c>
      <c r="AB304" s="39">
        <v>0.716666666666666</v>
      </c>
      <c r="AC304" s="39">
        <v>8.0</v>
      </c>
      <c r="AD304" s="39">
        <v>0.0</v>
      </c>
    </row>
    <row r="305">
      <c r="A305" s="39" t="s">
        <v>960</v>
      </c>
      <c r="B305" s="39" t="s">
        <v>961</v>
      </c>
      <c r="C305" s="39">
        <v>0.7</v>
      </c>
      <c r="D305" s="41">
        <v>43964.0</v>
      </c>
      <c r="E305" s="39" t="s">
        <v>828</v>
      </c>
      <c r="F305" s="39" t="s">
        <v>829</v>
      </c>
      <c r="G305" s="39" t="s">
        <v>830</v>
      </c>
      <c r="H305" s="39">
        <v>520.0</v>
      </c>
      <c r="N305" s="39" t="s">
        <v>883</v>
      </c>
      <c r="R305" s="39" t="s">
        <v>832</v>
      </c>
      <c r="S305" s="39" t="s">
        <v>833</v>
      </c>
      <c r="T305" s="39" t="s">
        <v>884</v>
      </c>
      <c r="U305" s="39" t="s">
        <v>883</v>
      </c>
      <c r="X305" s="39" t="s">
        <v>962</v>
      </c>
      <c r="Z305" s="39" t="s">
        <v>852</v>
      </c>
      <c r="AB305" s="39">
        <v>0.7</v>
      </c>
      <c r="AC305" s="39">
        <v>40.0</v>
      </c>
      <c r="AD305" s="39">
        <v>8.53333333333333</v>
      </c>
    </row>
    <row r="306">
      <c r="A306" s="39" t="s">
        <v>945</v>
      </c>
      <c r="B306" s="39" t="s">
        <v>946</v>
      </c>
      <c r="C306" s="39">
        <v>0.0833333333333333</v>
      </c>
      <c r="D306" s="41">
        <v>43965.0</v>
      </c>
      <c r="E306" s="39" t="s">
        <v>828</v>
      </c>
      <c r="F306" s="39" t="s">
        <v>829</v>
      </c>
      <c r="G306" s="39" t="s">
        <v>830</v>
      </c>
      <c r="H306" s="39">
        <v>520.0</v>
      </c>
      <c r="N306" s="39" t="s">
        <v>947</v>
      </c>
      <c r="R306" s="39" t="s">
        <v>948</v>
      </c>
      <c r="S306" s="39" t="s">
        <v>833</v>
      </c>
      <c r="T306" s="39" t="s">
        <v>949</v>
      </c>
      <c r="U306" s="39" t="s">
        <v>947</v>
      </c>
      <c r="X306" s="39" t="s">
        <v>950</v>
      </c>
      <c r="Z306" s="39" t="s">
        <v>951</v>
      </c>
      <c r="AB306" s="39">
        <v>0.0833333333333333</v>
      </c>
    </row>
    <row r="307">
      <c r="A307" s="39" t="s">
        <v>960</v>
      </c>
      <c r="B307" s="39" t="s">
        <v>961</v>
      </c>
      <c r="C307" s="39">
        <v>0.183333333333333</v>
      </c>
      <c r="D307" s="41">
        <v>43965.0</v>
      </c>
      <c r="E307" s="39" t="s">
        <v>828</v>
      </c>
      <c r="F307" s="39" t="s">
        <v>829</v>
      </c>
      <c r="G307" s="39" t="s">
        <v>830</v>
      </c>
      <c r="H307" s="39">
        <v>520.0</v>
      </c>
      <c r="N307" s="39" t="s">
        <v>883</v>
      </c>
      <c r="R307" s="39" t="s">
        <v>832</v>
      </c>
      <c r="S307" s="39" t="s">
        <v>833</v>
      </c>
      <c r="T307" s="39" t="s">
        <v>884</v>
      </c>
      <c r="U307" s="39" t="s">
        <v>883</v>
      </c>
      <c r="X307" s="39" t="s">
        <v>962</v>
      </c>
      <c r="Z307" s="39" t="s">
        <v>852</v>
      </c>
      <c r="AB307" s="39">
        <v>0.183333333333333</v>
      </c>
      <c r="AC307" s="39">
        <v>40.0</v>
      </c>
      <c r="AD307" s="39">
        <v>8.53333333333333</v>
      </c>
    </row>
    <row r="308">
      <c r="A308" s="39" t="s">
        <v>918</v>
      </c>
      <c r="B308" s="39" t="s">
        <v>919</v>
      </c>
      <c r="C308" s="39">
        <v>1.76666666666666</v>
      </c>
      <c r="D308" s="41">
        <v>43965.0</v>
      </c>
      <c r="E308" s="39" t="s">
        <v>828</v>
      </c>
      <c r="F308" s="39" t="s">
        <v>829</v>
      </c>
      <c r="G308" s="39" t="s">
        <v>830</v>
      </c>
      <c r="H308" s="39">
        <v>520.0</v>
      </c>
      <c r="N308" s="39" t="s">
        <v>831</v>
      </c>
      <c r="R308" s="39" t="s">
        <v>832</v>
      </c>
      <c r="S308" s="39" t="s">
        <v>833</v>
      </c>
      <c r="T308" s="39" t="s">
        <v>834</v>
      </c>
      <c r="U308" s="39" t="s">
        <v>831</v>
      </c>
      <c r="W308" s="39" t="s">
        <v>840</v>
      </c>
      <c r="X308" s="39" t="s">
        <v>920</v>
      </c>
      <c r="Z308" s="39" t="s">
        <v>847</v>
      </c>
      <c r="AB308" s="39">
        <v>1.76666666666666</v>
      </c>
      <c r="AC308" s="39">
        <v>6.0</v>
      </c>
      <c r="AD308" s="39">
        <v>0.0</v>
      </c>
    </row>
    <row r="309">
      <c r="A309" s="39" t="s">
        <v>933</v>
      </c>
      <c r="B309" s="39" t="s">
        <v>934</v>
      </c>
      <c r="C309" s="39">
        <v>0.3</v>
      </c>
      <c r="D309" s="41">
        <v>43965.0</v>
      </c>
      <c r="E309" s="39" t="s">
        <v>828</v>
      </c>
      <c r="F309" s="39" t="s">
        <v>829</v>
      </c>
      <c r="G309" s="39" t="s">
        <v>830</v>
      </c>
      <c r="H309" s="39">
        <v>520.0</v>
      </c>
      <c r="N309" s="39" t="s">
        <v>883</v>
      </c>
      <c r="R309" s="39" t="s">
        <v>832</v>
      </c>
      <c r="S309" s="39" t="s">
        <v>833</v>
      </c>
      <c r="T309" s="39" t="s">
        <v>884</v>
      </c>
      <c r="U309" s="39" t="s">
        <v>883</v>
      </c>
      <c r="W309" s="39" t="s">
        <v>96</v>
      </c>
      <c r="X309" s="39" t="s">
        <v>935</v>
      </c>
      <c r="Z309" s="39" t="s">
        <v>876</v>
      </c>
      <c r="AB309" s="39">
        <v>0.3</v>
      </c>
      <c r="AC309" s="39">
        <v>16.0</v>
      </c>
      <c r="AD309" s="39">
        <v>0.0</v>
      </c>
    </row>
    <row r="310">
      <c r="A310" s="39" t="s">
        <v>941</v>
      </c>
      <c r="B310" s="39" t="s">
        <v>942</v>
      </c>
      <c r="C310" s="39">
        <v>1.41666666666666</v>
      </c>
      <c r="D310" s="41">
        <v>43965.0</v>
      </c>
      <c r="E310" s="39" t="s">
        <v>828</v>
      </c>
      <c r="F310" s="39" t="s">
        <v>829</v>
      </c>
      <c r="G310" s="39" t="s">
        <v>830</v>
      </c>
      <c r="H310" s="39">
        <v>520.0</v>
      </c>
      <c r="N310" s="39" t="s">
        <v>938</v>
      </c>
      <c r="R310" s="39" t="s">
        <v>832</v>
      </c>
      <c r="S310" s="39" t="s">
        <v>939</v>
      </c>
      <c r="T310" s="39" t="s">
        <v>741</v>
      </c>
      <c r="U310" s="39" t="s">
        <v>938</v>
      </c>
      <c r="X310" s="39" t="s">
        <v>943</v>
      </c>
      <c r="Y310" s="39" t="s">
        <v>944</v>
      </c>
      <c r="Z310" s="39" t="s">
        <v>872</v>
      </c>
      <c r="AB310" s="39">
        <v>1.41666666666666</v>
      </c>
    </row>
    <row r="311">
      <c r="A311" s="39" t="s">
        <v>918</v>
      </c>
      <c r="B311" s="39" t="s">
        <v>919</v>
      </c>
      <c r="C311" s="39">
        <v>0.0833333333333333</v>
      </c>
      <c r="D311" s="41">
        <v>43965.717361111114</v>
      </c>
      <c r="E311" s="39" t="s">
        <v>847</v>
      </c>
      <c r="F311" s="39" t="s">
        <v>848</v>
      </c>
      <c r="G311" s="39" t="s">
        <v>849</v>
      </c>
      <c r="H311" s="39">
        <v>520.0</v>
      </c>
      <c r="N311" s="39" t="s">
        <v>831</v>
      </c>
      <c r="R311" s="39" t="s">
        <v>832</v>
      </c>
      <c r="S311" s="39" t="s">
        <v>833</v>
      </c>
      <c r="T311" s="39" t="s">
        <v>834</v>
      </c>
      <c r="U311" s="39" t="s">
        <v>831</v>
      </c>
      <c r="W311" s="39" t="s">
        <v>840</v>
      </c>
      <c r="X311" s="39" t="s">
        <v>920</v>
      </c>
      <c r="Z311" s="39" t="s">
        <v>847</v>
      </c>
      <c r="AB311" s="39">
        <v>0.0833333333333333</v>
      </c>
      <c r="AC311" s="39">
        <v>6.0</v>
      </c>
      <c r="AD311" s="39">
        <v>0.0</v>
      </c>
    </row>
    <row r="312">
      <c r="A312" s="39" t="s">
        <v>960</v>
      </c>
      <c r="B312" s="39" t="s">
        <v>961</v>
      </c>
      <c r="C312" s="39">
        <v>3.61666666666666</v>
      </c>
      <c r="D312" s="41">
        <v>43966.0</v>
      </c>
      <c r="E312" s="39" t="s">
        <v>828</v>
      </c>
      <c r="F312" s="39" t="s">
        <v>829</v>
      </c>
      <c r="G312" s="39" t="s">
        <v>830</v>
      </c>
      <c r="H312" s="39">
        <v>520.0</v>
      </c>
      <c r="N312" s="39" t="s">
        <v>883</v>
      </c>
      <c r="R312" s="39" t="s">
        <v>832</v>
      </c>
      <c r="S312" s="39" t="s">
        <v>833</v>
      </c>
      <c r="T312" s="39" t="s">
        <v>884</v>
      </c>
      <c r="U312" s="39" t="s">
        <v>883</v>
      </c>
      <c r="X312" s="39" t="s">
        <v>962</v>
      </c>
      <c r="Z312" s="39" t="s">
        <v>852</v>
      </c>
      <c r="AB312" s="39">
        <v>3.61666666666666</v>
      </c>
      <c r="AC312" s="39">
        <v>40.0</v>
      </c>
      <c r="AD312" s="39">
        <v>8.53333333333333</v>
      </c>
    </row>
    <row r="313">
      <c r="A313" s="39" t="s">
        <v>918</v>
      </c>
      <c r="B313" s="39" t="s">
        <v>919</v>
      </c>
      <c r="C313" s="39">
        <v>0.133333333333333</v>
      </c>
      <c r="D313" s="41">
        <v>43966.0</v>
      </c>
      <c r="E313" s="39" t="s">
        <v>828</v>
      </c>
      <c r="F313" s="39" t="s">
        <v>829</v>
      </c>
      <c r="G313" s="39" t="s">
        <v>830</v>
      </c>
      <c r="H313" s="39">
        <v>520.0</v>
      </c>
      <c r="N313" s="39" t="s">
        <v>831</v>
      </c>
      <c r="R313" s="39" t="s">
        <v>832</v>
      </c>
      <c r="S313" s="39" t="s">
        <v>833</v>
      </c>
      <c r="T313" s="39" t="s">
        <v>834</v>
      </c>
      <c r="U313" s="39" t="s">
        <v>831</v>
      </c>
      <c r="W313" s="39" t="s">
        <v>840</v>
      </c>
      <c r="X313" s="39" t="s">
        <v>920</v>
      </c>
      <c r="Z313" s="39" t="s">
        <v>847</v>
      </c>
      <c r="AB313" s="39">
        <v>0.133333333333333</v>
      </c>
      <c r="AC313" s="39">
        <v>6.0</v>
      </c>
      <c r="AD313" s="39">
        <v>0.0</v>
      </c>
    </row>
    <row r="314">
      <c r="A314" s="39" t="s">
        <v>941</v>
      </c>
      <c r="B314" s="39" t="s">
        <v>942</v>
      </c>
      <c r="C314" s="39">
        <v>3.15</v>
      </c>
      <c r="D314" s="41">
        <v>43966.0</v>
      </c>
      <c r="E314" s="39" t="s">
        <v>828</v>
      </c>
      <c r="F314" s="39" t="s">
        <v>829</v>
      </c>
      <c r="G314" s="39" t="s">
        <v>830</v>
      </c>
      <c r="H314" s="39">
        <v>520.0</v>
      </c>
      <c r="N314" s="39" t="s">
        <v>938</v>
      </c>
      <c r="R314" s="39" t="s">
        <v>832</v>
      </c>
      <c r="S314" s="39" t="s">
        <v>939</v>
      </c>
      <c r="T314" s="39" t="s">
        <v>741</v>
      </c>
      <c r="U314" s="39" t="s">
        <v>938</v>
      </c>
      <c r="X314" s="39" t="s">
        <v>963</v>
      </c>
      <c r="Y314" s="39" t="s">
        <v>944</v>
      </c>
      <c r="Z314" s="39" t="s">
        <v>872</v>
      </c>
      <c r="AB314" s="39">
        <v>3.15</v>
      </c>
    </row>
    <row r="315">
      <c r="A315" s="39" t="s">
        <v>964</v>
      </c>
      <c r="B315" s="39" t="s">
        <v>965</v>
      </c>
      <c r="C315" s="39">
        <v>0.166666666666666</v>
      </c>
      <c r="D315" s="41">
        <v>43966.0</v>
      </c>
      <c r="E315" s="39" t="s">
        <v>828</v>
      </c>
      <c r="F315" s="39" t="s">
        <v>829</v>
      </c>
      <c r="G315" s="39" t="s">
        <v>830</v>
      </c>
      <c r="H315" s="39">
        <v>520.0</v>
      </c>
      <c r="N315" s="39" t="s">
        <v>938</v>
      </c>
      <c r="R315" s="39" t="s">
        <v>957</v>
      </c>
      <c r="S315" s="39" t="s">
        <v>966</v>
      </c>
      <c r="T315" s="39" t="s">
        <v>741</v>
      </c>
      <c r="U315" s="39" t="s">
        <v>938</v>
      </c>
      <c r="X315" s="39" t="s">
        <v>967</v>
      </c>
      <c r="Y315" s="39" t="s">
        <v>941</v>
      </c>
      <c r="Z315" s="39" t="s">
        <v>828</v>
      </c>
      <c r="AB315" s="39">
        <v>0.166666666666666</v>
      </c>
    </row>
    <row r="316">
      <c r="A316" s="39" t="s">
        <v>968</v>
      </c>
      <c r="B316" s="39" t="s">
        <v>969</v>
      </c>
      <c r="C316" s="39">
        <v>1.03333333333333</v>
      </c>
      <c r="D316" s="41">
        <v>43970.0</v>
      </c>
      <c r="E316" s="39" t="s">
        <v>828</v>
      </c>
      <c r="F316" s="39" t="s">
        <v>829</v>
      </c>
      <c r="G316" s="39" t="s">
        <v>830</v>
      </c>
      <c r="H316" s="39">
        <v>520.0</v>
      </c>
      <c r="N316" s="39" t="s">
        <v>938</v>
      </c>
      <c r="R316" s="39" t="s">
        <v>957</v>
      </c>
      <c r="S316" s="39" t="s">
        <v>966</v>
      </c>
      <c r="T316" s="39" t="s">
        <v>741</v>
      </c>
      <c r="U316" s="39" t="s">
        <v>938</v>
      </c>
      <c r="X316" s="39" t="s">
        <v>970</v>
      </c>
      <c r="Y316" s="39" t="s">
        <v>941</v>
      </c>
      <c r="Z316" s="39" t="s">
        <v>828</v>
      </c>
      <c r="AB316" s="39">
        <v>1.03333333333333</v>
      </c>
    </row>
    <row r="317">
      <c r="A317" s="39" t="s">
        <v>971</v>
      </c>
      <c r="B317" s="39" t="s">
        <v>972</v>
      </c>
      <c r="C317" s="39">
        <v>0.0833333333333333</v>
      </c>
      <c r="D317" s="41">
        <v>43970.0</v>
      </c>
      <c r="E317" s="39" t="s">
        <v>828</v>
      </c>
      <c r="F317" s="39" t="s">
        <v>829</v>
      </c>
      <c r="G317" s="39" t="s">
        <v>830</v>
      </c>
      <c r="H317" s="39">
        <v>520.0</v>
      </c>
      <c r="N317" s="39" t="s">
        <v>938</v>
      </c>
      <c r="R317" s="39" t="s">
        <v>957</v>
      </c>
      <c r="S317" s="39" t="s">
        <v>966</v>
      </c>
      <c r="T317" s="39" t="s">
        <v>741</v>
      </c>
      <c r="U317" s="39" t="s">
        <v>938</v>
      </c>
      <c r="X317" s="39" t="s">
        <v>973</v>
      </c>
      <c r="Y317" s="39" t="s">
        <v>941</v>
      </c>
      <c r="Z317" s="39" t="s">
        <v>828</v>
      </c>
      <c r="AB317" s="39">
        <v>0.0833333333333333</v>
      </c>
    </row>
    <row r="318">
      <c r="A318" s="39" t="s">
        <v>974</v>
      </c>
      <c r="B318" s="39" t="s">
        <v>975</v>
      </c>
      <c r="C318" s="39">
        <v>0.133333333333333</v>
      </c>
      <c r="D318" s="41">
        <v>43970.0</v>
      </c>
      <c r="E318" s="39" t="s">
        <v>828</v>
      </c>
      <c r="F318" s="39" t="s">
        <v>829</v>
      </c>
      <c r="G318" s="39" t="s">
        <v>830</v>
      </c>
      <c r="H318" s="39">
        <v>520.0</v>
      </c>
      <c r="N318" s="39" t="s">
        <v>938</v>
      </c>
      <c r="R318" s="39" t="s">
        <v>957</v>
      </c>
      <c r="S318" s="39" t="s">
        <v>966</v>
      </c>
      <c r="T318" s="39" t="s">
        <v>741</v>
      </c>
      <c r="U318" s="39" t="s">
        <v>938</v>
      </c>
      <c r="X318" s="39" t="s">
        <v>976</v>
      </c>
      <c r="Y318" s="39" t="s">
        <v>941</v>
      </c>
      <c r="Z318" s="39" t="s">
        <v>828</v>
      </c>
      <c r="AB318" s="39">
        <v>0.133333333333333</v>
      </c>
    </row>
    <row r="319">
      <c r="A319" s="39" t="s">
        <v>977</v>
      </c>
      <c r="B319" s="39" t="s">
        <v>978</v>
      </c>
      <c r="C319" s="39">
        <v>0.533333333333333</v>
      </c>
      <c r="D319" s="41">
        <v>43970.0</v>
      </c>
      <c r="E319" s="39" t="s">
        <v>828</v>
      </c>
      <c r="F319" s="39" t="s">
        <v>829</v>
      </c>
      <c r="G319" s="39" t="s">
        <v>830</v>
      </c>
      <c r="H319" s="39">
        <v>520.0</v>
      </c>
      <c r="N319" s="39" t="s">
        <v>938</v>
      </c>
      <c r="R319" s="39" t="s">
        <v>957</v>
      </c>
      <c r="S319" s="39" t="s">
        <v>966</v>
      </c>
      <c r="T319" s="39" t="s">
        <v>741</v>
      </c>
      <c r="U319" s="39" t="s">
        <v>938</v>
      </c>
      <c r="X319" s="39" t="s">
        <v>979</v>
      </c>
      <c r="Y319" s="39" t="s">
        <v>941</v>
      </c>
      <c r="Z319" s="39" t="s">
        <v>828</v>
      </c>
      <c r="AB319" s="39">
        <v>0.533333333333333</v>
      </c>
    </row>
    <row r="320">
      <c r="A320" s="39" t="s">
        <v>980</v>
      </c>
      <c r="B320" s="39" t="s">
        <v>981</v>
      </c>
      <c r="C320" s="39">
        <v>0.55</v>
      </c>
      <c r="D320" s="41">
        <v>43970.0</v>
      </c>
      <c r="E320" s="39" t="s">
        <v>828</v>
      </c>
      <c r="F320" s="39" t="s">
        <v>829</v>
      </c>
      <c r="G320" s="39" t="s">
        <v>830</v>
      </c>
      <c r="H320" s="39">
        <v>520.0</v>
      </c>
      <c r="N320" s="39" t="s">
        <v>938</v>
      </c>
      <c r="R320" s="39" t="s">
        <v>957</v>
      </c>
      <c r="S320" s="39" t="s">
        <v>966</v>
      </c>
      <c r="T320" s="39" t="s">
        <v>741</v>
      </c>
      <c r="U320" s="39" t="s">
        <v>938</v>
      </c>
      <c r="X320" s="39" t="s">
        <v>982</v>
      </c>
      <c r="Y320" s="39" t="s">
        <v>941</v>
      </c>
      <c r="Z320" s="39" t="s">
        <v>828</v>
      </c>
      <c r="AB320" s="39">
        <v>0.55</v>
      </c>
    </row>
    <row r="321">
      <c r="A321" s="39" t="s">
        <v>968</v>
      </c>
      <c r="B321" s="39" t="s">
        <v>969</v>
      </c>
      <c r="C321" s="39">
        <v>0.816666666666666</v>
      </c>
      <c r="D321" s="41">
        <v>43971.0</v>
      </c>
      <c r="E321" s="39" t="s">
        <v>828</v>
      </c>
      <c r="F321" s="39" t="s">
        <v>829</v>
      </c>
      <c r="G321" s="39" t="s">
        <v>830</v>
      </c>
      <c r="H321" s="39">
        <v>520.0</v>
      </c>
      <c r="N321" s="39" t="s">
        <v>938</v>
      </c>
      <c r="R321" s="39" t="s">
        <v>957</v>
      </c>
      <c r="S321" s="39" t="s">
        <v>966</v>
      </c>
      <c r="T321" s="39" t="s">
        <v>741</v>
      </c>
      <c r="U321" s="39" t="s">
        <v>938</v>
      </c>
      <c r="X321" s="39" t="s">
        <v>970</v>
      </c>
      <c r="Y321" s="39" t="s">
        <v>941</v>
      </c>
      <c r="Z321" s="39" t="s">
        <v>828</v>
      </c>
      <c r="AB321" s="39">
        <v>0.816666666666666</v>
      </c>
    </row>
    <row r="322">
      <c r="A322" s="39" t="s">
        <v>960</v>
      </c>
      <c r="B322" s="39" t="s">
        <v>961</v>
      </c>
      <c r="C322" s="39">
        <v>1.01666666666666</v>
      </c>
      <c r="D322" s="41">
        <v>43971.0</v>
      </c>
      <c r="E322" s="39" t="s">
        <v>828</v>
      </c>
      <c r="F322" s="39" t="s">
        <v>829</v>
      </c>
      <c r="G322" s="39" t="s">
        <v>830</v>
      </c>
      <c r="H322" s="39">
        <v>520.0</v>
      </c>
      <c r="N322" s="39" t="s">
        <v>883</v>
      </c>
      <c r="R322" s="39" t="s">
        <v>832</v>
      </c>
      <c r="S322" s="39" t="s">
        <v>833</v>
      </c>
      <c r="T322" s="39" t="s">
        <v>884</v>
      </c>
      <c r="U322" s="39" t="s">
        <v>883</v>
      </c>
      <c r="X322" s="39" t="s">
        <v>962</v>
      </c>
      <c r="Z322" s="39" t="s">
        <v>852</v>
      </c>
      <c r="AB322" s="39">
        <v>1.01666666666666</v>
      </c>
      <c r="AC322" s="39">
        <v>40.0</v>
      </c>
      <c r="AD322" s="39">
        <v>8.53333333333333</v>
      </c>
    </row>
    <row r="323">
      <c r="A323" s="39" t="s">
        <v>977</v>
      </c>
      <c r="B323" s="39" t="s">
        <v>978</v>
      </c>
      <c r="C323" s="39">
        <v>0.133333333333333</v>
      </c>
      <c r="D323" s="41">
        <v>43971.0</v>
      </c>
      <c r="E323" s="39" t="s">
        <v>828</v>
      </c>
      <c r="F323" s="39" t="s">
        <v>829</v>
      </c>
      <c r="G323" s="39" t="s">
        <v>830</v>
      </c>
      <c r="H323" s="39">
        <v>520.0</v>
      </c>
      <c r="N323" s="39" t="s">
        <v>938</v>
      </c>
      <c r="R323" s="39" t="s">
        <v>957</v>
      </c>
      <c r="S323" s="39" t="s">
        <v>966</v>
      </c>
      <c r="T323" s="39" t="s">
        <v>741</v>
      </c>
      <c r="U323" s="39" t="s">
        <v>938</v>
      </c>
      <c r="X323" s="39" t="s">
        <v>979</v>
      </c>
      <c r="Y323" s="39" t="s">
        <v>941</v>
      </c>
      <c r="Z323" s="39" t="s">
        <v>828</v>
      </c>
      <c r="AB323" s="39">
        <v>0.133333333333333</v>
      </c>
    </row>
    <row r="324">
      <c r="A324" s="39" t="s">
        <v>983</v>
      </c>
      <c r="B324" s="39" t="s">
        <v>984</v>
      </c>
      <c r="C324" s="39">
        <v>0.233333333333333</v>
      </c>
      <c r="D324" s="41">
        <v>43971.0</v>
      </c>
      <c r="E324" s="39" t="s">
        <v>828</v>
      </c>
      <c r="F324" s="39" t="s">
        <v>829</v>
      </c>
      <c r="G324" s="39" t="s">
        <v>830</v>
      </c>
      <c r="H324" s="39">
        <v>520.0</v>
      </c>
      <c r="N324" s="39" t="s">
        <v>938</v>
      </c>
      <c r="R324" s="39" t="s">
        <v>957</v>
      </c>
      <c r="S324" s="39" t="s">
        <v>966</v>
      </c>
      <c r="T324" s="39" t="s">
        <v>741</v>
      </c>
      <c r="U324" s="39" t="s">
        <v>938</v>
      </c>
      <c r="X324" s="39" t="s">
        <v>985</v>
      </c>
      <c r="Y324" s="39" t="s">
        <v>941</v>
      </c>
      <c r="Z324" s="39" t="s">
        <v>828</v>
      </c>
      <c r="AB324" s="39">
        <v>0.233333333333333</v>
      </c>
    </row>
    <row r="325">
      <c r="A325" s="39" t="s">
        <v>971</v>
      </c>
      <c r="B325" s="39" t="s">
        <v>972</v>
      </c>
      <c r="C325" s="39">
        <v>0.366666666666666</v>
      </c>
      <c r="D325" s="41">
        <v>43972.0</v>
      </c>
      <c r="E325" s="39" t="s">
        <v>828</v>
      </c>
      <c r="F325" s="39" t="s">
        <v>829</v>
      </c>
      <c r="G325" s="39" t="s">
        <v>830</v>
      </c>
      <c r="H325" s="39">
        <v>520.0</v>
      </c>
      <c r="N325" s="39" t="s">
        <v>938</v>
      </c>
      <c r="R325" s="39" t="s">
        <v>957</v>
      </c>
      <c r="S325" s="39" t="s">
        <v>966</v>
      </c>
      <c r="T325" s="39" t="s">
        <v>741</v>
      </c>
      <c r="U325" s="39" t="s">
        <v>938</v>
      </c>
      <c r="X325" s="39" t="s">
        <v>973</v>
      </c>
      <c r="Y325" s="39" t="s">
        <v>941</v>
      </c>
      <c r="Z325" s="39" t="s">
        <v>828</v>
      </c>
      <c r="AB325" s="39">
        <v>0.366666666666666</v>
      </c>
    </row>
    <row r="326">
      <c r="A326" s="39" t="s">
        <v>986</v>
      </c>
      <c r="B326" s="39" t="s">
        <v>987</v>
      </c>
      <c r="C326" s="39">
        <v>0.0833333333333333</v>
      </c>
      <c r="D326" s="41">
        <v>43972.0</v>
      </c>
      <c r="E326" s="39" t="s">
        <v>828</v>
      </c>
      <c r="F326" s="39" t="s">
        <v>829</v>
      </c>
      <c r="G326" s="39" t="s">
        <v>830</v>
      </c>
      <c r="H326" s="39">
        <v>520.0</v>
      </c>
      <c r="N326" s="39" t="s">
        <v>938</v>
      </c>
      <c r="R326" s="39" t="s">
        <v>832</v>
      </c>
      <c r="S326" s="39" t="s">
        <v>939</v>
      </c>
      <c r="T326" s="39" t="s">
        <v>741</v>
      </c>
      <c r="U326" s="39" t="s">
        <v>938</v>
      </c>
      <c r="X326" s="39" t="s">
        <v>988</v>
      </c>
      <c r="Y326" s="39" t="s">
        <v>944</v>
      </c>
      <c r="Z326" s="39" t="s">
        <v>872</v>
      </c>
      <c r="AB326" s="39">
        <v>0.0833333333333333</v>
      </c>
    </row>
    <row r="327">
      <c r="A327" s="39" t="s">
        <v>983</v>
      </c>
      <c r="B327" s="39" t="s">
        <v>984</v>
      </c>
      <c r="C327" s="39">
        <v>0.55</v>
      </c>
      <c r="D327" s="41">
        <v>43972.0</v>
      </c>
      <c r="E327" s="39" t="s">
        <v>828</v>
      </c>
      <c r="F327" s="39" t="s">
        <v>829</v>
      </c>
      <c r="G327" s="39" t="s">
        <v>830</v>
      </c>
      <c r="H327" s="39">
        <v>520.0</v>
      </c>
      <c r="N327" s="39" t="s">
        <v>938</v>
      </c>
      <c r="R327" s="39" t="s">
        <v>957</v>
      </c>
      <c r="S327" s="39" t="s">
        <v>966</v>
      </c>
      <c r="T327" s="39" t="s">
        <v>741</v>
      </c>
      <c r="U327" s="39" t="s">
        <v>938</v>
      </c>
      <c r="X327" s="39" t="s">
        <v>985</v>
      </c>
      <c r="Y327" s="39" t="s">
        <v>941</v>
      </c>
      <c r="Z327" s="39" t="s">
        <v>828</v>
      </c>
      <c r="AB327" s="39">
        <v>0.55</v>
      </c>
    </row>
    <row r="328">
      <c r="A328" s="39" t="s">
        <v>989</v>
      </c>
      <c r="B328" s="39" t="s">
        <v>990</v>
      </c>
      <c r="C328" s="39">
        <v>0.166666666666666</v>
      </c>
      <c r="D328" s="41">
        <v>43972.0</v>
      </c>
      <c r="E328" s="39" t="s">
        <v>828</v>
      </c>
      <c r="F328" s="39" t="s">
        <v>829</v>
      </c>
      <c r="G328" s="39" t="s">
        <v>830</v>
      </c>
      <c r="H328" s="39">
        <v>520.0</v>
      </c>
      <c r="N328" s="39" t="s">
        <v>938</v>
      </c>
      <c r="R328" s="39" t="s">
        <v>957</v>
      </c>
      <c r="S328" s="39" t="s">
        <v>966</v>
      </c>
      <c r="T328" s="39" t="s">
        <v>741</v>
      </c>
      <c r="U328" s="39" t="s">
        <v>938</v>
      </c>
      <c r="X328" s="39" t="s">
        <v>991</v>
      </c>
      <c r="Y328" s="39" t="s">
        <v>941</v>
      </c>
      <c r="Z328" s="39" t="s">
        <v>828</v>
      </c>
      <c r="AB328" s="39">
        <v>0.166666666666666</v>
      </c>
    </row>
    <row r="329">
      <c r="A329" s="39" t="s">
        <v>977</v>
      </c>
      <c r="B329" s="39" t="s">
        <v>978</v>
      </c>
      <c r="C329" s="39">
        <v>0.35</v>
      </c>
      <c r="D329" s="41">
        <v>43972.0</v>
      </c>
      <c r="E329" s="39" t="s">
        <v>828</v>
      </c>
      <c r="F329" s="39" t="s">
        <v>829</v>
      </c>
      <c r="G329" s="39" t="s">
        <v>830</v>
      </c>
      <c r="H329" s="39">
        <v>520.0</v>
      </c>
      <c r="N329" s="39" t="s">
        <v>938</v>
      </c>
      <c r="R329" s="39" t="s">
        <v>957</v>
      </c>
      <c r="S329" s="39" t="s">
        <v>966</v>
      </c>
      <c r="T329" s="39" t="s">
        <v>741</v>
      </c>
      <c r="U329" s="39" t="s">
        <v>938</v>
      </c>
      <c r="X329" s="39" t="s">
        <v>979</v>
      </c>
      <c r="Y329" s="39" t="s">
        <v>941</v>
      </c>
      <c r="Z329" s="39" t="s">
        <v>828</v>
      </c>
      <c r="AB329" s="39">
        <v>0.35</v>
      </c>
    </row>
    <row r="330">
      <c r="A330" s="39" t="s">
        <v>992</v>
      </c>
      <c r="B330" s="39" t="s">
        <v>993</v>
      </c>
      <c r="C330" s="39">
        <v>0.383333333333333</v>
      </c>
      <c r="D330" s="41">
        <v>43972.0</v>
      </c>
      <c r="E330" s="39" t="s">
        <v>828</v>
      </c>
      <c r="F330" s="39" t="s">
        <v>829</v>
      </c>
      <c r="G330" s="39" t="s">
        <v>830</v>
      </c>
      <c r="H330" s="39">
        <v>520.0</v>
      </c>
      <c r="N330" s="39" t="s">
        <v>938</v>
      </c>
      <c r="R330" s="39" t="s">
        <v>832</v>
      </c>
      <c r="S330" s="39" t="s">
        <v>939</v>
      </c>
      <c r="T330" s="39" t="s">
        <v>741</v>
      </c>
      <c r="U330" s="39" t="s">
        <v>938</v>
      </c>
      <c r="X330" s="39" t="s">
        <v>994</v>
      </c>
      <c r="Y330" s="39" t="s">
        <v>944</v>
      </c>
      <c r="Z330" s="39" t="s">
        <v>828</v>
      </c>
      <c r="AB330" s="39">
        <v>0.383333333333333</v>
      </c>
    </row>
    <row r="331">
      <c r="A331" s="39" t="s">
        <v>960</v>
      </c>
      <c r="B331" s="39" t="s">
        <v>961</v>
      </c>
      <c r="C331" s="39">
        <v>2.76666666666666</v>
      </c>
      <c r="D331" s="41">
        <v>43973.0</v>
      </c>
      <c r="E331" s="39" t="s">
        <v>828</v>
      </c>
      <c r="F331" s="39" t="s">
        <v>829</v>
      </c>
      <c r="G331" s="39" t="s">
        <v>830</v>
      </c>
      <c r="H331" s="39">
        <v>520.0</v>
      </c>
      <c r="N331" s="39" t="s">
        <v>883</v>
      </c>
      <c r="R331" s="39" t="s">
        <v>832</v>
      </c>
      <c r="S331" s="39" t="s">
        <v>833</v>
      </c>
      <c r="T331" s="39" t="s">
        <v>884</v>
      </c>
      <c r="U331" s="39" t="s">
        <v>883</v>
      </c>
      <c r="X331" s="39" t="s">
        <v>962</v>
      </c>
      <c r="Z331" s="39" t="s">
        <v>852</v>
      </c>
      <c r="AB331" s="39">
        <v>2.76666666666666</v>
      </c>
      <c r="AC331" s="39">
        <v>40.0</v>
      </c>
      <c r="AD331" s="39">
        <v>8.53333333333333</v>
      </c>
    </row>
    <row r="332">
      <c r="A332" s="39" t="s">
        <v>986</v>
      </c>
      <c r="B332" s="39" t="s">
        <v>987</v>
      </c>
      <c r="C332" s="39">
        <v>0.866666666666666</v>
      </c>
      <c r="D332" s="41">
        <v>43973.0</v>
      </c>
      <c r="E332" s="39" t="s">
        <v>828</v>
      </c>
      <c r="F332" s="39" t="s">
        <v>829</v>
      </c>
      <c r="G332" s="39" t="s">
        <v>830</v>
      </c>
      <c r="H332" s="39">
        <v>520.0</v>
      </c>
      <c r="N332" s="39" t="s">
        <v>938</v>
      </c>
      <c r="R332" s="39" t="s">
        <v>832</v>
      </c>
      <c r="S332" s="39" t="s">
        <v>939</v>
      </c>
      <c r="T332" s="39" t="s">
        <v>741</v>
      </c>
      <c r="U332" s="39" t="s">
        <v>938</v>
      </c>
      <c r="X332" s="39" t="s">
        <v>988</v>
      </c>
      <c r="Y332" s="39" t="s">
        <v>944</v>
      </c>
      <c r="Z332" s="39" t="s">
        <v>872</v>
      </c>
      <c r="AB332" s="39">
        <v>0.866666666666666</v>
      </c>
    </row>
    <row r="333">
      <c r="A333" s="39" t="s">
        <v>995</v>
      </c>
      <c r="B333" s="39" t="s">
        <v>996</v>
      </c>
      <c r="C333" s="39">
        <v>0.133333333333333</v>
      </c>
      <c r="D333" s="41">
        <v>43973.0</v>
      </c>
      <c r="E333" s="39" t="s">
        <v>828</v>
      </c>
      <c r="F333" s="39" t="s">
        <v>829</v>
      </c>
      <c r="G333" s="39" t="s">
        <v>830</v>
      </c>
      <c r="H333" s="39">
        <v>520.0</v>
      </c>
      <c r="N333" s="39" t="s">
        <v>938</v>
      </c>
      <c r="R333" s="39" t="s">
        <v>832</v>
      </c>
      <c r="S333" s="39" t="s">
        <v>939</v>
      </c>
      <c r="T333" s="39" t="s">
        <v>741</v>
      </c>
      <c r="U333" s="39" t="s">
        <v>938</v>
      </c>
      <c r="X333" s="39" t="s">
        <v>997</v>
      </c>
      <c r="Y333" s="39" t="s">
        <v>944</v>
      </c>
      <c r="Z333" s="39" t="s">
        <v>828</v>
      </c>
      <c r="AB333" s="39">
        <v>0.133333333333333</v>
      </c>
    </row>
    <row r="334">
      <c r="A334" s="39" t="s">
        <v>998</v>
      </c>
      <c r="B334" s="39" t="s">
        <v>999</v>
      </c>
      <c r="C334" s="39">
        <v>0.75</v>
      </c>
      <c r="D334" s="41">
        <v>43973.0</v>
      </c>
      <c r="E334" s="39" t="s">
        <v>828</v>
      </c>
      <c r="F334" s="39" t="s">
        <v>829</v>
      </c>
      <c r="G334" s="39" t="s">
        <v>830</v>
      </c>
      <c r="H334" s="39">
        <v>520.0</v>
      </c>
      <c r="N334" s="39" t="s">
        <v>938</v>
      </c>
      <c r="R334" s="39" t="s">
        <v>832</v>
      </c>
      <c r="S334" s="39" t="s">
        <v>939</v>
      </c>
      <c r="T334" s="39" t="s">
        <v>741</v>
      </c>
      <c r="U334" s="39" t="s">
        <v>938</v>
      </c>
      <c r="X334" s="39" t="s">
        <v>1000</v>
      </c>
      <c r="Y334" s="39" t="s">
        <v>944</v>
      </c>
      <c r="Z334" s="39" t="s">
        <v>828</v>
      </c>
      <c r="AB334" s="39">
        <v>0.75</v>
      </c>
    </row>
    <row r="335">
      <c r="A335" s="39" t="s">
        <v>960</v>
      </c>
      <c r="B335" s="39" t="s">
        <v>961</v>
      </c>
      <c r="C335" s="39">
        <v>0.466666666666666</v>
      </c>
      <c r="D335" s="41">
        <v>43976.0</v>
      </c>
      <c r="E335" s="39" t="s">
        <v>828</v>
      </c>
      <c r="F335" s="39" t="s">
        <v>829</v>
      </c>
      <c r="G335" s="39" t="s">
        <v>830</v>
      </c>
      <c r="H335" s="39">
        <v>520.0</v>
      </c>
      <c r="N335" s="39" t="s">
        <v>883</v>
      </c>
      <c r="R335" s="39" t="s">
        <v>832</v>
      </c>
      <c r="S335" s="39" t="s">
        <v>833</v>
      </c>
      <c r="T335" s="39" t="s">
        <v>884</v>
      </c>
      <c r="U335" s="39" t="s">
        <v>883</v>
      </c>
      <c r="X335" s="39" t="s">
        <v>962</v>
      </c>
      <c r="Z335" s="39" t="s">
        <v>852</v>
      </c>
      <c r="AB335" s="39">
        <v>0.466666666666666</v>
      </c>
      <c r="AC335" s="39">
        <v>40.0</v>
      </c>
      <c r="AD335" s="39">
        <v>8.53333333333333</v>
      </c>
    </row>
    <row r="336">
      <c r="A336" s="39" t="s">
        <v>944</v>
      </c>
      <c r="B336" s="39" t="s">
        <v>1001</v>
      </c>
      <c r="C336" s="39">
        <v>0.2</v>
      </c>
      <c r="D336" s="41">
        <v>43976.0</v>
      </c>
      <c r="E336" s="39" t="s">
        <v>828</v>
      </c>
      <c r="F336" s="39" t="s">
        <v>829</v>
      </c>
      <c r="G336" s="39" t="s">
        <v>830</v>
      </c>
      <c r="H336" s="39">
        <v>520.0</v>
      </c>
      <c r="N336" s="39" t="s">
        <v>938</v>
      </c>
      <c r="R336" s="39" t="s">
        <v>72</v>
      </c>
      <c r="S336" s="39" t="s">
        <v>939</v>
      </c>
      <c r="T336" s="39" t="s">
        <v>741</v>
      </c>
      <c r="U336" s="39" t="s">
        <v>938</v>
      </c>
      <c r="X336" s="39" t="s">
        <v>1002</v>
      </c>
      <c r="Z336" s="39" t="s">
        <v>872</v>
      </c>
      <c r="AB336" s="39">
        <v>0.2</v>
      </c>
    </row>
    <row r="337">
      <c r="A337" s="39" t="s">
        <v>571</v>
      </c>
      <c r="B337" s="39" t="s">
        <v>572</v>
      </c>
      <c r="C337" s="39">
        <v>0.4</v>
      </c>
      <c r="D337" s="41">
        <v>43976.0</v>
      </c>
      <c r="E337" s="39" t="s">
        <v>828</v>
      </c>
      <c r="F337" s="39" t="s">
        <v>829</v>
      </c>
      <c r="G337" s="39" t="s">
        <v>830</v>
      </c>
      <c r="H337" s="39">
        <v>520.0</v>
      </c>
      <c r="N337" s="39" t="s">
        <v>831</v>
      </c>
      <c r="R337" s="39" t="s">
        <v>832</v>
      </c>
      <c r="S337" s="39" t="s">
        <v>842</v>
      </c>
      <c r="T337" s="39" t="s">
        <v>834</v>
      </c>
      <c r="U337" s="39" t="s">
        <v>831</v>
      </c>
      <c r="W337" s="39" t="s">
        <v>302</v>
      </c>
      <c r="X337" s="39" t="s">
        <v>843</v>
      </c>
      <c r="Z337" s="39" t="s">
        <v>828</v>
      </c>
      <c r="AB337" s="39">
        <v>0.4</v>
      </c>
    </row>
    <row r="338">
      <c r="A338" s="39" t="s">
        <v>1003</v>
      </c>
      <c r="B338" s="39" t="s">
        <v>1004</v>
      </c>
      <c r="C338" s="39">
        <v>2.45</v>
      </c>
      <c r="D338" s="41">
        <v>43976.0</v>
      </c>
      <c r="E338" s="39" t="s">
        <v>828</v>
      </c>
      <c r="F338" s="39" t="s">
        <v>829</v>
      </c>
      <c r="G338" s="39" t="s">
        <v>830</v>
      </c>
      <c r="H338" s="39">
        <v>520.0</v>
      </c>
      <c r="N338" s="39" t="s">
        <v>938</v>
      </c>
      <c r="R338" s="39" t="s">
        <v>832</v>
      </c>
      <c r="S338" s="39" t="s">
        <v>939</v>
      </c>
      <c r="T338" s="39" t="s">
        <v>741</v>
      </c>
      <c r="U338" s="39" t="s">
        <v>938</v>
      </c>
      <c r="X338" s="39" t="s">
        <v>1005</v>
      </c>
      <c r="Y338" s="39" t="s">
        <v>944</v>
      </c>
      <c r="Z338" s="39" t="s">
        <v>872</v>
      </c>
      <c r="AB338" s="39">
        <v>2.45</v>
      </c>
    </row>
    <row r="339">
      <c r="A339" s="39" t="s">
        <v>960</v>
      </c>
      <c r="B339" s="39" t="s">
        <v>961</v>
      </c>
      <c r="C339" s="39">
        <v>2.53333333333333</v>
      </c>
      <c r="D339" s="41">
        <v>43977.0</v>
      </c>
      <c r="E339" s="39" t="s">
        <v>828</v>
      </c>
      <c r="F339" s="39" t="s">
        <v>829</v>
      </c>
      <c r="G339" s="39" t="s">
        <v>830</v>
      </c>
      <c r="H339" s="39">
        <v>520.0</v>
      </c>
      <c r="N339" s="39" t="s">
        <v>883</v>
      </c>
      <c r="R339" s="39" t="s">
        <v>832</v>
      </c>
      <c r="S339" s="39" t="s">
        <v>833</v>
      </c>
      <c r="T339" s="39" t="s">
        <v>884</v>
      </c>
      <c r="U339" s="39" t="s">
        <v>883</v>
      </c>
      <c r="X339" s="39" t="s">
        <v>962</v>
      </c>
      <c r="Z339" s="39" t="s">
        <v>852</v>
      </c>
      <c r="AB339" s="39">
        <v>2.53333333333333</v>
      </c>
      <c r="AC339" s="39">
        <v>40.0</v>
      </c>
      <c r="AD339" s="39">
        <v>8.53333333333333</v>
      </c>
    </row>
    <row r="340">
      <c r="A340" s="39" t="s">
        <v>1003</v>
      </c>
      <c r="B340" s="39" t="s">
        <v>1004</v>
      </c>
      <c r="C340" s="39">
        <v>0.0666666666666666</v>
      </c>
      <c r="D340" s="41">
        <v>43977.0</v>
      </c>
      <c r="E340" s="39" t="s">
        <v>828</v>
      </c>
      <c r="F340" s="39" t="s">
        <v>829</v>
      </c>
      <c r="G340" s="39" t="s">
        <v>830</v>
      </c>
      <c r="H340" s="39">
        <v>520.0</v>
      </c>
      <c r="N340" s="39" t="s">
        <v>938</v>
      </c>
      <c r="R340" s="39" t="s">
        <v>832</v>
      </c>
      <c r="S340" s="39" t="s">
        <v>939</v>
      </c>
      <c r="T340" s="39" t="s">
        <v>741</v>
      </c>
      <c r="U340" s="39" t="s">
        <v>938</v>
      </c>
      <c r="X340" s="39" t="s">
        <v>1005</v>
      </c>
      <c r="Y340" s="39" t="s">
        <v>944</v>
      </c>
      <c r="Z340" s="39" t="s">
        <v>872</v>
      </c>
      <c r="AB340" s="39">
        <v>0.0666666666666666</v>
      </c>
    </row>
    <row r="341">
      <c r="A341" s="39" t="s">
        <v>1006</v>
      </c>
      <c r="B341" s="39" t="s">
        <v>1007</v>
      </c>
      <c r="C341" s="39">
        <v>0.0833333333333333</v>
      </c>
      <c r="D341" s="41">
        <v>43977.0</v>
      </c>
      <c r="E341" s="39" t="s">
        <v>828</v>
      </c>
      <c r="F341" s="39" t="s">
        <v>829</v>
      </c>
      <c r="G341" s="39" t="s">
        <v>830</v>
      </c>
      <c r="H341" s="39">
        <v>520.0</v>
      </c>
      <c r="N341" s="39" t="s">
        <v>938</v>
      </c>
      <c r="R341" s="39" t="s">
        <v>957</v>
      </c>
      <c r="S341" s="39" t="s">
        <v>966</v>
      </c>
      <c r="T341" s="39" t="s">
        <v>741</v>
      </c>
      <c r="U341" s="39" t="s">
        <v>938</v>
      </c>
      <c r="X341" s="39" t="s">
        <v>1008</v>
      </c>
      <c r="Y341" s="39" t="s">
        <v>941</v>
      </c>
      <c r="Z341" s="39" t="s">
        <v>828</v>
      </c>
      <c r="AB341" s="39">
        <v>0.0833333333333333</v>
      </c>
    </row>
    <row r="342">
      <c r="A342" s="39" t="s">
        <v>941</v>
      </c>
      <c r="B342" s="39" t="s">
        <v>942</v>
      </c>
      <c r="C342" s="39">
        <v>0.1</v>
      </c>
      <c r="D342" s="41">
        <v>43977.0</v>
      </c>
      <c r="E342" s="39" t="s">
        <v>828</v>
      </c>
      <c r="F342" s="39" t="s">
        <v>829</v>
      </c>
      <c r="G342" s="39" t="s">
        <v>830</v>
      </c>
      <c r="H342" s="39">
        <v>520.0</v>
      </c>
      <c r="N342" s="39" t="s">
        <v>938</v>
      </c>
      <c r="R342" s="39" t="s">
        <v>832</v>
      </c>
      <c r="S342" s="39" t="s">
        <v>939</v>
      </c>
      <c r="T342" s="39" t="s">
        <v>741</v>
      </c>
      <c r="U342" s="39" t="s">
        <v>938</v>
      </c>
      <c r="X342" s="39" t="s">
        <v>943</v>
      </c>
      <c r="Y342" s="39" t="s">
        <v>944</v>
      </c>
      <c r="Z342" s="39" t="s">
        <v>872</v>
      </c>
      <c r="AB342" s="39">
        <v>0.1</v>
      </c>
    </row>
    <row r="343">
      <c r="A343" s="39" t="s">
        <v>989</v>
      </c>
      <c r="B343" s="39" t="s">
        <v>990</v>
      </c>
      <c r="C343" s="39">
        <v>0.45</v>
      </c>
      <c r="D343" s="41">
        <v>43977.0</v>
      </c>
      <c r="E343" s="39" t="s">
        <v>828</v>
      </c>
      <c r="F343" s="39" t="s">
        <v>829</v>
      </c>
      <c r="G343" s="39" t="s">
        <v>830</v>
      </c>
      <c r="H343" s="39">
        <v>520.0</v>
      </c>
      <c r="N343" s="39" t="s">
        <v>938</v>
      </c>
      <c r="R343" s="39" t="s">
        <v>957</v>
      </c>
      <c r="S343" s="39" t="s">
        <v>966</v>
      </c>
      <c r="T343" s="39" t="s">
        <v>741</v>
      </c>
      <c r="U343" s="39" t="s">
        <v>938</v>
      </c>
      <c r="X343" s="39" t="s">
        <v>991</v>
      </c>
      <c r="Y343" s="39" t="s">
        <v>941</v>
      </c>
      <c r="Z343" s="39" t="s">
        <v>828</v>
      </c>
      <c r="AB343" s="39">
        <v>0.45</v>
      </c>
    </row>
    <row r="344">
      <c r="A344" s="39" t="s">
        <v>986</v>
      </c>
      <c r="B344" s="39" t="s">
        <v>987</v>
      </c>
      <c r="C344" s="39">
        <v>0.5</v>
      </c>
      <c r="D344" s="41">
        <v>43977.0</v>
      </c>
      <c r="E344" s="39" t="s">
        <v>828</v>
      </c>
      <c r="F344" s="39" t="s">
        <v>829</v>
      </c>
      <c r="G344" s="39" t="s">
        <v>830</v>
      </c>
      <c r="H344" s="39">
        <v>520.0</v>
      </c>
      <c r="N344" s="39" t="s">
        <v>938</v>
      </c>
      <c r="R344" s="39" t="s">
        <v>832</v>
      </c>
      <c r="S344" s="39" t="s">
        <v>939</v>
      </c>
      <c r="T344" s="39" t="s">
        <v>741</v>
      </c>
      <c r="U344" s="39" t="s">
        <v>938</v>
      </c>
      <c r="X344" s="39" t="s">
        <v>988</v>
      </c>
      <c r="Y344" s="39" t="s">
        <v>944</v>
      </c>
      <c r="Z344" s="39" t="s">
        <v>872</v>
      </c>
      <c r="AB344" s="39">
        <v>0.5</v>
      </c>
    </row>
    <row r="345">
      <c r="A345" s="39" t="s">
        <v>944</v>
      </c>
      <c r="B345" s="39" t="s">
        <v>1001</v>
      </c>
      <c r="C345" s="39">
        <v>0.333333333333333</v>
      </c>
      <c r="D345" s="41">
        <v>43977.0</v>
      </c>
      <c r="E345" s="39" t="s">
        <v>828</v>
      </c>
      <c r="F345" s="39" t="s">
        <v>829</v>
      </c>
      <c r="G345" s="39" t="s">
        <v>830</v>
      </c>
      <c r="H345" s="39">
        <v>520.0</v>
      </c>
      <c r="N345" s="39" t="s">
        <v>938</v>
      </c>
      <c r="R345" s="39" t="s">
        <v>72</v>
      </c>
      <c r="S345" s="39" t="s">
        <v>939</v>
      </c>
      <c r="T345" s="39" t="s">
        <v>741</v>
      </c>
      <c r="U345" s="39" t="s">
        <v>938</v>
      </c>
      <c r="X345" s="39" t="s">
        <v>1002</v>
      </c>
      <c r="Z345" s="39" t="s">
        <v>872</v>
      </c>
      <c r="AB345" s="39">
        <v>0.333333333333333</v>
      </c>
    </row>
    <row r="346">
      <c r="A346" s="39" t="s">
        <v>977</v>
      </c>
      <c r="B346" s="39" t="s">
        <v>978</v>
      </c>
      <c r="C346" s="39">
        <v>0.916666666666666</v>
      </c>
      <c r="D346" s="41">
        <v>43977.0</v>
      </c>
      <c r="E346" s="39" t="s">
        <v>828</v>
      </c>
      <c r="F346" s="39" t="s">
        <v>829</v>
      </c>
      <c r="G346" s="39" t="s">
        <v>830</v>
      </c>
      <c r="H346" s="39">
        <v>520.0</v>
      </c>
      <c r="N346" s="39" t="s">
        <v>938</v>
      </c>
      <c r="R346" s="39" t="s">
        <v>957</v>
      </c>
      <c r="S346" s="39" t="s">
        <v>966</v>
      </c>
      <c r="T346" s="39" t="s">
        <v>741</v>
      </c>
      <c r="U346" s="39" t="s">
        <v>938</v>
      </c>
      <c r="X346" s="39" t="s">
        <v>979</v>
      </c>
      <c r="Y346" s="39" t="s">
        <v>941</v>
      </c>
      <c r="Z346" s="39" t="s">
        <v>828</v>
      </c>
      <c r="AB346" s="39">
        <v>0.916666666666666</v>
      </c>
    </row>
    <row r="347">
      <c r="A347" s="39" t="s">
        <v>983</v>
      </c>
      <c r="B347" s="39" t="s">
        <v>984</v>
      </c>
      <c r="C347" s="39">
        <v>0.0833333333333333</v>
      </c>
      <c r="D347" s="41">
        <v>43977.0</v>
      </c>
      <c r="E347" s="39" t="s">
        <v>828</v>
      </c>
      <c r="F347" s="39" t="s">
        <v>829</v>
      </c>
      <c r="G347" s="39" t="s">
        <v>830</v>
      </c>
      <c r="H347" s="39">
        <v>520.0</v>
      </c>
      <c r="N347" s="39" t="s">
        <v>938</v>
      </c>
      <c r="R347" s="39" t="s">
        <v>957</v>
      </c>
      <c r="S347" s="39" t="s">
        <v>966</v>
      </c>
      <c r="T347" s="39" t="s">
        <v>741</v>
      </c>
      <c r="U347" s="39" t="s">
        <v>938</v>
      </c>
      <c r="X347" s="39" t="s">
        <v>985</v>
      </c>
      <c r="Y347" s="39" t="s">
        <v>941</v>
      </c>
      <c r="Z347" s="39" t="s">
        <v>828</v>
      </c>
      <c r="AB347" s="39">
        <v>0.0833333333333333</v>
      </c>
    </row>
    <row r="348">
      <c r="A348" s="39" t="s">
        <v>960</v>
      </c>
      <c r="B348" s="39" t="s">
        <v>961</v>
      </c>
      <c r="C348" s="39">
        <v>1.15</v>
      </c>
      <c r="D348" s="41">
        <v>43978.0</v>
      </c>
      <c r="E348" s="39" t="s">
        <v>828</v>
      </c>
      <c r="F348" s="39" t="s">
        <v>829</v>
      </c>
      <c r="G348" s="39" t="s">
        <v>830</v>
      </c>
      <c r="H348" s="39">
        <v>520.0</v>
      </c>
      <c r="N348" s="39" t="s">
        <v>883</v>
      </c>
      <c r="R348" s="39" t="s">
        <v>832</v>
      </c>
      <c r="S348" s="39" t="s">
        <v>833</v>
      </c>
      <c r="T348" s="39" t="s">
        <v>884</v>
      </c>
      <c r="U348" s="39" t="s">
        <v>883</v>
      </c>
      <c r="X348" s="39" t="s">
        <v>962</v>
      </c>
      <c r="Z348" s="39" t="s">
        <v>852</v>
      </c>
      <c r="AB348" s="39">
        <v>1.15</v>
      </c>
      <c r="AC348" s="39">
        <v>40.0</v>
      </c>
      <c r="AD348" s="39">
        <v>8.53333333333333</v>
      </c>
    </row>
    <row r="349">
      <c r="A349" s="39" t="s">
        <v>992</v>
      </c>
      <c r="B349" s="39" t="s">
        <v>993</v>
      </c>
      <c r="C349" s="39">
        <v>0.516666666666666</v>
      </c>
      <c r="D349" s="41">
        <v>43978.0</v>
      </c>
      <c r="E349" s="39" t="s">
        <v>828</v>
      </c>
      <c r="F349" s="39" t="s">
        <v>829</v>
      </c>
      <c r="G349" s="39" t="s">
        <v>830</v>
      </c>
      <c r="H349" s="39">
        <v>520.0</v>
      </c>
      <c r="N349" s="39" t="s">
        <v>938</v>
      </c>
      <c r="R349" s="39" t="s">
        <v>832</v>
      </c>
      <c r="S349" s="39" t="s">
        <v>939</v>
      </c>
      <c r="T349" s="39" t="s">
        <v>741</v>
      </c>
      <c r="U349" s="39" t="s">
        <v>938</v>
      </c>
      <c r="X349" s="39" t="s">
        <v>994</v>
      </c>
      <c r="Y349" s="39" t="s">
        <v>944</v>
      </c>
      <c r="Z349" s="39" t="s">
        <v>828</v>
      </c>
      <c r="AB349" s="39">
        <v>0.516666666666666</v>
      </c>
    </row>
    <row r="350">
      <c r="A350" s="39" t="s">
        <v>968</v>
      </c>
      <c r="B350" s="39" t="s">
        <v>969</v>
      </c>
      <c r="C350" s="39">
        <v>2.33333333333333</v>
      </c>
      <c r="D350" s="41">
        <v>43978.0</v>
      </c>
      <c r="E350" s="39" t="s">
        <v>828</v>
      </c>
      <c r="F350" s="39" t="s">
        <v>829</v>
      </c>
      <c r="G350" s="39" t="s">
        <v>830</v>
      </c>
      <c r="H350" s="39">
        <v>520.0</v>
      </c>
      <c r="N350" s="39" t="s">
        <v>938</v>
      </c>
      <c r="R350" s="39" t="s">
        <v>957</v>
      </c>
      <c r="S350" s="39" t="s">
        <v>966</v>
      </c>
      <c r="T350" s="39" t="s">
        <v>741</v>
      </c>
      <c r="U350" s="39" t="s">
        <v>938</v>
      </c>
      <c r="X350" s="39" t="s">
        <v>970</v>
      </c>
      <c r="Y350" s="39" t="s">
        <v>941</v>
      </c>
      <c r="Z350" s="39" t="s">
        <v>828</v>
      </c>
      <c r="AB350" s="39">
        <v>2.33333333333333</v>
      </c>
    </row>
    <row r="351">
      <c r="A351" s="39" t="s">
        <v>1003</v>
      </c>
      <c r="B351" s="39" t="s">
        <v>1004</v>
      </c>
      <c r="C351" s="39">
        <v>1.01666666666666</v>
      </c>
      <c r="D351" s="41">
        <v>43978.0</v>
      </c>
      <c r="E351" s="39" t="s">
        <v>828</v>
      </c>
      <c r="F351" s="39" t="s">
        <v>829</v>
      </c>
      <c r="G351" s="39" t="s">
        <v>830</v>
      </c>
      <c r="H351" s="39">
        <v>520.0</v>
      </c>
      <c r="N351" s="39" t="s">
        <v>938</v>
      </c>
      <c r="R351" s="39" t="s">
        <v>832</v>
      </c>
      <c r="S351" s="39" t="s">
        <v>939</v>
      </c>
      <c r="T351" s="39" t="s">
        <v>741</v>
      </c>
      <c r="U351" s="39" t="s">
        <v>938</v>
      </c>
      <c r="X351" s="39" t="s">
        <v>1005</v>
      </c>
      <c r="Y351" s="39" t="s">
        <v>944</v>
      </c>
      <c r="Z351" s="39" t="s">
        <v>872</v>
      </c>
      <c r="AB351" s="39">
        <v>1.01666666666666</v>
      </c>
    </row>
    <row r="352">
      <c r="A352" s="39" t="s">
        <v>944</v>
      </c>
      <c r="B352" s="39" t="s">
        <v>1001</v>
      </c>
      <c r="C352" s="39">
        <v>0.85</v>
      </c>
      <c r="D352" s="41">
        <v>43978.0</v>
      </c>
      <c r="E352" s="39" t="s">
        <v>828</v>
      </c>
      <c r="F352" s="39" t="s">
        <v>829</v>
      </c>
      <c r="G352" s="39" t="s">
        <v>830</v>
      </c>
      <c r="H352" s="39">
        <v>520.0</v>
      </c>
      <c r="N352" s="39" t="s">
        <v>938</v>
      </c>
      <c r="R352" s="39" t="s">
        <v>72</v>
      </c>
      <c r="S352" s="39" t="s">
        <v>939</v>
      </c>
      <c r="T352" s="39" t="s">
        <v>741</v>
      </c>
      <c r="U352" s="39" t="s">
        <v>938</v>
      </c>
      <c r="X352" s="39" t="s">
        <v>1002</v>
      </c>
      <c r="Z352" s="39" t="s">
        <v>872</v>
      </c>
      <c r="AB352" s="39">
        <v>0.85</v>
      </c>
    </row>
    <row r="353">
      <c r="A353" s="39" t="s">
        <v>960</v>
      </c>
      <c r="B353" s="39" t="s">
        <v>961</v>
      </c>
      <c r="C353" s="39">
        <v>1.81666666666666</v>
      </c>
      <c r="D353" s="41">
        <v>43979.0</v>
      </c>
      <c r="E353" s="39" t="s">
        <v>828</v>
      </c>
      <c r="F353" s="39" t="s">
        <v>829</v>
      </c>
      <c r="G353" s="39" t="s">
        <v>830</v>
      </c>
      <c r="H353" s="39">
        <v>520.0</v>
      </c>
      <c r="N353" s="39" t="s">
        <v>883</v>
      </c>
      <c r="R353" s="39" t="s">
        <v>832</v>
      </c>
      <c r="S353" s="39" t="s">
        <v>833</v>
      </c>
      <c r="T353" s="39" t="s">
        <v>884</v>
      </c>
      <c r="U353" s="39" t="s">
        <v>883</v>
      </c>
      <c r="X353" s="39" t="s">
        <v>962</v>
      </c>
      <c r="Z353" s="39" t="s">
        <v>852</v>
      </c>
      <c r="AB353" s="39">
        <v>1.81666666666666</v>
      </c>
      <c r="AC353" s="39">
        <v>40.0</v>
      </c>
      <c r="AD353" s="39">
        <v>8.53333333333333</v>
      </c>
    </row>
    <row r="354">
      <c r="A354" s="39" t="s">
        <v>968</v>
      </c>
      <c r="B354" s="39" t="s">
        <v>969</v>
      </c>
      <c r="C354" s="39">
        <v>0.183333333333333</v>
      </c>
      <c r="D354" s="41">
        <v>43979.0</v>
      </c>
      <c r="E354" s="39" t="s">
        <v>828</v>
      </c>
      <c r="F354" s="39" t="s">
        <v>829</v>
      </c>
      <c r="G354" s="39" t="s">
        <v>830</v>
      </c>
      <c r="H354" s="39">
        <v>520.0</v>
      </c>
      <c r="N354" s="39" t="s">
        <v>938</v>
      </c>
      <c r="R354" s="39" t="s">
        <v>957</v>
      </c>
      <c r="S354" s="39" t="s">
        <v>966</v>
      </c>
      <c r="T354" s="39" t="s">
        <v>741</v>
      </c>
      <c r="U354" s="39" t="s">
        <v>938</v>
      </c>
      <c r="X354" s="39" t="s">
        <v>970</v>
      </c>
      <c r="Y354" s="39" t="s">
        <v>941</v>
      </c>
      <c r="Z354" s="39" t="s">
        <v>828</v>
      </c>
      <c r="AB354" s="39">
        <v>0.183333333333333</v>
      </c>
    </row>
    <row r="355">
      <c r="A355" s="39" t="s">
        <v>944</v>
      </c>
      <c r="B355" s="39" t="s">
        <v>1001</v>
      </c>
      <c r="C355" s="39">
        <v>0.883333333333333</v>
      </c>
      <c r="D355" s="41">
        <v>43979.0</v>
      </c>
      <c r="E355" s="39" t="s">
        <v>828</v>
      </c>
      <c r="F355" s="39" t="s">
        <v>829</v>
      </c>
      <c r="G355" s="39" t="s">
        <v>830</v>
      </c>
      <c r="H355" s="39">
        <v>520.0</v>
      </c>
      <c r="N355" s="39" t="s">
        <v>938</v>
      </c>
      <c r="R355" s="39" t="s">
        <v>72</v>
      </c>
      <c r="S355" s="39" t="s">
        <v>939</v>
      </c>
      <c r="T355" s="39" t="s">
        <v>741</v>
      </c>
      <c r="U355" s="39" t="s">
        <v>938</v>
      </c>
      <c r="X355" s="39" t="s">
        <v>1002</v>
      </c>
      <c r="Z355" s="39" t="s">
        <v>872</v>
      </c>
      <c r="AB355" s="39">
        <v>0.883333333333333</v>
      </c>
    </row>
    <row r="356">
      <c r="A356" s="39" t="s">
        <v>1009</v>
      </c>
      <c r="B356" s="39" t="s">
        <v>1010</v>
      </c>
      <c r="C356" s="39">
        <v>0.183333333333333</v>
      </c>
      <c r="D356" s="41">
        <v>43980.0</v>
      </c>
      <c r="E356" s="39" t="s">
        <v>828</v>
      </c>
      <c r="F356" s="39" t="s">
        <v>829</v>
      </c>
      <c r="G356" s="39" t="s">
        <v>830</v>
      </c>
      <c r="H356" s="39">
        <v>520.0</v>
      </c>
      <c r="N356" s="39" t="s">
        <v>883</v>
      </c>
      <c r="R356" s="39" t="s">
        <v>832</v>
      </c>
      <c r="S356" s="39" t="s">
        <v>833</v>
      </c>
      <c r="T356" s="39" t="s">
        <v>884</v>
      </c>
      <c r="U356" s="39" t="s">
        <v>883</v>
      </c>
      <c r="W356" s="39" t="s">
        <v>904</v>
      </c>
      <c r="X356" s="39" t="s">
        <v>1011</v>
      </c>
      <c r="Z356" s="39" t="s">
        <v>900</v>
      </c>
      <c r="AB356" s="39">
        <v>0.183333333333333</v>
      </c>
      <c r="AC356" s="39">
        <v>3.0</v>
      </c>
      <c r="AD356" s="39">
        <v>0.0</v>
      </c>
    </row>
    <row r="357">
      <c r="A357" s="39" t="s">
        <v>1003</v>
      </c>
      <c r="B357" s="39" t="s">
        <v>1004</v>
      </c>
      <c r="C357" s="39">
        <v>0.116666666666666</v>
      </c>
      <c r="D357" s="41">
        <v>43980.0</v>
      </c>
      <c r="E357" s="39" t="s">
        <v>828</v>
      </c>
      <c r="F357" s="39" t="s">
        <v>829</v>
      </c>
      <c r="G357" s="39" t="s">
        <v>830</v>
      </c>
      <c r="H357" s="39">
        <v>520.0</v>
      </c>
      <c r="N357" s="39" t="s">
        <v>938</v>
      </c>
      <c r="R357" s="39" t="s">
        <v>832</v>
      </c>
      <c r="S357" s="39" t="s">
        <v>939</v>
      </c>
      <c r="T357" s="39" t="s">
        <v>741</v>
      </c>
      <c r="U357" s="39" t="s">
        <v>938</v>
      </c>
      <c r="X357" s="39" t="s">
        <v>1005</v>
      </c>
      <c r="Y357" s="39" t="s">
        <v>944</v>
      </c>
      <c r="Z357" s="39" t="s">
        <v>872</v>
      </c>
      <c r="AB357" s="39">
        <v>0.116666666666666</v>
      </c>
    </row>
    <row r="358">
      <c r="A358" s="39" t="s">
        <v>977</v>
      </c>
      <c r="B358" s="39" t="s">
        <v>978</v>
      </c>
      <c r="C358" s="39">
        <v>0.516666666666666</v>
      </c>
      <c r="D358" s="41">
        <v>43980.0</v>
      </c>
      <c r="E358" s="39" t="s">
        <v>828</v>
      </c>
      <c r="F358" s="39" t="s">
        <v>829</v>
      </c>
      <c r="G358" s="39" t="s">
        <v>830</v>
      </c>
      <c r="H358" s="39">
        <v>520.0</v>
      </c>
      <c r="N358" s="39" t="s">
        <v>938</v>
      </c>
      <c r="R358" s="39" t="s">
        <v>957</v>
      </c>
      <c r="S358" s="39" t="s">
        <v>966</v>
      </c>
      <c r="T358" s="39" t="s">
        <v>741</v>
      </c>
      <c r="U358" s="39" t="s">
        <v>938</v>
      </c>
      <c r="X358" s="39" t="s">
        <v>979</v>
      </c>
      <c r="Y358" s="39" t="s">
        <v>941</v>
      </c>
      <c r="Z358" s="39" t="s">
        <v>828</v>
      </c>
      <c r="AB358" s="39">
        <v>0.516666666666666</v>
      </c>
    </row>
    <row r="359">
      <c r="A359" s="39" t="s">
        <v>968</v>
      </c>
      <c r="B359" s="39" t="s">
        <v>969</v>
      </c>
      <c r="C359" s="39">
        <v>0.216666666666666</v>
      </c>
      <c r="D359" s="41">
        <v>43980.0</v>
      </c>
      <c r="E359" s="39" t="s">
        <v>828</v>
      </c>
      <c r="F359" s="39" t="s">
        <v>829</v>
      </c>
      <c r="G359" s="39" t="s">
        <v>830</v>
      </c>
      <c r="H359" s="39">
        <v>520.0</v>
      </c>
      <c r="N359" s="39" t="s">
        <v>938</v>
      </c>
      <c r="R359" s="39" t="s">
        <v>957</v>
      </c>
      <c r="S359" s="39" t="s">
        <v>966</v>
      </c>
      <c r="T359" s="39" t="s">
        <v>741</v>
      </c>
      <c r="U359" s="39" t="s">
        <v>938</v>
      </c>
      <c r="X359" s="39" t="s">
        <v>970</v>
      </c>
      <c r="Y359" s="39" t="s">
        <v>941</v>
      </c>
      <c r="Z359" s="39" t="s">
        <v>828</v>
      </c>
      <c r="AB359" s="39">
        <v>0.216666666666666</v>
      </c>
    </row>
    <row r="360">
      <c r="A360" s="39" t="s">
        <v>944</v>
      </c>
      <c r="B360" s="39" t="s">
        <v>1001</v>
      </c>
      <c r="C360" s="39">
        <v>0.666666666666666</v>
      </c>
      <c r="D360" s="41">
        <v>43980.0</v>
      </c>
      <c r="E360" s="39" t="s">
        <v>828</v>
      </c>
      <c r="F360" s="39" t="s">
        <v>829</v>
      </c>
      <c r="G360" s="39" t="s">
        <v>830</v>
      </c>
      <c r="H360" s="39">
        <v>520.0</v>
      </c>
      <c r="N360" s="39" t="s">
        <v>938</v>
      </c>
      <c r="R360" s="39" t="s">
        <v>72</v>
      </c>
      <c r="S360" s="39" t="s">
        <v>939</v>
      </c>
      <c r="T360" s="39" t="s">
        <v>741</v>
      </c>
      <c r="U360" s="39" t="s">
        <v>938</v>
      </c>
      <c r="X360" s="39" t="s">
        <v>1002</v>
      </c>
      <c r="Z360" s="39" t="s">
        <v>872</v>
      </c>
      <c r="AB360" s="39">
        <v>0.666666666666666</v>
      </c>
    </row>
    <row r="361">
      <c r="A361" s="39" t="s">
        <v>986</v>
      </c>
      <c r="B361" s="39" t="s">
        <v>987</v>
      </c>
      <c r="C361" s="39">
        <v>0.95</v>
      </c>
      <c r="D361" s="41">
        <v>43980.0</v>
      </c>
      <c r="E361" s="39" t="s">
        <v>828</v>
      </c>
      <c r="F361" s="39" t="s">
        <v>829</v>
      </c>
      <c r="G361" s="39" t="s">
        <v>830</v>
      </c>
      <c r="H361" s="39">
        <v>520.0</v>
      </c>
      <c r="N361" s="39" t="s">
        <v>938</v>
      </c>
      <c r="R361" s="39" t="s">
        <v>832</v>
      </c>
      <c r="S361" s="39" t="s">
        <v>939</v>
      </c>
      <c r="T361" s="39" t="s">
        <v>741</v>
      </c>
      <c r="U361" s="39" t="s">
        <v>938</v>
      </c>
      <c r="X361" s="39" t="s">
        <v>988</v>
      </c>
      <c r="Y361" s="39" t="s">
        <v>944</v>
      </c>
      <c r="Z361" s="39" t="s">
        <v>872</v>
      </c>
      <c r="AB361" s="39">
        <v>0.95</v>
      </c>
    </row>
    <row r="362">
      <c r="A362" s="39" t="s">
        <v>960</v>
      </c>
      <c r="B362" s="39" t="s">
        <v>961</v>
      </c>
      <c r="C362" s="39">
        <v>2.38333333333333</v>
      </c>
      <c r="D362" s="41">
        <v>43983.0</v>
      </c>
      <c r="E362" s="39" t="s">
        <v>828</v>
      </c>
      <c r="F362" s="39" t="s">
        <v>829</v>
      </c>
      <c r="G362" s="39" t="s">
        <v>830</v>
      </c>
      <c r="H362" s="39">
        <v>620.0</v>
      </c>
      <c r="N362" s="39" t="s">
        <v>883</v>
      </c>
      <c r="R362" s="39" t="s">
        <v>832</v>
      </c>
      <c r="S362" s="39" t="s">
        <v>833</v>
      </c>
      <c r="T362" s="39" t="s">
        <v>884</v>
      </c>
      <c r="U362" s="39" t="s">
        <v>883</v>
      </c>
      <c r="X362" s="39" t="s">
        <v>962</v>
      </c>
      <c r="Z362" s="39" t="s">
        <v>852</v>
      </c>
      <c r="AB362" s="39">
        <v>2.38333333333333</v>
      </c>
      <c r="AC362" s="39">
        <v>40.0</v>
      </c>
      <c r="AD362" s="39">
        <v>8.53333333333333</v>
      </c>
    </row>
    <row r="363">
      <c r="A363" s="39" t="s">
        <v>933</v>
      </c>
      <c r="B363" s="39" t="s">
        <v>934</v>
      </c>
      <c r="C363" s="39">
        <v>0.4</v>
      </c>
      <c r="D363" s="41">
        <v>43983.0</v>
      </c>
      <c r="E363" s="39" t="s">
        <v>828</v>
      </c>
      <c r="F363" s="39" t="s">
        <v>829</v>
      </c>
      <c r="G363" s="39" t="s">
        <v>830</v>
      </c>
      <c r="H363" s="39">
        <v>620.0</v>
      </c>
      <c r="N363" s="39" t="s">
        <v>883</v>
      </c>
      <c r="R363" s="39" t="s">
        <v>832</v>
      </c>
      <c r="S363" s="39" t="s">
        <v>833</v>
      </c>
      <c r="T363" s="39" t="s">
        <v>884</v>
      </c>
      <c r="U363" s="39" t="s">
        <v>883</v>
      </c>
      <c r="W363" s="39" t="s">
        <v>96</v>
      </c>
      <c r="X363" s="39" t="s">
        <v>935</v>
      </c>
      <c r="Z363" s="39" t="s">
        <v>876</v>
      </c>
      <c r="AB363" s="39">
        <v>0.4</v>
      </c>
      <c r="AC363" s="39">
        <v>16.0</v>
      </c>
      <c r="AD363" s="39">
        <v>0.0</v>
      </c>
    </row>
    <row r="364">
      <c r="A364" s="39" t="s">
        <v>571</v>
      </c>
      <c r="B364" s="39" t="s">
        <v>572</v>
      </c>
      <c r="C364" s="39">
        <v>0.266666666666666</v>
      </c>
      <c r="D364" s="41">
        <v>43983.0</v>
      </c>
      <c r="E364" s="39" t="s">
        <v>828</v>
      </c>
      <c r="F364" s="39" t="s">
        <v>829</v>
      </c>
      <c r="G364" s="39" t="s">
        <v>830</v>
      </c>
      <c r="H364" s="39">
        <v>620.0</v>
      </c>
      <c r="N364" s="39" t="s">
        <v>831</v>
      </c>
      <c r="R364" s="39" t="s">
        <v>832</v>
      </c>
      <c r="S364" s="39" t="s">
        <v>842</v>
      </c>
      <c r="T364" s="39" t="s">
        <v>834</v>
      </c>
      <c r="U364" s="39" t="s">
        <v>831</v>
      </c>
      <c r="W364" s="39" t="s">
        <v>302</v>
      </c>
      <c r="X364" s="39" t="s">
        <v>843</v>
      </c>
      <c r="Z364" s="39" t="s">
        <v>828</v>
      </c>
      <c r="AB364" s="39">
        <v>0.266666666666666</v>
      </c>
    </row>
    <row r="365">
      <c r="A365" s="39" t="s">
        <v>941</v>
      </c>
      <c r="B365" s="39" t="s">
        <v>942</v>
      </c>
      <c r="C365" s="39">
        <v>1.13333333333333</v>
      </c>
      <c r="D365" s="41">
        <v>43983.0</v>
      </c>
      <c r="E365" s="39" t="s">
        <v>828</v>
      </c>
      <c r="F365" s="39" t="s">
        <v>829</v>
      </c>
      <c r="G365" s="39" t="s">
        <v>830</v>
      </c>
      <c r="H365" s="39">
        <v>620.0</v>
      </c>
      <c r="N365" s="39" t="s">
        <v>938</v>
      </c>
      <c r="R365" s="39" t="s">
        <v>832</v>
      </c>
      <c r="S365" s="39" t="s">
        <v>939</v>
      </c>
      <c r="T365" s="39" t="s">
        <v>741</v>
      </c>
      <c r="U365" s="39" t="s">
        <v>938</v>
      </c>
      <c r="X365" s="39" t="s">
        <v>943</v>
      </c>
      <c r="Y365" s="39" t="s">
        <v>944</v>
      </c>
      <c r="Z365" s="39" t="s">
        <v>872</v>
      </c>
      <c r="AB365" s="39">
        <v>1.13333333333333</v>
      </c>
    </row>
    <row r="366">
      <c r="A366" s="39" t="s">
        <v>944</v>
      </c>
      <c r="B366" s="39" t="s">
        <v>1001</v>
      </c>
      <c r="C366" s="39">
        <v>0.25</v>
      </c>
      <c r="D366" s="41">
        <v>43983.0</v>
      </c>
      <c r="E366" s="39" t="s">
        <v>828</v>
      </c>
      <c r="F366" s="39" t="s">
        <v>829</v>
      </c>
      <c r="G366" s="39" t="s">
        <v>830</v>
      </c>
      <c r="H366" s="39">
        <v>620.0</v>
      </c>
      <c r="N366" s="39" t="s">
        <v>938</v>
      </c>
      <c r="R366" s="39" t="s">
        <v>72</v>
      </c>
      <c r="S366" s="39" t="s">
        <v>939</v>
      </c>
      <c r="T366" s="39" t="s">
        <v>741</v>
      </c>
      <c r="U366" s="39" t="s">
        <v>938</v>
      </c>
      <c r="X366" s="39" t="s">
        <v>1002</v>
      </c>
      <c r="Z366" s="39" t="s">
        <v>872</v>
      </c>
      <c r="AB366" s="39">
        <v>0.25</v>
      </c>
    </row>
    <row r="367">
      <c r="A367" s="39" t="s">
        <v>960</v>
      </c>
      <c r="B367" s="39" t="s">
        <v>961</v>
      </c>
      <c r="C367" s="39">
        <v>2.46666666666666</v>
      </c>
      <c r="D367" s="41">
        <v>43984.0</v>
      </c>
      <c r="E367" s="39" t="s">
        <v>828</v>
      </c>
      <c r="F367" s="39" t="s">
        <v>829</v>
      </c>
      <c r="G367" s="39" t="s">
        <v>830</v>
      </c>
      <c r="H367" s="39">
        <v>620.0</v>
      </c>
      <c r="N367" s="39" t="s">
        <v>883</v>
      </c>
      <c r="R367" s="39" t="s">
        <v>832</v>
      </c>
      <c r="S367" s="39" t="s">
        <v>833</v>
      </c>
      <c r="T367" s="39" t="s">
        <v>884</v>
      </c>
      <c r="U367" s="39" t="s">
        <v>883</v>
      </c>
      <c r="X367" s="39" t="s">
        <v>962</v>
      </c>
      <c r="Z367" s="39" t="s">
        <v>852</v>
      </c>
      <c r="AB367" s="39">
        <v>2.46666666666666</v>
      </c>
      <c r="AC367" s="39">
        <v>40.0</v>
      </c>
      <c r="AD367" s="39">
        <v>8.53333333333333</v>
      </c>
    </row>
    <row r="368">
      <c r="A368" s="39" t="s">
        <v>1012</v>
      </c>
      <c r="B368" s="39" t="s">
        <v>1013</v>
      </c>
      <c r="C368" s="39">
        <v>0.35</v>
      </c>
      <c r="D368" s="41">
        <v>43984.0</v>
      </c>
      <c r="E368" s="39" t="s">
        <v>828</v>
      </c>
      <c r="F368" s="39" t="s">
        <v>829</v>
      </c>
      <c r="G368" s="39" t="s">
        <v>830</v>
      </c>
      <c r="H368" s="39">
        <v>620.0</v>
      </c>
      <c r="N368" s="39" t="s">
        <v>938</v>
      </c>
      <c r="R368" s="39" t="s">
        <v>957</v>
      </c>
      <c r="S368" s="39" t="s">
        <v>966</v>
      </c>
      <c r="T368" s="39" t="s">
        <v>741</v>
      </c>
      <c r="U368" s="39" t="s">
        <v>938</v>
      </c>
      <c r="X368" s="39" t="s">
        <v>1014</v>
      </c>
      <c r="Y368" s="39" t="s">
        <v>1015</v>
      </c>
      <c r="Z368" s="39" t="s">
        <v>828</v>
      </c>
      <c r="AB368" s="39">
        <v>0.35</v>
      </c>
    </row>
    <row r="369">
      <c r="A369" s="39" t="s">
        <v>944</v>
      </c>
      <c r="B369" s="39" t="s">
        <v>1001</v>
      </c>
      <c r="C369" s="39">
        <v>0.5</v>
      </c>
      <c r="D369" s="41">
        <v>43984.0</v>
      </c>
      <c r="E369" s="39" t="s">
        <v>828</v>
      </c>
      <c r="F369" s="39" t="s">
        <v>829</v>
      </c>
      <c r="G369" s="39" t="s">
        <v>830</v>
      </c>
      <c r="H369" s="39">
        <v>620.0</v>
      </c>
      <c r="N369" s="39" t="s">
        <v>938</v>
      </c>
      <c r="R369" s="39" t="s">
        <v>72</v>
      </c>
      <c r="S369" s="39" t="s">
        <v>939</v>
      </c>
      <c r="T369" s="39" t="s">
        <v>741</v>
      </c>
      <c r="U369" s="39" t="s">
        <v>938</v>
      </c>
      <c r="X369" s="39" t="s">
        <v>1002</v>
      </c>
      <c r="Z369" s="39" t="s">
        <v>872</v>
      </c>
      <c r="AB369" s="39">
        <v>0.5</v>
      </c>
    </row>
    <row r="370">
      <c r="A370" s="39" t="s">
        <v>968</v>
      </c>
      <c r="B370" s="39" t="s">
        <v>969</v>
      </c>
      <c r="C370" s="39">
        <v>0.216666666666666</v>
      </c>
      <c r="D370" s="41">
        <v>43985.0</v>
      </c>
      <c r="E370" s="39" t="s">
        <v>828</v>
      </c>
      <c r="F370" s="39" t="s">
        <v>829</v>
      </c>
      <c r="G370" s="39" t="s">
        <v>830</v>
      </c>
      <c r="H370" s="39">
        <v>620.0</v>
      </c>
      <c r="N370" s="39" t="s">
        <v>938</v>
      </c>
      <c r="R370" s="39" t="s">
        <v>957</v>
      </c>
      <c r="S370" s="39" t="s">
        <v>966</v>
      </c>
      <c r="T370" s="39" t="s">
        <v>741</v>
      </c>
      <c r="U370" s="39" t="s">
        <v>938</v>
      </c>
      <c r="X370" s="39" t="s">
        <v>970</v>
      </c>
      <c r="Y370" s="39" t="s">
        <v>941</v>
      </c>
      <c r="Z370" s="39" t="s">
        <v>828</v>
      </c>
      <c r="AB370" s="39">
        <v>0.216666666666666</v>
      </c>
    </row>
    <row r="371">
      <c r="A371" s="39" t="s">
        <v>960</v>
      </c>
      <c r="B371" s="39" t="s">
        <v>961</v>
      </c>
      <c r="C371" s="39">
        <v>3.45</v>
      </c>
      <c r="D371" s="41">
        <v>43985.0</v>
      </c>
      <c r="E371" s="39" t="s">
        <v>828</v>
      </c>
      <c r="F371" s="39" t="s">
        <v>829</v>
      </c>
      <c r="G371" s="39" t="s">
        <v>830</v>
      </c>
      <c r="H371" s="39">
        <v>620.0</v>
      </c>
      <c r="N371" s="39" t="s">
        <v>883</v>
      </c>
      <c r="R371" s="39" t="s">
        <v>832</v>
      </c>
      <c r="S371" s="39" t="s">
        <v>833</v>
      </c>
      <c r="T371" s="39" t="s">
        <v>884</v>
      </c>
      <c r="U371" s="39" t="s">
        <v>883</v>
      </c>
      <c r="X371" s="39" t="s">
        <v>962</v>
      </c>
      <c r="Z371" s="39" t="s">
        <v>852</v>
      </c>
      <c r="AB371" s="39">
        <v>3.45</v>
      </c>
      <c r="AC371" s="39">
        <v>40.0</v>
      </c>
      <c r="AD371" s="39">
        <v>8.53333333333333</v>
      </c>
    </row>
    <row r="372">
      <c r="A372" s="39" t="s">
        <v>1012</v>
      </c>
      <c r="B372" s="39" t="s">
        <v>1013</v>
      </c>
      <c r="C372" s="39">
        <v>0.116666666666666</v>
      </c>
      <c r="D372" s="41">
        <v>43985.0</v>
      </c>
      <c r="E372" s="39" t="s">
        <v>828</v>
      </c>
      <c r="F372" s="39" t="s">
        <v>829</v>
      </c>
      <c r="G372" s="39" t="s">
        <v>830</v>
      </c>
      <c r="H372" s="39">
        <v>620.0</v>
      </c>
      <c r="N372" s="39" t="s">
        <v>938</v>
      </c>
      <c r="R372" s="39" t="s">
        <v>957</v>
      </c>
      <c r="S372" s="39" t="s">
        <v>966</v>
      </c>
      <c r="T372" s="39" t="s">
        <v>741</v>
      </c>
      <c r="U372" s="39" t="s">
        <v>938</v>
      </c>
      <c r="X372" s="39" t="s">
        <v>1014</v>
      </c>
      <c r="Y372" s="39" t="s">
        <v>1015</v>
      </c>
      <c r="Z372" s="39" t="s">
        <v>828</v>
      </c>
      <c r="AB372" s="39">
        <v>0.116666666666666</v>
      </c>
    </row>
    <row r="373">
      <c r="A373" s="39" t="s">
        <v>941</v>
      </c>
      <c r="B373" s="39" t="s">
        <v>942</v>
      </c>
      <c r="C373" s="39">
        <v>0.233333333333333</v>
      </c>
      <c r="D373" s="41">
        <v>43985.0</v>
      </c>
      <c r="E373" s="39" t="s">
        <v>828</v>
      </c>
      <c r="F373" s="39" t="s">
        <v>829</v>
      </c>
      <c r="G373" s="39" t="s">
        <v>830</v>
      </c>
      <c r="H373" s="39">
        <v>620.0</v>
      </c>
      <c r="N373" s="39" t="s">
        <v>938</v>
      </c>
      <c r="R373" s="39" t="s">
        <v>832</v>
      </c>
      <c r="S373" s="39" t="s">
        <v>939</v>
      </c>
      <c r="T373" s="39" t="s">
        <v>741</v>
      </c>
      <c r="U373" s="39" t="s">
        <v>938</v>
      </c>
      <c r="X373" s="39" t="s">
        <v>943</v>
      </c>
      <c r="Y373" s="39" t="s">
        <v>944</v>
      </c>
      <c r="Z373" s="39" t="s">
        <v>872</v>
      </c>
      <c r="AB373" s="39">
        <v>0.233333333333333</v>
      </c>
    </row>
    <row r="374">
      <c r="A374" s="39" t="s">
        <v>1012</v>
      </c>
      <c r="B374" s="39" t="s">
        <v>1013</v>
      </c>
      <c r="C374" s="39">
        <v>0.433333333333333</v>
      </c>
      <c r="D374" s="41">
        <v>43986.0</v>
      </c>
      <c r="E374" s="39" t="s">
        <v>828</v>
      </c>
      <c r="F374" s="39" t="s">
        <v>829</v>
      </c>
      <c r="G374" s="39" t="s">
        <v>830</v>
      </c>
      <c r="H374" s="39">
        <v>620.0</v>
      </c>
      <c r="N374" s="39" t="s">
        <v>938</v>
      </c>
      <c r="R374" s="39" t="s">
        <v>957</v>
      </c>
      <c r="S374" s="39" t="s">
        <v>966</v>
      </c>
      <c r="T374" s="39" t="s">
        <v>741</v>
      </c>
      <c r="U374" s="39" t="s">
        <v>938</v>
      </c>
      <c r="X374" s="39" t="s">
        <v>1014</v>
      </c>
      <c r="Y374" s="39" t="s">
        <v>1015</v>
      </c>
      <c r="Z374" s="39" t="s">
        <v>828</v>
      </c>
      <c r="AB374" s="39">
        <v>0.433333333333333</v>
      </c>
    </row>
    <row r="375">
      <c r="A375" s="39" t="s">
        <v>960</v>
      </c>
      <c r="B375" s="39" t="s">
        <v>961</v>
      </c>
      <c r="C375" s="39">
        <v>6.11666666666666</v>
      </c>
      <c r="D375" s="41">
        <v>43986.0</v>
      </c>
      <c r="E375" s="39" t="s">
        <v>828</v>
      </c>
      <c r="F375" s="39" t="s">
        <v>829</v>
      </c>
      <c r="G375" s="39" t="s">
        <v>830</v>
      </c>
      <c r="H375" s="39">
        <v>620.0</v>
      </c>
      <c r="N375" s="39" t="s">
        <v>883</v>
      </c>
      <c r="R375" s="39" t="s">
        <v>832</v>
      </c>
      <c r="S375" s="39" t="s">
        <v>833</v>
      </c>
      <c r="T375" s="39" t="s">
        <v>884</v>
      </c>
      <c r="U375" s="39" t="s">
        <v>883</v>
      </c>
      <c r="X375" s="39" t="s">
        <v>962</v>
      </c>
      <c r="Z375" s="39" t="s">
        <v>852</v>
      </c>
      <c r="AB375" s="39">
        <v>6.11666666666666</v>
      </c>
      <c r="AC375" s="39">
        <v>40.0</v>
      </c>
      <c r="AD375" s="39">
        <v>8.53333333333333</v>
      </c>
    </row>
    <row r="376">
      <c r="A376" s="39" t="s">
        <v>944</v>
      </c>
      <c r="B376" s="39" t="s">
        <v>1001</v>
      </c>
      <c r="C376" s="39">
        <v>0.483333333333333</v>
      </c>
      <c r="D376" s="41">
        <v>43986.0</v>
      </c>
      <c r="E376" s="39" t="s">
        <v>828</v>
      </c>
      <c r="F376" s="39" t="s">
        <v>829</v>
      </c>
      <c r="G376" s="39" t="s">
        <v>830</v>
      </c>
      <c r="H376" s="39">
        <v>620.0</v>
      </c>
      <c r="N376" s="39" t="s">
        <v>938</v>
      </c>
      <c r="R376" s="39" t="s">
        <v>72</v>
      </c>
      <c r="S376" s="39" t="s">
        <v>939</v>
      </c>
      <c r="T376" s="39" t="s">
        <v>741</v>
      </c>
      <c r="U376" s="39" t="s">
        <v>938</v>
      </c>
      <c r="X376" s="39" t="s">
        <v>1002</v>
      </c>
      <c r="Z376" s="39" t="s">
        <v>872</v>
      </c>
      <c r="AB376" s="39">
        <v>0.483333333333333</v>
      </c>
    </row>
    <row r="377">
      <c r="A377" s="39" t="s">
        <v>960</v>
      </c>
      <c r="B377" s="39" t="s">
        <v>961</v>
      </c>
      <c r="C377" s="39">
        <v>4.16666666666666</v>
      </c>
      <c r="D377" s="41">
        <v>43987.0</v>
      </c>
      <c r="E377" s="39" t="s">
        <v>828</v>
      </c>
      <c r="F377" s="39" t="s">
        <v>829</v>
      </c>
      <c r="G377" s="39" t="s">
        <v>830</v>
      </c>
      <c r="H377" s="39">
        <v>620.0</v>
      </c>
      <c r="N377" s="39" t="s">
        <v>883</v>
      </c>
      <c r="R377" s="39" t="s">
        <v>832</v>
      </c>
      <c r="S377" s="39" t="s">
        <v>833</v>
      </c>
      <c r="T377" s="39" t="s">
        <v>884</v>
      </c>
      <c r="U377" s="39" t="s">
        <v>883</v>
      </c>
      <c r="X377" s="39" t="s">
        <v>962</v>
      </c>
      <c r="Z377" s="39" t="s">
        <v>852</v>
      </c>
      <c r="AB377" s="39">
        <v>4.16666666666666</v>
      </c>
      <c r="AC377" s="39">
        <v>40.0</v>
      </c>
      <c r="AD377" s="39">
        <v>8.53333333333333</v>
      </c>
    </row>
    <row r="378">
      <c r="A378" s="39" t="s">
        <v>944</v>
      </c>
      <c r="B378" s="39" t="s">
        <v>1001</v>
      </c>
      <c r="C378" s="39">
        <v>0.3</v>
      </c>
      <c r="D378" s="41">
        <v>43987.0</v>
      </c>
      <c r="E378" s="39" t="s">
        <v>828</v>
      </c>
      <c r="F378" s="39" t="s">
        <v>829</v>
      </c>
      <c r="G378" s="39" t="s">
        <v>830</v>
      </c>
      <c r="H378" s="39">
        <v>620.0</v>
      </c>
      <c r="N378" s="39" t="s">
        <v>938</v>
      </c>
      <c r="R378" s="39" t="s">
        <v>72</v>
      </c>
      <c r="S378" s="39" t="s">
        <v>939</v>
      </c>
      <c r="T378" s="39" t="s">
        <v>741</v>
      </c>
      <c r="U378" s="39" t="s">
        <v>938</v>
      </c>
      <c r="X378" s="39" t="s">
        <v>1002</v>
      </c>
      <c r="Z378" s="39" t="s">
        <v>872</v>
      </c>
      <c r="AB378" s="39">
        <v>0.3</v>
      </c>
    </row>
    <row r="379">
      <c r="A379" s="39" t="s">
        <v>1016</v>
      </c>
      <c r="B379" s="39" t="s">
        <v>1017</v>
      </c>
      <c r="C379" s="39">
        <v>0.233333333333333</v>
      </c>
      <c r="D379" s="41">
        <v>43987.0</v>
      </c>
      <c r="E379" s="39" t="s">
        <v>828</v>
      </c>
      <c r="F379" s="39" t="s">
        <v>829</v>
      </c>
      <c r="G379" s="39" t="s">
        <v>830</v>
      </c>
      <c r="H379" s="39">
        <v>620.0</v>
      </c>
      <c r="N379" s="39" t="s">
        <v>883</v>
      </c>
      <c r="R379" s="39" t="s">
        <v>832</v>
      </c>
      <c r="S379" s="39" t="s">
        <v>833</v>
      </c>
      <c r="T379" s="39" t="s">
        <v>884</v>
      </c>
      <c r="U379" s="39" t="s">
        <v>883</v>
      </c>
      <c r="W379" s="39" t="s">
        <v>928</v>
      </c>
      <c r="X379" s="39" t="s">
        <v>1018</v>
      </c>
      <c r="Z379" s="39" t="s">
        <v>876</v>
      </c>
      <c r="AB379" s="39">
        <v>0.233333333333333</v>
      </c>
      <c r="AC379" s="39">
        <v>8.0</v>
      </c>
      <c r="AD379" s="39">
        <v>0.0</v>
      </c>
    </row>
    <row r="380">
      <c r="A380" s="39" t="s">
        <v>995</v>
      </c>
      <c r="B380" s="39" t="s">
        <v>996</v>
      </c>
      <c r="C380" s="39">
        <v>0.733333333333333</v>
      </c>
      <c r="D380" s="41">
        <v>43987.0</v>
      </c>
      <c r="E380" s="39" t="s">
        <v>828</v>
      </c>
      <c r="F380" s="39" t="s">
        <v>829</v>
      </c>
      <c r="G380" s="39" t="s">
        <v>830</v>
      </c>
      <c r="H380" s="39">
        <v>620.0</v>
      </c>
      <c r="N380" s="39" t="s">
        <v>938</v>
      </c>
      <c r="R380" s="39" t="s">
        <v>832</v>
      </c>
      <c r="S380" s="39" t="s">
        <v>939</v>
      </c>
      <c r="T380" s="39" t="s">
        <v>741</v>
      </c>
      <c r="U380" s="39" t="s">
        <v>938</v>
      </c>
      <c r="X380" s="39" t="s">
        <v>997</v>
      </c>
      <c r="Y380" s="39" t="s">
        <v>944</v>
      </c>
      <c r="Z380" s="39" t="s">
        <v>828</v>
      </c>
      <c r="AB380" s="39">
        <v>0.733333333333333</v>
      </c>
    </row>
    <row r="381">
      <c r="A381" s="39" t="s">
        <v>1012</v>
      </c>
      <c r="B381" s="39" t="s">
        <v>1013</v>
      </c>
      <c r="C381" s="39">
        <v>0.8</v>
      </c>
      <c r="D381" s="41">
        <v>43987.0</v>
      </c>
      <c r="E381" s="39" t="s">
        <v>828</v>
      </c>
      <c r="F381" s="39" t="s">
        <v>829</v>
      </c>
      <c r="G381" s="39" t="s">
        <v>830</v>
      </c>
      <c r="H381" s="39">
        <v>620.0</v>
      </c>
      <c r="N381" s="39" t="s">
        <v>938</v>
      </c>
      <c r="R381" s="39" t="s">
        <v>957</v>
      </c>
      <c r="S381" s="39" t="s">
        <v>966</v>
      </c>
      <c r="T381" s="39" t="s">
        <v>741</v>
      </c>
      <c r="U381" s="39" t="s">
        <v>938</v>
      </c>
      <c r="X381" s="39" t="s">
        <v>1014</v>
      </c>
      <c r="Y381" s="39" t="s">
        <v>1015</v>
      </c>
      <c r="Z381" s="39" t="s">
        <v>828</v>
      </c>
      <c r="AB381" s="39">
        <v>0.8</v>
      </c>
    </row>
    <row r="382">
      <c r="A382" s="39" t="s">
        <v>1019</v>
      </c>
      <c r="B382" s="39" t="s">
        <v>1020</v>
      </c>
      <c r="C382" s="39">
        <v>0.383333333333333</v>
      </c>
      <c r="D382" s="41">
        <v>43990.0</v>
      </c>
      <c r="E382" s="39" t="s">
        <v>828</v>
      </c>
      <c r="F382" s="39" t="s">
        <v>829</v>
      </c>
      <c r="G382" s="39" t="s">
        <v>830</v>
      </c>
      <c r="H382" s="39">
        <v>620.0</v>
      </c>
      <c r="N382" s="39" t="s">
        <v>883</v>
      </c>
      <c r="R382" s="39" t="s">
        <v>1021</v>
      </c>
      <c r="S382" s="39" t="s">
        <v>833</v>
      </c>
      <c r="T382" s="39" t="s">
        <v>884</v>
      </c>
      <c r="U382" s="39" t="s">
        <v>883</v>
      </c>
      <c r="W382" s="39" t="s">
        <v>835</v>
      </c>
      <c r="X382" s="39" t="s">
        <v>1022</v>
      </c>
      <c r="Z382" s="39" t="s">
        <v>1023</v>
      </c>
      <c r="AB382" s="39">
        <v>0.383333333333333</v>
      </c>
      <c r="AC382" s="39">
        <v>0.0</v>
      </c>
      <c r="AD382" s="39">
        <v>0.0</v>
      </c>
    </row>
    <row r="383">
      <c r="A383" s="39" t="s">
        <v>960</v>
      </c>
      <c r="B383" s="39" t="s">
        <v>961</v>
      </c>
      <c r="C383" s="39">
        <v>4.75</v>
      </c>
      <c r="D383" s="41">
        <v>43990.0</v>
      </c>
      <c r="E383" s="39" t="s">
        <v>828</v>
      </c>
      <c r="F383" s="39" t="s">
        <v>829</v>
      </c>
      <c r="G383" s="39" t="s">
        <v>830</v>
      </c>
      <c r="H383" s="39">
        <v>620.0</v>
      </c>
      <c r="N383" s="39" t="s">
        <v>883</v>
      </c>
      <c r="R383" s="39" t="s">
        <v>832</v>
      </c>
      <c r="S383" s="39" t="s">
        <v>833</v>
      </c>
      <c r="T383" s="39" t="s">
        <v>884</v>
      </c>
      <c r="U383" s="39" t="s">
        <v>883</v>
      </c>
      <c r="X383" s="39" t="s">
        <v>962</v>
      </c>
      <c r="Z383" s="39" t="s">
        <v>852</v>
      </c>
      <c r="AB383" s="39">
        <v>4.75</v>
      </c>
      <c r="AC383" s="39">
        <v>40.0</v>
      </c>
      <c r="AD383" s="39">
        <v>8.53333333333333</v>
      </c>
    </row>
    <row r="384">
      <c r="A384" s="39" t="s">
        <v>571</v>
      </c>
      <c r="B384" s="39" t="s">
        <v>572</v>
      </c>
      <c r="C384" s="39">
        <v>0.183333333333333</v>
      </c>
      <c r="D384" s="41">
        <v>43990.0</v>
      </c>
      <c r="E384" s="39" t="s">
        <v>828</v>
      </c>
      <c r="F384" s="39" t="s">
        <v>829</v>
      </c>
      <c r="G384" s="39" t="s">
        <v>830</v>
      </c>
      <c r="H384" s="39">
        <v>620.0</v>
      </c>
      <c r="N384" s="39" t="s">
        <v>831</v>
      </c>
      <c r="R384" s="39" t="s">
        <v>832</v>
      </c>
      <c r="S384" s="39" t="s">
        <v>842</v>
      </c>
      <c r="T384" s="39" t="s">
        <v>834</v>
      </c>
      <c r="U384" s="39" t="s">
        <v>831</v>
      </c>
      <c r="W384" s="39" t="s">
        <v>302</v>
      </c>
      <c r="X384" s="39" t="s">
        <v>843</v>
      </c>
      <c r="Z384" s="39" t="s">
        <v>828</v>
      </c>
      <c r="AB384" s="39">
        <v>0.183333333333333</v>
      </c>
    </row>
    <row r="385">
      <c r="A385" s="39" t="s">
        <v>1024</v>
      </c>
      <c r="B385" s="39" t="s">
        <v>1025</v>
      </c>
      <c r="C385" s="39">
        <v>0.233333333333333</v>
      </c>
      <c r="D385" s="41">
        <v>43990.0</v>
      </c>
      <c r="E385" s="39" t="s">
        <v>828</v>
      </c>
      <c r="F385" s="39" t="s">
        <v>829</v>
      </c>
      <c r="G385" s="39" t="s">
        <v>830</v>
      </c>
      <c r="H385" s="39">
        <v>620.0</v>
      </c>
      <c r="N385" s="39" t="s">
        <v>938</v>
      </c>
      <c r="R385" s="39" t="s">
        <v>832</v>
      </c>
      <c r="S385" s="39" t="s">
        <v>939</v>
      </c>
      <c r="T385" s="39" t="s">
        <v>741</v>
      </c>
      <c r="U385" s="39" t="s">
        <v>938</v>
      </c>
      <c r="X385" s="39" t="s">
        <v>1026</v>
      </c>
      <c r="Y385" s="39" t="s">
        <v>944</v>
      </c>
      <c r="Z385" s="39" t="s">
        <v>828</v>
      </c>
      <c r="AB385" s="39">
        <v>0.233333333333333</v>
      </c>
    </row>
    <row r="386">
      <c r="A386" s="39" t="s">
        <v>944</v>
      </c>
      <c r="B386" s="39" t="s">
        <v>1001</v>
      </c>
      <c r="C386" s="39">
        <v>0.55</v>
      </c>
      <c r="D386" s="41">
        <v>43990.0</v>
      </c>
      <c r="E386" s="39" t="s">
        <v>828</v>
      </c>
      <c r="F386" s="39" t="s">
        <v>829</v>
      </c>
      <c r="G386" s="39" t="s">
        <v>830</v>
      </c>
      <c r="H386" s="39">
        <v>620.0</v>
      </c>
      <c r="N386" s="39" t="s">
        <v>938</v>
      </c>
      <c r="R386" s="39" t="s">
        <v>72</v>
      </c>
      <c r="S386" s="39" t="s">
        <v>939</v>
      </c>
      <c r="T386" s="39" t="s">
        <v>741</v>
      </c>
      <c r="U386" s="39" t="s">
        <v>938</v>
      </c>
      <c r="X386" s="39" t="s">
        <v>1002</v>
      </c>
      <c r="Z386" s="39" t="s">
        <v>872</v>
      </c>
      <c r="AB386" s="39">
        <v>0.55</v>
      </c>
    </row>
    <row r="387">
      <c r="A387" s="39" t="s">
        <v>960</v>
      </c>
      <c r="B387" s="39" t="s">
        <v>961</v>
      </c>
      <c r="C387" s="39">
        <v>4.26666666666666</v>
      </c>
      <c r="D387" s="41">
        <v>43991.0</v>
      </c>
      <c r="E387" s="39" t="s">
        <v>828</v>
      </c>
      <c r="F387" s="39" t="s">
        <v>829</v>
      </c>
      <c r="G387" s="39" t="s">
        <v>830</v>
      </c>
      <c r="H387" s="39">
        <v>620.0</v>
      </c>
      <c r="N387" s="39" t="s">
        <v>883</v>
      </c>
      <c r="R387" s="39" t="s">
        <v>832</v>
      </c>
      <c r="S387" s="39" t="s">
        <v>833</v>
      </c>
      <c r="T387" s="39" t="s">
        <v>884</v>
      </c>
      <c r="U387" s="39" t="s">
        <v>883</v>
      </c>
      <c r="X387" s="39" t="s">
        <v>962</v>
      </c>
      <c r="Z387" s="39" t="s">
        <v>852</v>
      </c>
      <c r="AB387" s="39">
        <v>4.26666666666666</v>
      </c>
      <c r="AC387" s="39">
        <v>40.0</v>
      </c>
      <c r="AD387" s="39">
        <v>8.53333333333333</v>
      </c>
    </row>
    <row r="388">
      <c r="A388" s="39" t="s">
        <v>944</v>
      </c>
      <c r="B388" s="39" t="s">
        <v>1001</v>
      </c>
      <c r="C388" s="39">
        <v>0.25</v>
      </c>
      <c r="D388" s="41">
        <v>43991.0</v>
      </c>
      <c r="E388" s="39" t="s">
        <v>828</v>
      </c>
      <c r="F388" s="39" t="s">
        <v>829</v>
      </c>
      <c r="G388" s="39" t="s">
        <v>830</v>
      </c>
      <c r="H388" s="39">
        <v>620.0</v>
      </c>
      <c r="N388" s="39" t="s">
        <v>938</v>
      </c>
      <c r="R388" s="39" t="s">
        <v>72</v>
      </c>
      <c r="S388" s="39" t="s">
        <v>939</v>
      </c>
      <c r="T388" s="39" t="s">
        <v>741</v>
      </c>
      <c r="U388" s="39" t="s">
        <v>938</v>
      </c>
      <c r="X388" s="39" t="s">
        <v>1002</v>
      </c>
      <c r="Z388" s="39" t="s">
        <v>872</v>
      </c>
      <c r="AB388" s="39">
        <v>0.25</v>
      </c>
    </row>
    <row r="389">
      <c r="A389" s="39" t="s">
        <v>986</v>
      </c>
      <c r="B389" s="39" t="s">
        <v>987</v>
      </c>
      <c r="C389" s="39">
        <v>0.183333333333333</v>
      </c>
      <c r="D389" s="41">
        <v>43992.0</v>
      </c>
      <c r="E389" s="39" t="s">
        <v>828</v>
      </c>
      <c r="F389" s="39" t="s">
        <v>829</v>
      </c>
      <c r="G389" s="39" t="s">
        <v>830</v>
      </c>
      <c r="H389" s="39">
        <v>620.0</v>
      </c>
      <c r="N389" s="39" t="s">
        <v>938</v>
      </c>
      <c r="R389" s="39" t="s">
        <v>832</v>
      </c>
      <c r="S389" s="39" t="s">
        <v>939</v>
      </c>
      <c r="T389" s="39" t="s">
        <v>741</v>
      </c>
      <c r="U389" s="39" t="s">
        <v>938</v>
      </c>
      <c r="X389" s="39" t="s">
        <v>988</v>
      </c>
      <c r="Y389" s="39" t="s">
        <v>944</v>
      </c>
      <c r="Z389" s="39" t="s">
        <v>872</v>
      </c>
      <c r="AB389" s="39">
        <v>0.183333333333333</v>
      </c>
    </row>
    <row r="390">
      <c r="A390" s="39" t="s">
        <v>960</v>
      </c>
      <c r="B390" s="39" t="s">
        <v>961</v>
      </c>
      <c r="C390" s="39">
        <v>2.03333333333333</v>
      </c>
      <c r="D390" s="41">
        <v>43992.0</v>
      </c>
      <c r="E390" s="39" t="s">
        <v>828</v>
      </c>
      <c r="F390" s="39" t="s">
        <v>829</v>
      </c>
      <c r="G390" s="39" t="s">
        <v>830</v>
      </c>
      <c r="H390" s="39">
        <v>620.0</v>
      </c>
      <c r="N390" s="39" t="s">
        <v>883</v>
      </c>
      <c r="R390" s="39" t="s">
        <v>832</v>
      </c>
      <c r="S390" s="39" t="s">
        <v>833</v>
      </c>
      <c r="T390" s="39" t="s">
        <v>884</v>
      </c>
      <c r="U390" s="39" t="s">
        <v>883</v>
      </c>
      <c r="X390" s="39" t="s">
        <v>962</v>
      </c>
      <c r="Z390" s="39" t="s">
        <v>852</v>
      </c>
      <c r="AB390" s="39">
        <v>2.03333333333333</v>
      </c>
      <c r="AC390" s="39">
        <v>40.0</v>
      </c>
      <c r="AD390" s="39">
        <v>8.53333333333333</v>
      </c>
    </row>
    <row r="391">
      <c r="A391" s="39" t="s">
        <v>944</v>
      </c>
      <c r="B391" s="39" t="s">
        <v>1001</v>
      </c>
      <c r="C391" s="39">
        <v>0.65</v>
      </c>
      <c r="D391" s="41">
        <v>43992.0</v>
      </c>
      <c r="E391" s="39" t="s">
        <v>828</v>
      </c>
      <c r="F391" s="39" t="s">
        <v>829</v>
      </c>
      <c r="G391" s="39" t="s">
        <v>830</v>
      </c>
      <c r="H391" s="39">
        <v>620.0</v>
      </c>
      <c r="N391" s="39" t="s">
        <v>938</v>
      </c>
      <c r="R391" s="39" t="s">
        <v>72</v>
      </c>
      <c r="S391" s="39" t="s">
        <v>939</v>
      </c>
      <c r="T391" s="39" t="s">
        <v>741</v>
      </c>
      <c r="U391" s="39" t="s">
        <v>938</v>
      </c>
      <c r="X391" s="39" t="s">
        <v>1002</v>
      </c>
      <c r="Z391" s="39" t="s">
        <v>872</v>
      </c>
      <c r="AB391" s="39">
        <v>0.65</v>
      </c>
    </row>
    <row r="392">
      <c r="A392" s="39" t="s">
        <v>968</v>
      </c>
      <c r="B392" s="39" t="s">
        <v>969</v>
      </c>
      <c r="C392" s="39">
        <v>0.416666666666666</v>
      </c>
      <c r="D392" s="41">
        <v>43993.0</v>
      </c>
      <c r="E392" s="39" t="s">
        <v>828</v>
      </c>
      <c r="F392" s="39" t="s">
        <v>829</v>
      </c>
      <c r="G392" s="39" t="s">
        <v>830</v>
      </c>
      <c r="H392" s="39">
        <v>620.0</v>
      </c>
      <c r="N392" s="39" t="s">
        <v>938</v>
      </c>
      <c r="R392" s="39" t="s">
        <v>957</v>
      </c>
      <c r="S392" s="39" t="s">
        <v>966</v>
      </c>
      <c r="T392" s="39" t="s">
        <v>741</v>
      </c>
      <c r="U392" s="39" t="s">
        <v>938</v>
      </c>
      <c r="X392" s="39" t="s">
        <v>970</v>
      </c>
      <c r="Y392" s="39" t="s">
        <v>941</v>
      </c>
      <c r="Z392" s="39" t="s">
        <v>828</v>
      </c>
      <c r="AB392" s="39">
        <v>0.416666666666666</v>
      </c>
    </row>
    <row r="393">
      <c r="A393" s="39" t="s">
        <v>941</v>
      </c>
      <c r="B393" s="39" t="s">
        <v>942</v>
      </c>
      <c r="C393" s="39">
        <v>0.583333333333333</v>
      </c>
      <c r="D393" s="41">
        <v>43993.0</v>
      </c>
      <c r="E393" s="39" t="s">
        <v>828</v>
      </c>
      <c r="F393" s="39" t="s">
        <v>829</v>
      </c>
      <c r="G393" s="39" t="s">
        <v>830</v>
      </c>
      <c r="H393" s="39">
        <v>620.0</v>
      </c>
      <c r="N393" s="39" t="s">
        <v>938</v>
      </c>
      <c r="R393" s="39" t="s">
        <v>832</v>
      </c>
      <c r="S393" s="39" t="s">
        <v>939</v>
      </c>
      <c r="T393" s="39" t="s">
        <v>741</v>
      </c>
      <c r="U393" s="39" t="s">
        <v>938</v>
      </c>
      <c r="X393" s="39" t="s">
        <v>943</v>
      </c>
      <c r="Y393" s="39" t="s">
        <v>944</v>
      </c>
      <c r="Z393" s="39" t="s">
        <v>872</v>
      </c>
      <c r="AB393" s="39">
        <v>0.583333333333333</v>
      </c>
    </row>
    <row r="394">
      <c r="A394" s="39" t="s">
        <v>960</v>
      </c>
      <c r="B394" s="39" t="s">
        <v>961</v>
      </c>
      <c r="C394" s="39">
        <v>0.916666666666666</v>
      </c>
      <c r="D394" s="41">
        <v>43993.0</v>
      </c>
      <c r="E394" s="39" t="s">
        <v>828</v>
      </c>
      <c r="F394" s="39" t="s">
        <v>829</v>
      </c>
      <c r="G394" s="39" t="s">
        <v>830</v>
      </c>
      <c r="H394" s="39">
        <v>620.0</v>
      </c>
      <c r="N394" s="39" t="s">
        <v>883</v>
      </c>
      <c r="R394" s="39" t="s">
        <v>832</v>
      </c>
      <c r="S394" s="39" t="s">
        <v>833</v>
      </c>
      <c r="T394" s="39" t="s">
        <v>884</v>
      </c>
      <c r="U394" s="39" t="s">
        <v>883</v>
      </c>
      <c r="X394" s="39" t="s">
        <v>962</v>
      </c>
      <c r="Z394" s="39" t="s">
        <v>852</v>
      </c>
      <c r="AB394" s="39">
        <v>0.916666666666666</v>
      </c>
      <c r="AC394" s="39">
        <v>40.0</v>
      </c>
      <c r="AD394" s="39">
        <v>8.53333333333333</v>
      </c>
    </row>
    <row r="395">
      <c r="A395" s="39" t="s">
        <v>944</v>
      </c>
      <c r="B395" s="39" t="s">
        <v>1001</v>
      </c>
      <c r="C395" s="39">
        <v>0.666666666666666</v>
      </c>
      <c r="D395" s="41">
        <v>43993.0</v>
      </c>
      <c r="E395" s="39" t="s">
        <v>828</v>
      </c>
      <c r="F395" s="39" t="s">
        <v>829</v>
      </c>
      <c r="G395" s="39" t="s">
        <v>830</v>
      </c>
      <c r="H395" s="39">
        <v>620.0</v>
      </c>
      <c r="N395" s="39" t="s">
        <v>938</v>
      </c>
      <c r="R395" s="39" t="s">
        <v>72</v>
      </c>
      <c r="S395" s="39" t="s">
        <v>939</v>
      </c>
      <c r="T395" s="39" t="s">
        <v>741</v>
      </c>
      <c r="U395" s="39" t="s">
        <v>938</v>
      </c>
      <c r="X395" s="39" t="s">
        <v>1002</v>
      </c>
      <c r="Z395" s="39" t="s">
        <v>872</v>
      </c>
      <c r="AB395" s="39">
        <v>0.666666666666666</v>
      </c>
    </row>
    <row r="396">
      <c r="A396" s="39" t="s">
        <v>1027</v>
      </c>
      <c r="B396" s="39" t="s">
        <v>1028</v>
      </c>
      <c r="C396" s="39">
        <v>0.316666666666666</v>
      </c>
      <c r="D396" s="41">
        <v>43994.0</v>
      </c>
      <c r="E396" s="39" t="s">
        <v>828</v>
      </c>
      <c r="F396" s="39" t="s">
        <v>829</v>
      </c>
      <c r="G396" s="39" t="s">
        <v>830</v>
      </c>
      <c r="H396" s="39">
        <v>620.0</v>
      </c>
      <c r="N396" s="39" t="s">
        <v>938</v>
      </c>
      <c r="R396" s="39" t="s">
        <v>72</v>
      </c>
      <c r="S396" s="39" t="s">
        <v>939</v>
      </c>
      <c r="T396" s="39" t="s">
        <v>741</v>
      </c>
      <c r="U396" s="39" t="s">
        <v>938</v>
      </c>
      <c r="X396" s="39" t="s">
        <v>1029</v>
      </c>
      <c r="Z396" s="39" t="s">
        <v>872</v>
      </c>
      <c r="AB396" s="39">
        <v>0.316666666666666</v>
      </c>
    </row>
    <row r="397">
      <c r="A397" s="39" t="s">
        <v>986</v>
      </c>
      <c r="B397" s="39" t="s">
        <v>987</v>
      </c>
      <c r="C397" s="39">
        <v>1.13333333333333</v>
      </c>
      <c r="D397" s="41">
        <v>43994.0</v>
      </c>
      <c r="E397" s="39" t="s">
        <v>828</v>
      </c>
      <c r="F397" s="39" t="s">
        <v>829</v>
      </c>
      <c r="G397" s="39" t="s">
        <v>830</v>
      </c>
      <c r="H397" s="39">
        <v>620.0</v>
      </c>
      <c r="N397" s="39" t="s">
        <v>938</v>
      </c>
      <c r="R397" s="39" t="s">
        <v>832</v>
      </c>
      <c r="S397" s="39" t="s">
        <v>939</v>
      </c>
      <c r="T397" s="39" t="s">
        <v>741</v>
      </c>
      <c r="U397" s="39" t="s">
        <v>938</v>
      </c>
      <c r="X397" s="39" t="s">
        <v>988</v>
      </c>
      <c r="Y397" s="39" t="s">
        <v>944</v>
      </c>
      <c r="Z397" s="39" t="s">
        <v>872</v>
      </c>
      <c r="AB397" s="39">
        <v>1.13333333333333</v>
      </c>
    </row>
    <row r="398">
      <c r="A398" s="39" t="s">
        <v>944</v>
      </c>
      <c r="B398" s="39" t="s">
        <v>1001</v>
      </c>
      <c r="C398" s="39">
        <v>0.6</v>
      </c>
      <c r="D398" s="41">
        <v>43994.0</v>
      </c>
      <c r="E398" s="39" t="s">
        <v>828</v>
      </c>
      <c r="F398" s="39" t="s">
        <v>829</v>
      </c>
      <c r="G398" s="39" t="s">
        <v>830</v>
      </c>
      <c r="H398" s="39">
        <v>620.0</v>
      </c>
      <c r="N398" s="39" t="s">
        <v>938</v>
      </c>
      <c r="R398" s="39" t="s">
        <v>72</v>
      </c>
      <c r="S398" s="39" t="s">
        <v>939</v>
      </c>
      <c r="T398" s="39" t="s">
        <v>741</v>
      </c>
      <c r="U398" s="39" t="s">
        <v>938</v>
      </c>
      <c r="X398" s="39" t="s">
        <v>1002</v>
      </c>
      <c r="Z398" s="39" t="s">
        <v>872</v>
      </c>
      <c r="AB398" s="39">
        <v>0.6</v>
      </c>
    </row>
    <row r="399">
      <c r="A399" s="39" t="s">
        <v>1030</v>
      </c>
      <c r="B399" s="39" t="s">
        <v>1031</v>
      </c>
      <c r="C399" s="39">
        <v>0.733333333333333</v>
      </c>
      <c r="D399" s="41">
        <v>43997.0</v>
      </c>
      <c r="E399" s="39" t="s">
        <v>828</v>
      </c>
      <c r="F399" s="39" t="s">
        <v>829</v>
      </c>
      <c r="G399" s="39" t="s">
        <v>830</v>
      </c>
      <c r="H399" s="39">
        <v>620.0</v>
      </c>
      <c r="N399" s="39" t="s">
        <v>938</v>
      </c>
      <c r="R399" s="39" t="s">
        <v>832</v>
      </c>
      <c r="S399" s="39" t="s">
        <v>939</v>
      </c>
      <c r="T399" s="39" t="s">
        <v>741</v>
      </c>
      <c r="U399" s="39" t="s">
        <v>938</v>
      </c>
      <c r="X399" s="39" t="s">
        <v>1032</v>
      </c>
      <c r="Y399" s="39" t="s">
        <v>944</v>
      </c>
      <c r="Z399" s="39" t="s">
        <v>872</v>
      </c>
      <c r="AB399" s="39">
        <v>0.733333333333333</v>
      </c>
    </row>
    <row r="400">
      <c r="A400" s="39" t="s">
        <v>1033</v>
      </c>
      <c r="B400" s="39" t="s">
        <v>1034</v>
      </c>
      <c r="C400" s="39">
        <v>0.133333333333333</v>
      </c>
      <c r="D400" s="41">
        <v>43997.0</v>
      </c>
      <c r="E400" s="39" t="s">
        <v>828</v>
      </c>
      <c r="F400" s="39" t="s">
        <v>829</v>
      </c>
      <c r="G400" s="39" t="s">
        <v>830</v>
      </c>
      <c r="H400" s="39">
        <v>620.0</v>
      </c>
      <c r="N400" s="39" t="s">
        <v>938</v>
      </c>
      <c r="R400" s="39" t="s">
        <v>957</v>
      </c>
      <c r="S400" s="39" t="s">
        <v>966</v>
      </c>
      <c r="T400" s="39" t="s">
        <v>741</v>
      </c>
      <c r="U400" s="39" t="s">
        <v>938</v>
      </c>
      <c r="X400" s="39" t="s">
        <v>1035</v>
      </c>
      <c r="Y400" s="39" t="s">
        <v>941</v>
      </c>
      <c r="Z400" s="39" t="s">
        <v>872</v>
      </c>
      <c r="AB400" s="39">
        <v>0.133333333333333</v>
      </c>
    </row>
    <row r="401">
      <c r="A401" s="39" t="s">
        <v>1036</v>
      </c>
      <c r="B401" s="39" t="s">
        <v>1037</v>
      </c>
      <c r="C401" s="39">
        <v>0.683333333333333</v>
      </c>
      <c r="D401" s="41">
        <v>43997.0</v>
      </c>
      <c r="E401" s="39" t="s">
        <v>828</v>
      </c>
      <c r="F401" s="39" t="s">
        <v>829</v>
      </c>
      <c r="G401" s="39" t="s">
        <v>830</v>
      </c>
      <c r="H401" s="39">
        <v>620.0</v>
      </c>
      <c r="N401" s="39" t="s">
        <v>938</v>
      </c>
      <c r="R401" s="39" t="s">
        <v>957</v>
      </c>
      <c r="S401" s="39" t="s">
        <v>966</v>
      </c>
      <c r="T401" s="39" t="s">
        <v>741</v>
      </c>
      <c r="U401" s="39" t="s">
        <v>938</v>
      </c>
      <c r="X401" s="39" t="s">
        <v>1038</v>
      </c>
      <c r="Y401" s="39" t="s">
        <v>941</v>
      </c>
      <c r="Z401" s="39" t="s">
        <v>872</v>
      </c>
      <c r="AB401" s="39">
        <v>0.683333333333333</v>
      </c>
    </row>
    <row r="402">
      <c r="A402" s="39" t="s">
        <v>1024</v>
      </c>
      <c r="B402" s="39" t="s">
        <v>1025</v>
      </c>
      <c r="C402" s="39">
        <v>0.366666666666666</v>
      </c>
      <c r="D402" s="41">
        <v>43997.0</v>
      </c>
      <c r="E402" s="39" t="s">
        <v>828</v>
      </c>
      <c r="F402" s="39" t="s">
        <v>829</v>
      </c>
      <c r="G402" s="39" t="s">
        <v>830</v>
      </c>
      <c r="H402" s="39">
        <v>620.0</v>
      </c>
      <c r="N402" s="39" t="s">
        <v>938</v>
      </c>
      <c r="R402" s="39" t="s">
        <v>832</v>
      </c>
      <c r="S402" s="39" t="s">
        <v>939</v>
      </c>
      <c r="T402" s="39" t="s">
        <v>741</v>
      </c>
      <c r="U402" s="39" t="s">
        <v>938</v>
      </c>
      <c r="X402" s="39" t="s">
        <v>1026</v>
      </c>
      <c r="Y402" s="39" t="s">
        <v>944</v>
      </c>
      <c r="Z402" s="39" t="s">
        <v>828</v>
      </c>
      <c r="AB402" s="39">
        <v>0.366666666666666</v>
      </c>
    </row>
    <row r="403">
      <c r="A403" s="39" t="s">
        <v>977</v>
      </c>
      <c r="B403" s="39" t="s">
        <v>978</v>
      </c>
      <c r="C403" s="39">
        <v>0.2</v>
      </c>
      <c r="D403" s="41">
        <v>43997.0</v>
      </c>
      <c r="E403" s="39" t="s">
        <v>828</v>
      </c>
      <c r="F403" s="39" t="s">
        <v>829</v>
      </c>
      <c r="G403" s="39" t="s">
        <v>830</v>
      </c>
      <c r="H403" s="39">
        <v>620.0</v>
      </c>
      <c r="N403" s="39" t="s">
        <v>938</v>
      </c>
      <c r="R403" s="39" t="s">
        <v>957</v>
      </c>
      <c r="S403" s="39" t="s">
        <v>966</v>
      </c>
      <c r="T403" s="39" t="s">
        <v>741</v>
      </c>
      <c r="U403" s="39" t="s">
        <v>938</v>
      </c>
      <c r="X403" s="39" t="s">
        <v>979</v>
      </c>
      <c r="Y403" s="39" t="s">
        <v>941</v>
      </c>
      <c r="Z403" s="39" t="s">
        <v>828</v>
      </c>
      <c r="AB403" s="39">
        <v>0.2</v>
      </c>
    </row>
    <row r="404">
      <c r="A404" s="39" t="s">
        <v>1006</v>
      </c>
      <c r="B404" s="39" t="s">
        <v>1007</v>
      </c>
      <c r="C404" s="39">
        <v>0.3</v>
      </c>
      <c r="D404" s="41">
        <v>43997.0</v>
      </c>
      <c r="E404" s="39" t="s">
        <v>828</v>
      </c>
      <c r="F404" s="39" t="s">
        <v>829</v>
      </c>
      <c r="G404" s="39" t="s">
        <v>830</v>
      </c>
      <c r="H404" s="39">
        <v>620.0</v>
      </c>
      <c r="N404" s="39" t="s">
        <v>938</v>
      </c>
      <c r="R404" s="39" t="s">
        <v>957</v>
      </c>
      <c r="S404" s="39" t="s">
        <v>966</v>
      </c>
      <c r="T404" s="39" t="s">
        <v>741</v>
      </c>
      <c r="U404" s="39" t="s">
        <v>938</v>
      </c>
      <c r="X404" s="39" t="s">
        <v>1008</v>
      </c>
      <c r="Y404" s="39" t="s">
        <v>941</v>
      </c>
      <c r="Z404" s="39" t="s">
        <v>828</v>
      </c>
      <c r="AB404" s="39">
        <v>0.3</v>
      </c>
    </row>
    <row r="405">
      <c r="A405" s="39" t="s">
        <v>1039</v>
      </c>
      <c r="B405" s="39" t="s">
        <v>1040</v>
      </c>
      <c r="C405" s="39">
        <v>0.816666666666666</v>
      </c>
      <c r="D405" s="41">
        <v>43997.0</v>
      </c>
      <c r="E405" s="39" t="s">
        <v>828</v>
      </c>
      <c r="F405" s="39" t="s">
        <v>829</v>
      </c>
      <c r="G405" s="39" t="s">
        <v>830</v>
      </c>
      <c r="H405" s="39">
        <v>620.0</v>
      </c>
      <c r="N405" s="39" t="s">
        <v>938</v>
      </c>
      <c r="R405" s="39" t="s">
        <v>957</v>
      </c>
      <c r="S405" s="39" t="s">
        <v>966</v>
      </c>
      <c r="T405" s="39" t="s">
        <v>741</v>
      </c>
      <c r="U405" s="39" t="s">
        <v>938</v>
      </c>
      <c r="X405" s="39" t="s">
        <v>1041</v>
      </c>
      <c r="Y405" s="39" t="s">
        <v>1042</v>
      </c>
      <c r="Z405" s="39" t="s">
        <v>872</v>
      </c>
      <c r="AB405" s="39">
        <v>0.816666666666666</v>
      </c>
    </row>
    <row r="406">
      <c r="A406" s="39" t="s">
        <v>571</v>
      </c>
      <c r="B406" s="39" t="s">
        <v>572</v>
      </c>
      <c r="C406" s="39">
        <v>0.283333333333333</v>
      </c>
      <c r="D406" s="41">
        <v>43997.0</v>
      </c>
      <c r="E406" s="39" t="s">
        <v>828</v>
      </c>
      <c r="F406" s="39" t="s">
        <v>829</v>
      </c>
      <c r="G406" s="39" t="s">
        <v>830</v>
      </c>
      <c r="H406" s="39">
        <v>620.0</v>
      </c>
      <c r="N406" s="39" t="s">
        <v>831</v>
      </c>
      <c r="R406" s="39" t="s">
        <v>832</v>
      </c>
      <c r="S406" s="39" t="s">
        <v>842</v>
      </c>
      <c r="T406" s="39" t="s">
        <v>834</v>
      </c>
      <c r="U406" s="39" t="s">
        <v>831</v>
      </c>
      <c r="W406" s="39" t="s">
        <v>302</v>
      </c>
      <c r="X406" s="39" t="s">
        <v>843</v>
      </c>
      <c r="Z406" s="39" t="s">
        <v>828</v>
      </c>
      <c r="AB406" s="39">
        <v>0.283333333333333</v>
      </c>
    </row>
    <row r="407">
      <c r="A407" s="39" t="s">
        <v>960</v>
      </c>
      <c r="B407" s="39" t="s">
        <v>961</v>
      </c>
      <c r="C407" s="39">
        <v>0.0666666666666666</v>
      </c>
      <c r="D407" s="41">
        <v>43997.0</v>
      </c>
      <c r="E407" s="39" t="s">
        <v>828</v>
      </c>
      <c r="F407" s="39" t="s">
        <v>829</v>
      </c>
      <c r="G407" s="39" t="s">
        <v>830</v>
      </c>
      <c r="H407" s="39">
        <v>620.0</v>
      </c>
      <c r="N407" s="39" t="s">
        <v>883</v>
      </c>
      <c r="R407" s="39" t="s">
        <v>832</v>
      </c>
      <c r="S407" s="39" t="s">
        <v>833</v>
      </c>
      <c r="T407" s="39" t="s">
        <v>884</v>
      </c>
      <c r="U407" s="39" t="s">
        <v>883</v>
      </c>
      <c r="X407" s="39" t="s">
        <v>962</v>
      </c>
      <c r="Z407" s="39" t="s">
        <v>852</v>
      </c>
      <c r="AB407" s="39">
        <v>0.0666666666666666</v>
      </c>
      <c r="AC407" s="39">
        <v>40.0</v>
      </c>
      <c r="AD407" s="39">
        <v>8.53333333333333</v>
      </c>
    </row>
    <row r="408">
      <c r="A408" s="39" t="s">
        <v>941</v>
      </c>
      <c r="B408" s="39" t="s">
        <v>942</v>
      </c>
      <c r="C408" s="39">
        <v>0.116666666666666</v>
      </c>
      <c r="D408" s="41">
        <v>43997.0</v>
      </c>
      <c r="E408" s="39" t="s">
        <v>828</v>
      </c>
      <c r="F408" s="39" t="s">
        <v>829</v>
      </c>
      <c r="G408" s="39" t="s">
        <v>830</v>
      </c>
      <c r="H408" s="39">
        <v>620.0</v>
      </c>
      <c r="N408" s="39" t="s">
        <v>938</v>
      </c>
      <c r="R408" s="39" t="s">
        <v>832</v>
      </c>
      <c r="S408" s="39" t="s">
        <v>939</v>
      </c>
      <c r="T408" s="39" t="s">
        <v>741</v>
      </c>
      <c r="U408" s="39" t="s">
        <v>938</v>
      </c>
      <c r="X408" s="39" t="s">
        <v>943</v>
      </c>
      <c r="Y408" s="39" t="s">
        <v>944</v>
      </c>
      <c r="Z408" s="39" t="s">
        <v>872</v>
      </c>
      <c r="AB408" s="39">
        <v>0.116666666666666</v>
      </c>
    </row>
    <row r="409">
      <c r="A409" s="39" t="s">
        <v>1043</v>
      </c>
      <c r="B409" s="39" t="s">
        <v>1044</v>
      </c>
      <c r="C409" s="39">
        <v>0.133333333333333</v>
      </c>
      <c r="D409" s="41">
        <v>43997.0</v>
      </c>
      <c r="E409" s="39" t="s">
        <v>828</v>
      </c>
      <c r="F409" s="39" t="s">
        <v>829</v>
      </c>
      <c r="G409" s="39" t="s">
        <v>830</v>
      </c>
      <c r="H409" s="39">
        <v>620.0</v>
      </c>
      <c r="N409" s="39" t="s">
        <v>938</v>
      </c>
      <c r="R409" s="39" t="s">
        <v>957</v>
      </c>
      <c r="S409" s="39" t="s">
        <v>966</v>
      </c>
      <c r="T409" s="39" t="s">
        <v>741</v>
      </c>
      <c r="U409" s="39" t="s">
        <v>938</v>
      </c>
      <c r="X409" s="39" t="s">
        <v>1045</v>
      </c>
      <c r="Y409" s="39" t="s">
        <v>941</v>
      </c>
      <c r="Z409" s="39" t="s">
        <v>872</v>
      </c>
      <c r="AB409" s="39">
        <v>0.133333333333333</v>
      </c>
    </row>
    <row r="410">
      <c r="A410" s="39" t="s">
        <v>944</v>
      </c>
      <c r="B410" s="39" t="s">
        <v>1001</v>
      </c>
      <c r="C410" s="39">
        <v>0.5</v>
      </c>
      <c r="D410" s="41">
        <v>43997.0</v>
      </c>
      <c r="E410" s="39" t="s">
        <v>828</v>
      </c>
      <c r="F410" s="39" t="s">
        <v>829</v>
      </c>
      <c r="G410" s="39" t="s">
        <v>830</v>
      </c>
      <c r="H410" s="39">
        <v>620.0</v>
      </c>
      <c r="N410" s="39" t="s">
        <v>938</v>
      </c>
      <c r="R410" s="39" t="s">
        <v>72</v>
      </c>
      <c r="S410" s="39" t="s">
        <v>939</v>
      </c>
      <c r="T410" s="39" t="s">
        <v>741</v>
      </c>
      <c r="U410" s="39" t="s">
        <v>938</v>
      </c>
      <c r="X410" s="39" t="s">
        <v>1002</v>
      </c>
      <c r="Z410" s="39" t="s">
        <v>872</v>
      </c>
      <c r="AB410" s="39">
        <v>0.5</v>
      </c>
    </row>
    <row r="411">
      <c r="A411" s="39" t="s">
        <v>1046</v>
      </c>
      <c r="B411" s="39" t="s">
        <v>1047</v>
      </c>
      <c r="C411" s="39">
        <v>3.0</v>
      </c>
      <c r="D411" s="41">
        <v>43997.0</v>
      </c>
      <c r="E411" s="39" t="s">
        <v>1048</v>
      </c>
      <c r="F411" s="39" t="s">
        <v>1049</v>
      </c>
      <c r="G411" s="39" t="s">
        <v>1050</v>
      </c>
      <c r="H411" s="39">
        <v>620.0</v>
      </c>
      <c r="N411" s="39" t="s">
        <v>1051</v>
      </c>
      <c r="R411" s="39" t="s">
        <v>832</v>
      </c>
      <c r="S411" s="39" t="s">
        <v>1052</v>
      </c>
      <c r="T411" s="39" t="s">
        <v>1053</v>
      </c>
      <c r="U411" s="39" t="s">
        <v>1051</v>
      </c>
      <c r="X411" s="39" t="s">
        <v>1054</v>
      </c>
      <c r="Y411" s="39" t="s">
        <v>1055</v>
      </c>
      <c r="Z411" s="39" t="s">
        <v>872</v>
      </c>
      <c r="AB411" s="39">
        <v>3.0</v>
      </c>
    </row>
    <row r="412">
      <c r="A412" s="39" t="s">
        <v>1046</v>
      </c>
      <c r="B412" s="39" t="s">
        <v>1047</v>
      </c>
      <c r="C412" s="39">
        <v>7.0</v>
      </c>
      <c r="D412" s="41">
        <v>43997.0</v>
      </c>
      <c r="E412" s="39" t="s">
        <v>1048</v>
      </c>
      <c r="F412" s="39" t="s">
        <v>1049</v>
      </c>
      <c r="G412" s="39" t="s">
        <v>1050</v>
      </c>
      <c r="H412" s="39">
        <v>620.0</v>
      </c>
      <c r="N412" s="39" t="s">
        <v>1051</v>
      </c>
      <c r="R412" s="39" t="s">
        <v>832</v>
      </c>
      <c r="S412" s="39" t="s">
        <v>1052</v>
      </c>
      <c r="T412" s="39" t="s">
        <v>1053</v>
      </c>
      <c r="U412" s="39" t="s">
        <v>1051</v>
      </c>
      <c r="X412" s="39" t="s">
        <v>1056</v>
      </c>
      <c r="Y412" s="39" t="s">
        <v>1055</v>
      </c>
      <c r="Z412" s="39" t="s">
        <v>872</v>
      </c>
      <c r="AB412" s="39">
        <v>7.0</v>
      </c>
    </row>
    <row r="413">
      <c r="A413" s="39" t="s">
        <v>1057</v>
      </c>
      <c r="B413" s="39" t="s">
        <v>1058</v>
      </c>
      <c r="C413" s="39">
        <v>7.0</v>
      </c>
      <c r="D413" s="41">
        <v>43997.0</v>
      </c>
      <c r="E413" s="39" t="s">
        <v>1059</v>
      </c>
      <c r="F413" s="39" t="s">
        <v>1060</v>
      </c>
      <c r="G413" s="39" t="s">
        <v>1050</v>
      </c>
      <c r="H413" s="39">
        <v>620.0</v>
      </c>
      <c r="N413" s="39" t="s">
        <v>1051</v>
      </c>
      <c r="R413" s="39" t="s">
        <v>832</v>
      </c>
      <c r="S413" s="39" t="s">
        <v>1052</v>
      </c>
      <c r="T413" s="39" t="s">
        <v>1053</v>
      </c>
      <c r="U413" s="39" t="s">
        <v>1051</v>
      </c>
      <c r="X413" s="39" t="s">
        <v>1061</v>
      </c>
      <c r="Y413" s="39" t="s">
        <v>1055</v>
      </c>
      <c r="Z413" s="39" t="s">
        <v>872</v>
      </c>
      <c r="AB413" s="39">
        <v>7.0</v>
      </c>
    </row>
    <row r="414">
      <c r="A414" s="39" t="s">
        <v>955</v>
      </c>
      <c r="B414" s="39" t="s">
        <v>956</v>
      </c>
      <c r="C414" s="39">
        <v>0.55</v>
      </c>
      <c r="D414" s="41">
        <v>43998.0</v>
      </c>
      <c r="E414" s="39" t="s">
        <v>828</v>
      </c>
      <c r="F414" s="39" t="s">
        <v>829</v>
      </c>
      <c r="G414" s="39" t="s">
        <v>830</v>
      </c>
      <c r="H414" s="39">
        <v>620.0</v>
      </c>
      <c r="N414" s="39" t="s">
        <v>938</v>
      </c>
      <c r="R414" s="39" t="s">
        <v>957</v>
      </c>
      <c r="S414" s="39" t="s">
        <v>939</v>
      </c>
      <c r="T414" s="39" t="s">
        <v>741</v>
      </c>
      <c r="U414" s="39" t="s">
        <v>938</v>
      </c>
      <c r="X414" s="39" t="s">
        <v>958</v>
      </c>
      <c r="Y414" s="39" t="s">
        <v>952</v>
      </c>
      <c r="Z414" s="39" t="s">
        <v>828</v>
      </c>
      <c r="AB414" s="39">
        <v>0.55</v>
      </c>
    </row>
    <row r="415">
      <c r="A415" s="39" t="s">
        <v>1062</v>
      </c>
      <c r="B415" s="39" t="s">
        <v>1063</v>
      </c>
      <c r="C415" s="39">
        <v>0.75</v>
      </c>
      <c r="D415" s="41">
        <v>43998.0</v>
      </c>
      <c r="E415" s="39" t="s">
        <v>828</v>
      </c>
      <c r="F415" s="39" t="s">
        <v>829</v>
      </c>
      <c r="G415" s="39" t="s">
        <v>830</v>
      </c>
      <c r="H415" s="39">
        <v>620.0</v>
      </c>
      <c r="N415" s="39" t="s">
        <v>938</v>
      </c>
      <c r="R415" s="39" t="s">
        <v>832</v>
      </c>
      <c r="S415" s="39" t="s">
        <v>939</v>
      </c>
      <c r="T415" s="39" t="s">
        <v>741</v>
      </c>
      <c r="U415" s="39" t="s">
        <v>938</v>
      </c>
      <c r="X415" s="39" t="s">
        <v>1064</v>
      </c>
      <c r="Y415" s="39" t="s">
        <v>944</v>
      </c>
      <c r="Z415" s="39" t="s">
        <v>828</v>
      </c>
      <c r="AB415" s="39">
        <v>0.75</v>
      </c>
    </row>
    <row r="416">
      <c r="A416" s="39" t="s">
        <v>1065</v>
      </c>
      <c r="B416" s="39" t="s">
        <v>1066</v>
      </c>
      <c r="C416" s="39">
        <v>0.2</v>
      </c>
      <c r="D416" s="41">
        <v>43998.0</v>
      </c>
      <c r="E416" s="39" t="s">
        <v>828</v>
      </c>
      <c r="F416" s="39" t="s">
        <v>829</v>
      </c>
      <c r="G416" s="39" t="s">
        <v>830</v>
      </c>
      <c r="H416" s="39">
        <v>620.0</v>
      </c>
      <c r="N416" s="39" t="s">
        <v>938</v>
      </c>
      <c r="R416" s="39" t="s">
        <v>832</v>
      </c>
      <c r="S416" s="39" t="s">
        <v>939</v>
      </c>
      <c r="T416" s="39" t="s">
        <v>741</v>
      </c>
      <c r="U416" s="39" t="s">
        <v>938</v>
      </c>
      <c r="X416" s="39" t="s">
        <v>1067</v>
      </c>
      <c r="Y416" s="39" t="s">
        <v>944</v>
      </c>
      <c r="Z416" s="39" t="s">
        <v>828</v>
      </c>
      <c r="AB416" s="39">
        <v>0.2</v>
      </c>
    </row>
    <row r="417">
      <c r="A417" s="39" t="s">
        <v>1068</v>
      </c>
      <c r="B417" s="39" t="s">
        <v>1069</v>
      </c>
      <c r="C417" s="39">
        <v>0.05</v>
      </c>
      <c r="D417" s="41">
        <v>43998.0</v>
      </c>
      <c r="E417" s="39" t="s">
        <v>828</v>
      </c>
      <c r="F417" s="39" t="s">
        <v>829</v>
      </c>
      <c r="G417" s="39" t="s">
        <v>830</v>
      </c>
      <c r="H417" s="39">
        <v>620.0</v>
      </c>
      <c r="N417" s="39" t="s">
        <v>938</v>
      </c>
      <c r="R417" s="39" t="s">
        <v>832</v>
      </c>
      <c r="S417" s="39" t="s">
        <v>939</v>
      </c>
      <c r="T417" s="39" t="s">
        <v>741</v>
      </c>
      <c r="U417" s="39" t="s">
        <v>938</v>
      </c>
      <c r="X417" s="39" t="s">
        <v>1070</v>
      </c>
      <c r="Y417" s="39" t="s">
        <v>1027</v>
      </c>
      <c r="Z417" s="39" t="s">
        <v>828</v>
      </c>
      <c r="AB417" s="39">
        <v>0.05</v>
      </c>
    </row>
    <row r="418">
      <c r="A418" s="39" t="s">
        <v>1043</v>
      </c>
      <c r="B418" s="39" t="s">
        <v>1044</v>
      </c>
      <c r="C418" s="39">
        <v>0.183333333333333</v>
      </c>
      <c r="D418" s="41">
        <v>43998.0</v>
      </c>
      <c r="E418" s="39" t="s">
        <v>828</v>
      </c>
      <c r="F418" s="39" t="s">
        <v>829</v>
      </c>
      <c r="G418" s="39" t="s">
        <v>830</v>
      </c>
      <c r="H418" s="39">
        <v>620.0</v>
      </c>
      <c r="N418" s="39" t="s">
        <v>938</v>
      </c>
      <c r="R418" s="39" t="s">
        <v>957</v>
      </c>
      <c r="S418" s="39" t="s">
        <v>966</v>
      </c>
      <c r="T418" s="39" t="s">
        <v>741</v>
      </c>
      <c r="U418" s="39" t="s">
        <v>938</v>
      </c>
      <c r="X418" s="39" t="s">
        <v>1045</v>
      </c>
      <c r="Y418" s="39" t="s">
        <v>941</v>
      </c>
      <c r="Z418" s="39" t="s">
        <v>872</v>
      </c>
      <c r="AB418" s="39">
        <v>0.183333333333333</v>
      </c>
    </row>
    <row r="419">
      <c r="A419" s="39" t="s">
        <v>1039</v>
      </c>
      <c r="B419" s="39" t="s">
        <v>1040</v>
      </c>
      <c r="C419" s="39">
        <v>0.583333333333333</v>
      </c>
      <c r="D419" s="41">
        <v>43998.0</v>
      </c>
      <c r="E419" s="39" t="s">
        <v>828</v>
      </c>
      <c r="F419" s="39" t="s">
        <v>829</v>
      </c>
      <c r="G419" s="39" t="s">
        <v>830</v>
      </c>
      <c r="H419" s="39">
        <v>620.0</v>
      </c>
      <c r="N419" s="39" t="s">
        <v>938</v>
      </c>
      <c r="R419" s="39" t="s">
        <v>957</v>
      </c>
      <c r="S419" s="39" t="s">
        <v>966</v>
      </c>
      <c r="T419" s="39" t="s">
        <v>741</v>
      </c>
      <c r="U419" s="39" t="s">
        <v>938</v>
      </c>
      <c r="X419" s="39" t="s">
        <v>1041</v>
      </c>
      <c r="Y419" s="39" t="s">
        <v>1042</v>
      </c>
      <c r="Z419" s="39" t="s">
        <v>872</v>
      </c>
      <c r="AB419" s="39">
        <v>0.583333333333333</v>
      </c>
    </row>
    <row r="420">
      <c r="A420" s="39" t="s">
        <v>1012</v>
      </c>
      <c r="B420" s="39" t="s">
        <v>1013</v>
      </c>
      <c r="C420" s="39">
        <v>0.333333333333333</v>
      </c>
      <c r="D420" s="41">
        <v>43998.0</v>
      </c>
      <c r="E420" s="39" t="s">
        <v>828</v>
      </c>
      <c r="F420" s="39" t="s">
        <v>829</v>
      </c>
      <c r="G420" s="39" t="s">
        <v>830</v>
      </c>
      <c r="H420" s="39">
        <v>620.0</v>
      </c>
      <c r="N420" s="39" t="s">
        <v>938</v>
      </c>
      <c r="R420" s="39" t="s">
        <v>957</v>
      </c>
      <c r="S420" s="39" t="s">
        <v>966</v>
      </c>
      <c r="T420" s="39" t="s">
        <v>741</v>
      </c>
      <c r="U420" s="39" t="s">
        <v>938</v>
      </c>
      <c r="X420" s="39" t="s">
        <v>1014</v>
      </c>
      <c r="Y420" s="39" t="s">
        <v>1015</v>
      </c>
      <c r="Z420" s="39" t="s">
        <v>828</v>
      </c>
      <c r="AB420" s="39">
        <v>0.333333333333333</v>
      </c>
    </row>
    <row r="421">
      <c r="A421" s="39" t="s">
        <v>995</v>
      </c>
      <c r="B421" s="39" t="s">
        <v>996</v>
      </c>
      <c r="C421" s="39">
        <v>2.36666666666666</v>
      </c>
      <c r="D421" s="41">
        <v>43998.0</v>
      </c>
      <c r="E421" s="39" t="s">
        <v>828</v>
      </c>
      <c r="F421" s="39" t="s">
        <v>829</v>
      </c>
      <c r="G421" s="39" t="s">
        <v>830</v>
      </c>
      <c r="H421" s="39">
        <v>620.0</v>
      </c>
      <c r="N421" s="39" t="s">
        <v>938</v>
      </c>
      <c r="R421" s="39" t="s">
        <v>832</v>
      </c>
      <c r="S421" s="39" t="s">
        <v>939</v>
      </c>
      <c r="T421" s="39" t="s">
        <v>741</v>
      </c>
      <c r="U421" s="39" t="s">
        <v>938</v>
      </c>
      <c r="X421" s="39" t="s">
        <v>997</v>
      </c>
      <c r="Y421" s="39" t="s">
        <v>944</v>
      </c>
      <c r="Z421" s="39" t="s">
        <v>828</v>
      </c>
      <c r="AB421" s="39">
        <v>2.36666666666666</v>
      </c>
    </row>
    <row r="422">
      <c r="A422" s="39" t="s">
        <v>968</v>
      </c>
      <c r="B422" s="39" t="s">
        <v>969</v>
      </c>
      <c r="C422" s="39">
        <v>1.18333333333333</v>
      </c>
      <c r="D422" s="41">
        <v>43998.0</v>
      </c>
      <c r="E422" s="39" t="s">
        <v>828</v>
      </c>
      <c r="F422" s="39" t="s">
        <v>829</v>
      </c>
      <c r="G422" s="39" t="s">
        <v>830</v>
      </c>
      <c r="H422" s="39">
        <v>620.0</v>
      </c>
      <c r="N422" s="39" t="s">
        <v>938</v>
      </c>
      <c r="R422" s="39" t="s">
        <v>957</v>
      </c>
      <c r="S422" s="39" t="s">
        <v>966</v>
      </c>
      <c r="T422" s="39" t="s">
        <v>741</v>
      </c>
      <c r="U422" s="39" t="s">
        <v>938</v>
      </c>
      <c r="X422" s="39" t="s">
        <v>970</v>
      </c>
      <c r="Y422" s="39" t="s">
        <v>941</v>
      </c>
      <c r="Z422" s="39" t="s">
        <v>828</v>
      </c>
      <c r="AB422" s="39">
        <v>1.18333333333333</v>
      </c>
    </row>
    <row r="423">
      <c r="A423" s="39" t="s">
        <v>1071</v>
      </c>
      <c r="B423" s="39" t="s">
        <v>1072</v>
      </c>
      <c r="C423" s="39">
        <v>0.0666666666666666</v>
      </c>
      <c r="D423" s="41">
        <v>43998.0</v>
      </c>
      <c r="E423" s="39" t="s">
        <v>828</v>
      </c>
      <c r="F423" s="39" t="s">
        <v>829</v>
      </c>
      <c r="G423" s="39" t="s">
        <v>830</v>
      </c>
      <c r="H423" s="39">
        <v>620.0</v>
      </c>
      <c r="N423" s="39" t="s">
        <v>938</v>
      </c>
      <c r="R423" s="39" t="s">
        <v>832</v>
      </c>
      <c r="S423" s="39" t="s">
        <v>889</v>
      </c>
      <c r="T423" s="39" t="s">
        <v>741</v>
      </c>
      <c r="U423" s="39" t="s">
        <v>938</v>
      </c>
      <c r="X423" s="39" t="s">
        <v>1073</v>
      </c>
      <c r="Y423" s="39" t="s">
        <v>1074</v>
      </c>
      <c r="Z423" s="39" t="s">
        <v>828</v>
      </c>
      <c r="AB423" s="39">
        <v>0.0666666666666666</v>
      </c>
    </row>
    <row r="424">
      <c r="A424" s="39" t="s">
        <v>944</v>
      </c>
      <c r="B424" s="39" t="s">
        <v>1001</v>
      </c>
      <c r="C424" s="39">
        <v>0.583333333333333</v>
      </c>
      <c r="D424" s="41">
        <v>43998.0</v>
      </c>
      <c r="E424" s="39" t="s">
        <v>828</v>
      </c>
      <c r="F424" s="39" t="s">
        <v>829</v>
      </c>
      <c r="G424" s="39" t="s">
        <v>830</v>
      </c>
      <c r="H424" s="39">
        <v>620.0</v>
      </c>
      <c r="N424" s="39" t="s">
        <v>938</v>
      </c>
      <c r="R424" s="39" t="s">
        <v>72</v>
      </c>
      <c r="S424" s="39" t="s">
        <v>939</v>
      </c>
      <c r="T424" s="39" t="s">
        <v>741</v>
      </c>
      <c r="U424" s="39" t="s">
        <v>938</v>
      </c>
      <c r="X424" s="39" t="s">
        <v>1002</v>
      </c>
      <c r="Z424" s="39" t="s">
        <v>872</v>
      </c>
      <c r="AB424" s="39">
        <v>0.583333333333333</v>
      </c>
    </row>
    <row r="425">
      <c r="A425" s="39" t="s">
        <v>1046</v>
      </c>
      <c r="B425" s="39" t="s">
        <v>1047</v>
      </c>
      <c r="C425" s="39">
        <v>7.0</v>
      </c>
      <c r="D425" s="41">
        <v>43998.0</v>
      </c>
      <c r="E425" s="39" t="s">
        <v>1048</v>
      </c>
      <c r="F425" s="39" t="s">
        <v>1049</v>
      </c>
      <c r="G425" s="39" t="s">
        <v>1050</v>
      </c>
      <c r="H425" s="39">
        <v>620.0</v>
      </c>
      <c r="N425" s="39" t="s">
        <v>1051</v>
      </c>
      <c r="R425" s="39" t="s">
        <v>832</v>
      </c>
      <c r="S425" s="39" t="s">
        <v>1052</v>
      </c>
      <c r="T425" s="39" t="s">
        <v>1053</v>
      </c>
      <c r="U425" s="39" t="s">
        <v>1051</v>
      </c>
      <c r="X425" s="39" t="s">
        <v>1075</v>
      </c>
      <c r="Y425" s="39" t="s">
        <v>1055</v>
      </c>
      <c r="Z425" s="39" t="s">
        <v>872</v>
      </c>
      <c r="AB425" s="39">
        <v>7.0</v>
      </c>
    </row>
    <row r="426">
      <c r="A426" s="39" t="s">
        <v>1057</v>
      </c>
      <c r="B426" s="39" t="s">
        <v>1058</v>
      </c>
      <c r="C426" s="39">
        <v>8.0</v>
      </c>
      <c r="D426" s="41">
        <v>43998.0</v>
      </c>
      <c r="E426" s="39" t="s">
        <v>1059</v>
      </c>
      <c r="F426" s="39" t="s">
        <v>1060</v>
      </c>
      <c r="G426" s="39" t="s">
        <v>1050</v>
      </c>
      <c r="H426" s="39">
        <v>620.0</v>
      </c>
      <c r="N426" s="39" t="s">
        <v>1051</v>
      </c>
      <c r="R426" s="39" t="s">
        <v>832</v>
      </c>
      <c r="S426" s="39" t="s">
        <v>1052</v>
      </c>
      <c r="T426" s="39" t="s">
        <v>1053</v>
      </c>
      <c r="U426" s="39" t="s">
        <v>1051</v>
      </c>
      <c r="X426" s="39" t="s">
        <v>1076</v>
      </c>
      <c r="Y426" s="39" t="s">
        <v>1055</v>
      </c>
      <c r="Z426" s="39" t="s">
        <v>872</v>
      </c>
      <c r="AB426" s="39">
        <v>8.0</v>
      </c>
    </row>
    <row r="427">
      <c r="A427" s="39" t="s">
        <v>1016</v>
      </c>
      <c r="B427" s="39" t="s">
        <v>1017</v>
      </c>
      <c r="C427" s="39">
        <v>0.233333333333333</v>
      </c>
      <c r="D427" s="41">
        <v>43999.0</v>
      </c>
      <c r="E427" s="39" t="s">
        <v>828</v>
      </c>
      <c r="F427" s="39" t="s">
        <v>829</v>
      </c>
      <c r="G427" s="39" t="s">
        <v>830</v>
      </c>
      <c r="H427" s="39">
        <v>620.0</v>
      </c>
      <c r="N427" s="39" t="s">
        <v>883</v>
      </c>
      <c r="R427" s="39" t="s">
        <v>832</v>
      </c>
      <c r="S427" s="39" t="s">
        <v>833</v>
      </c>
      <c r="T427" s="39" t="s">
        <v>884</v>
      </c>
      <c r="U427" s="39" t="s">
        <v>883</v>
      </c>
      <c r="W427" s="39" t="s">
        <v>928</v>
      </c>
      <c r="X427" s="39" t="s">
        <v>1018</v>
      </c>
      <c r="Z427" s="39" t="s">
        <v>876</v>
      </c>
      <c r="AB427" s="39">
        <v>0.233333333333333</v>
      </c>
      <c r="AC427" s="39">
        <v>8.0</v>
      </c>
      <c r="AD427" s="39">
        <v>0.0</v>
      </c>
    </row>
    <row r="428">
      <c r="A428" s="39" t="s">
        <v>1077</v>
      </c>
      <c r="B428" s="39" t="s">
        <v>1078</v>
      </c>
      <c r="C428" s="39">
        <v>0.266666666666666</v>
      </c>
      <c r="D428" s="41">
        <v>43999.0</v>
      </c>
      <c r="E428" s="39" t="s">
        <v>828</v>
      </c>
      <c r="F428" s="39" t="s">
        <v>829</v>
      </c>
      <c r="G428" s="39" t="s">
        <v>830</v>
      </c>
      <c r="H428" s="39">
        <v>620.0</v>
      </c>
      <c r="N428" s="39" t="s">
        <v>938</v>
      </c>
      <c r="R428" s="39" t="s">
        <v>832</v>
      </c>
      <c r="S428" s="39" t="s">
        <v>939</v>
      </c>
      <c r="T428" s="39" t="s">
        <v>741</v>
      </c>
      <c r="U428" s="39" t="s">
        <v>938</v>
      </c>
      <c r="X428" s="39" t="s">
        <v>1079</v>
      </c>
      <c r="Y428" s="39" t="s">
        <v>1027</v>
      </c>
      <c r="Z428" s="39" t="s">
        <v>828</v>
      </c>
      <c r="AB428" s="39">
        <v>0.266666666666666</v>
      </c>
    </row>
    <row r="429">
      <c r="A429" s="39" t="s">
        <v>1080</v>
      </c>
      <c r="B429" s="39" t="s">
        <v>1081</v>
      </c>
      <c r="C429" s="39">
        <v>0.316666666666666</v>
      </c>
      <c r="D429" s="41">
        <v>43999.0</v>
      </c>
      <c r="E429" s="39" t="s">
        <v>828</v>
      </c>
      <c r="F429" s="39" t="s">
        <v>829</v>
      </c>
      <c r="G429" s="39" t="s">
        <v>830</v>
      </c>
      <c r="H429" s="39">
        <v>620.0</v>
      </c>
      <c r="N429" s="39" t="s">
        <v>938</v>
      </c>
      <c r="R429" s="39" t="s">
        <v>957</v>
      </c>
      <c r="S429" s="39" t="s">
        <v>889</v>
      </c>
      <c r="T429" s="39" t="s">
        <v>741</v>
      </c>
      <c r="U429" s="39" t="s">
        <v>938</v>
      </c>
      <c r="X429" s="39" t="s">
        <v>1082</v>
      </c>
      <c r="Y429" s="39" t="s">
        <v>1042</v>
      </c>
      <c r="Z429" s="39" t="s">
        <v>828</v>
      </c>
      <c r="AB429" s="39">
        <v>0.316666666666666</v>
      </c>
    </row>
    <row r="430">
      <c r="A430" s="39" t="s">
        <v>1083</v>
      </c>
      <c r="B430" s="39" t="s">
        <v>1084</v>
      </c>
      <c r="C430" s="39">
        <v>0.266666666666666</v>
      </c>
      <c r="D430" s="41">
        <v>43999.0</v>
      </c>
      <c r="E430" s="39" t="s">
        <v>828</v>
      </c>
      <c r="F430" s="39" t="s">
        <v>829</v>
      </c>
      <c r="G430" s="39" t="s">
        <v>830</v>
      </c>
      <c r="H430" s="39">
        <v>620.0</v>
      </c>
      <c r="N430" s="39" t="s">
        <v>938</v>
      </c>
      <c r="R430" s="39" t="s">
        <v>832</v>
      </c>
      <c r="S430" s="39" t="s">
        <v>939</v>
      </c>
      <c r="T430" s="39" t="s">
        <v>741</v>
      </c>
      <c r="U430" s="39" t="s">
        <v>938</v>
      </c>
      <c r="X430" s="39" t="s">
        <v>1085</v>
      </c>
      <c r="Y430" s="39" t="s">
        <v>1027</v>
      </c>
      <c r="Z430" s="39" t="s">
        <v>872</v>
      </c>
      <c r="AB430" s="39">
        <v>0.266666666666666</v>
      </c>
    </row>
    <row r="431">
      <c r="A431" s="39" t="s">
        <v>1086</v>
      </c>
      <c r="B431" s="39" t="s">
        <v>1087</v>
      </c>
      <c r="C431" s="39">
        <v>0.516666666666666</v>
      </c>
      <c r="D431" s="41">
        <v>43999.0</v>
      </c>
      <c r="E431" s="39" t="s">
        <v>828</v>
      </c>
      <c r="F431" s="39" t="s">
        <v>829</v>
      </c>
      <c r="G431" s="39" t="s">
        <v>830</v>
      </c>
      <c r="H431" s="39">
        <v>620.0</v>
      </c>
      <c r="N431" s="39" t="s">
        <v>938</v>
      </c>
      <c r="R431" s="39" t="s">
        <v>832</v>
      </c>
      <c r="S431" s="39" t="s">
        <v>939</v>
      </c>
      <c r="T431" s="39" t="s">
        <v>741</v>
      </c>
      <c r="U431" s="39" t="s">
        <v>938</v>
      </c>
      <c r="X431" s="39" t="s">
        <v>1088</v>
      </c>
      <c r="Y431" s="39" t="s">
        <v>944</v>
      </c>
      <c r="Z431" s="39" t="s">
        <v>828</v>
      </c>
      <c r="AB431" s="39">
        <v>0.516666666666666</v>
      </c>
    </row>
    <row r="432">
      <c r="A432" s="39" t="s">
        <v>1012</v>
      </c>
      <c r="B432" s="39" t="s">
        <v>1013</v>
      </c>
      <c r="C432" s="39">
        <v>1.83333333333333</v>
      </c>
      <c r="D432" s="41">
        <v>43999.0</v>
      </c>
      <c r="E432" s="39" t="s">
        <v>828</v>
      </c>
      <c r="F432" s="39" t="s">
        <v>829</v>
      </c>
      <c r="G432" s="39" t="s">
        <v>830</v>
      </c>
      <c r="H432" s="39">
        <v>620.0</v>
      </c>
      <c r="N432" s="39" t="s">
        <v>938</v>
      </c>
      <c r="R432" s="39" t="s">
        <v>957</v>
      </c>
      <c r="S432" s="39" t="s">
        <v>966</v>
      </c>
      <c r="T432" s="39" t="s">
        <v>741</v>
      </c>
      <c r="U432" s="39" t="s">
        <v>938</v>
      </c>
      <c r="X432" s="39" t="s">
        <v>1014</v>
      </c>
      <c r="Y432" s="39" t="s">
        <v>1015</v>
      </c>
      <c r="Z432" s="39" t="s">
        <v>828</v>
      </c>
      <c r="AB432" s="39">
        <v>1.83333333333333</v>
      </c>
    </row>
    <row r="433">
      <c r="A433" s="39" t="s">
        <v>1043</v>
      </c>
      <c r="B433" s="39" t="s">
        <v>1044</v>
      </c>
      <c r="C433" s="39">
        <v>0.05</v>
      </c>
      <c r="D433" s="41">
        <v>43999.0</v>
      </c>
      <c r="E433" s="39" t="s">
        <v>828</v>
      </c>
      <c r="F433" s="39" t="s">
        <v>829</v>
      </c>
      <c r="G433" s="39" t="s">
        <v>830</v>
      </c>
      <c r="H433" s="39">
        <v>620.0</v>
      </c>
      <c r="N433" s="39" t="s">
        <v>938</v>
      </c>
      <c r="R433" s="39" t="s">
        <v>957</v>
      </c>
      <c r="S433" s="39" t="s">
        <v>966</v>
      </c>
      <c r="T433" s="39" t="s">
        <v>741</v>
      </c>
      <c r="U433" s="39" t="s">
        <v>938</v>
      </c>
      <c r="X433" s="39" t="s">
        <v>1045</v>
      </c>
      <c r="Y433" s="39" t="s">
        <v>941</v>
      </c>
      <c r="Z433" s="39" t="s">
        <v>872</v>
      </c>
      <c r="AB433" s="39">
        <v>0.05</v>
      </c>
    </row>
    <row r="434">
      <c r="A434" s="39" t="s">
        <v>955</v>
      </c>
      <c r="B434" s="39" t="s">
        <v>956</v>
      </c>
      <c r="C434" s="39">
        <v>0.433333333333333</v>
      </c>
      <c r="D434" s="41">
        <v>43999.0</v>
      </c>
      <c r="E434" s="39" t="s">
        <v>828</v>
      </c>
      <c r="F434" s="39" t="s">
        <v>829</v>
      </c>
      <c r="G434" s="39" t="s">
        <v>830</v>
      </c>
      <c r="H434" s="39">
        <v>620.0</v>
      </c>
      <c r="N434" s="39" t="s">
        <v>938</v>
      </c>
      <c r="R434" s="39" t="s">
        <v>957</v>
      </c>
      <c r="S434" s="39" t="s">
        <v>939</v>
      </c>
      <c r="T434" s="39" t="s">
        <v>741</v>
      </c>
      <c r="U434" s="39" t="s">
        <v>938</v>
      </c>
      <c r="X434" s="39" t="s">
        <v>958</v>
      </c>
      <c r="Y434" s="39" t="s">
        <v>952</v>
      </c>
      <c r="Z434" s="39" t="s">
        <v>828</v>
      </c>
      <c r="AB434" s="39">
        <v>0.433333333333333</v>
      </c>
    </row>
    <row r="435">
      <c r="A435" s="39" t="s">
        <v>968</v>
      </c>
      <c r="B435" s="39" t="s">
        <v>969</v>
      </c>
      <c r="C435" s="39">
        <v>0.25</v>
      </c>
      <c r="D435" s="41">
        <v>43999.0</v>
      </c>
      <c r="E435" s="39" t="s">
        <v>828</v>
      </c>
      <c r="F435" s="39" t="s">
        <v>829</v>
      </c>
      <c r="G435" s="39" t="s">
        <v>830</v>
      </c>
      <c r="H435" s="39">
        <v>620.0</v>
      </c>
      <c r="N435" s="39" t="s">
        <v>938</v>
      </c>
      <c r="R435" s="39" t="s">
        <v>957</v>
      </c>
      <c r="S435" s="39" t="s">
        <v>966</v>
      </c>
      <c r="T435" s="39" t="s">
        <v>741</v>
      </c>
      <c r="U435" s="39" t="s">
        <v>938</v>
      </c>
      <c r="X435" s="39" t="s">
        <v>970</v>
      </c>
      <c r="Y435" s="39" t="s">
        <v>941</v>
      </c>
      <c r="Z435" s="39" t="s">
        <v>828</v>
      </c>
      <c r="AB435" s="39">
        <v>0.25</v>
      </c>
    </row>
    <row r="436">
      <c r="A436" s="39" t="s">
        <v>1065</v>
      </c>
      <c r="B436" s="39" t="s">
        <v>1066</v>
      </c>
      <c r="C436" s="39">
        <v>0.55</v>
      </c>
      <c r="D436" s="41">
        <v>43999.0</v>
      </c>
      <c r="E436" s="39" t="s">
        <v>828</v>
      </c>
      <c r="F436" s="39" t="s">
        <v>829</v>
      </c>
      <c r="G436" s="39" t="s">
        <v>830</v>
      </c>
      <c r="H436" s="39">
        <v>620.0</v>
      </c>
      <c r="N436" s="39" t="s">
        <v>938</v>
      </c>
      <c r="R436" s="39" t="s">
        <v>832</v>
      </c>
      <c r="S436" s="39" t="s">
        <v>939</v>
      </c>
      <c r="T436" s="39" t="s">
        <v>741</v>
      </c>
      <c r="U436" s="39" t="s">
        <v>938</v>
      </c>
      <c r="X436" s="39" t="s">
        <v>1067</v>
      </c>
      <c r="Y436" s="39" t="s">
        <v>944</v>
      </c>
      <c r="Z436" s="39" t="s">
        <v>828</v>
      </c>
      <c r="AB436" s="39">
        <v>0.55</v>
      </c>
    </row>
    <row r="437">
      <c r="A437" s="39" t="s">
        <v>944</v>
      </c>
      <c r="B437" s="39" t="s">
        <v>1001</v>
      </c>
      <c r="C437" s="39">
        <v>0.516666666666666</v>
      </c>
      <c r="D437" s="41">
        <v>43999.0</v>
      </c>
      <c r="E437" s="39" t="s">
        <v>828</v>
      </c>
      <c r="F437" s="39" t="s">
        <v>829</v>
      </c>
      <c r="G437" s="39" t="s">
        <v>830</v>
      </c>
      <c r="H437" s="39">
        <v>620.0</v>
      </c>
      <c r="N437" s="39" t="s">
        <v>938</v>
      </c>
      <c r="R437" s="39" t="s">
        <v>72</v>
      </c>
      <c r="S437" s="39" t="s">
        <v>939</v>
      </c>
      <c r="T437" s="39" t="s">
        <v>741</v>
      </c>
      <c r="U437" s="39" t="s">
        <v>938</v>
      </c>
      <c r="X437" s="39" t="s">
        <v>1002</v>
      </c>
      <c r="Z437" s="39" t="s">
        <v>872</v>
      </c>
      <c r="AB437" s="39">
        <v>0.516666666666666</v>
      </c>
    </row>
    <row r="438">
      <c r="A438" s="39" t="s">
        <v>1046</v>
      </c>
      <c r="B438" s="39" t="s">
        <v>1047</v>
      </c>
      <c r="C438" s="39">
        <v>5.5</v>
      </c>
      <c r="D438" s="41">
        <v>43999.0</v>
      </c>
      <c r="E438" s="39" t="s">
        <v>1048</v>
      </c>
      <c r="F438" s="39" t="s">
        <v>1049</v>
      </c>
      <c r="G438" s="39" t="s">
        <v>1050</v>
      </c>
      <c r="H438" s="39">
        <v>620.0</v>
      </c>
      <c r="N438" s="39" t="s">
        <v>1051</v>
      </c>
      <c r="R438" s="39" t="s">
        <v>832</v>
      </c>
      <c r="S438" s="39" t="s">
        <v>1052</v>
      </c>
      <c r="T438" s="39" t="s">
        <v>1053</v>
      </c>
      <c r="U438" s="39" t="s">
        <v>1051</v>
      </c>
      <c r="X438" s="39" t="s">
        <v>1089</v>
      </c>
      <c r="Y438" s="39" t="s">
        <v>1055</v>
      </c>
      <c r="Z438" s="39" t="s">
        <v>872</v>
      </c>
      <c r="AB438" s="39">
        <v>5.5</v>
      </c>
    </row>
    <row r="439">
      <c r="A439" s="39" t="s">
        <v>1057</v>
      </c>
      <c r="B439" s="39" t="s">
        <v>1058</v>
      </c>
      <c r="C439" s="39">
        <v>7.0</v>
      </c>
      <c r="D439" s="41">
        <v>43999.0</v>
      </c>
      <c r="E439" s="39" t="s">
        <v>1059</v>
      </c>
      <c r="F439" s="39" t="s">
        <v>1060</v>
      </c>
      <c r="G439" s="39" t="s">
        <v>1050</v>
      </c>
      <c r="H439" s="39">
        <v>620.0</v>
      </c>
      <c r="N439" s="39" t="s">
        <v>1051</v>
      </c>
      <c r="R439" s="39" t="s">
        <v>832</v>
      </c>
      <c r="S439" s="39" t="s">
        <v>1052</v>
      </c>
      <c r="T439" s="39" t="s">
        <v>1053</v>
      </c>
      <c r="U439" s="39" t="s">
        <v>1051</v>
      </c>
      <c r="X439" s="39" t="s">
        <v>1090</v>
      </c>
      <c r="Y439" s="39" t="s">
        <v>1055</v>
      </c>
      <c r="Z439" s="39" t="s">
        <v>872</v>
      </c>
      <c r="AB439" s="39">
        <v>7.0</v>
      </c>
    </row>
    <row r="440">
      <c r="A440" s="39" t="s">
        <v>1062</v>
      </c>
      <c r="B440" s="39" t="s">
        <v>1063</v>
      </c>
      <c r="C440" s="39">
        <v>0.133333333333333</v>
      </c>
      <c r="D440" s="41">
        <v>44000.0</v>
      </c>
      <c r="E440" s="39" t="s">
        <v>828</v>
      </c>
      <c r="F440" s="39" t="s">
        <v>829</v>
      </c>
      <c r="G440" s="39" t="s">
        <v>830</v>
      </c>
      <c r="H440" s="39">
        <v>620.0</v>
      </c>
      <c r="N440" s="39" t="s">
        <v>938</v>
      </c>
      <c r="R440" s="39" t="s">
        <v>832</v>
      </c>
      <c r="S440" s="39" t="s">
        <v>939</v>
      </c>
      <c r="T440" s="39" t="s">
        <v>741</v>
      </c>
      <c r="U440" s="39" t="s">
        <v>938</v>
      </c>
      <c r="X440" s="39" t="s">
        <v>1064</v>
      </c>
      <c r="Y440" s="39" t="s">
        <v>944</v>
      </c>
      <c r="Z440" s="39" t="s">
        <v>828</v>
      </c>
      <c r="AB440" s="39">
        <v>0.133333333333333</v>
      </c>
    </row>
    <row r="441">
      <c r="A441" s="39" t="s">
        <v>1083</v>
      </c>
      <c r="B441" s="39" t="s">
        <v>1084</v>
      </c>
      <c r="C441" s="39">
        <v>0.216666666666666</v>
      </c>
      <c r="D441" s="41">
        <v>44000.0</v>
      </c>
      <c r="E441" s="39" t="s">
        <v>828</v>
      </c>
      <c r="F441" s="39" t="s">
        <v>829</v>
      </c>
      <c r="G441" s="39" t="s">
        <v>830</v>
      </c>
      <c r="H441" s="39">
        <v>620.0</v>
      </c>
      <c r="N441" s="39" t="s">
        <v>938</v>
      </c>
      <c r="R441" s="39" t="s">
        <v>832</v>
      </c>
      <c r="S441" s="39" t="s">
        <v>939</v>
      </c>
      <c r="T441" s="39" t="s">
        <v>741</v>
      </c>
      <c r="U441" s="39" t="s">
        <v>938</v>
      </c>
      <c r="X441" s="39" t="s">
        <v>1085</v>
      </c>
      <c r="Y441" s="39" t="s">
        <v>1027</v>
      </c>
      <c r="Z441" s="39" t="s">
        <v>872</v>
      </c>
      <c r="AB441" s="39">
        <v>0.216666666666666</v>
      </c>
    </row>
    <row r="442">
      <c r="A442" s="39" t="s">
        <v>1086</v>
      </c>
      <c r="B442" s="39" t="s">
        <v>1087</v>
      </c>
      <c r="C442" s="39">
        <v>0.516666666666666</v>
      </c>
      <c r="D442" s="41">
        <v>44000.0</v>
      </c>
      <c r="E442" s="39" t="s">
        <v>828</v>
      </c>
      <c r="F442" s="39" t="s">
        <v>829</v>
      </c>
      <c r="G442" s="39" t="s">
        <v>830</v>
      </c>
      <c r="H442" s="39">
        <v>620.0</v>
      </c>
      <c r="N442" s="39" t="s">
        <v>938</v>
      </c>
      <c r="R442" s="39" t="s">
        <v>832</v>
      </c>
      <c r="S442" s="39" t="s">
        <v>939</v>
      </c>
      <c r="T442" s="39" t="s">
        <v>741</v>
      </c>
      <c r="U442" s="39" t="s">
        <v>938</v>
      </c>
      <c r="X442" s="39" t="s">
        <v>1088</v>
      </c>
      <c r="Y442" s="39" t="s">
        <v>944</v>
      </c>
      <c r="Z442" s="39" t="s">
        <v>828</v>
      </c>
      <c r="AB442" s="39">
        <v>0.516666666666666</v>
      </c>
    </row>
    <row r="443">
      <c r="A443" s="39" t="s">
        <v>1016</v>
      </c>
      <c r="B443" s="39" t="s">
        <v>1017</v>
      </c>
      <c r="C443" s="39">
        <v>0.0666666666666666</v>
      </c>
      <c r="D443" s="41">
        <v>44000.0</v>
      </c>
      <c r="E443" s="39" t="s">
        <v>828</v>
      </c>
      <c r="F443" s="39" t="s">
        <v>829</v>
      </c>
      <c r="G443" s="39" t="s">
        <v>830</v>
      </c>
      <c r="H443" s="39">
        <v>620.0</v>
      </c>
      <c r="N443" s="39" t="s">
        <v>883</v>
      </c>
      <c r="R443" s="39" t="s">
        <v>832</v>
      </c>
      <c r="S443" s="39" t="s">
        <v>833</v>
      </c>
      <c r="T443" s="39" t="s">
        <v>884</v>
      </c>
      <c r="U443" s="39" t="s">
        <v>883</v>
      </c>
      <c r="W443" s="39" t="s">
        <v>928</v>
      </c>
      <c r="X443" s="39" t="s">
        <v>1018</v>
      </c>
      <c r="Z443" s="39" t="s">
        <v>876</v>
      </c>
      <c r="AB443" s="39">
        <v>0.0666666666666666</v>
      </c>
      <c r="AC443" s="39">
        <v>8.0</v>
      </c>
      <c r="AD443" s="39">
        <v>0.0</v>
      </c>
    </row>
    <row r="444">
      <c r="A444" s="39" t="s">
        <v>1091</v>
      </c>
      <c r="B444" s="39" t="s">
        <v>1092</v>
      </c>
      <c r="C444" s="39">
        <v>0.116666666666666</v>
      </c>
      <c r="D444" s="41">
        <v>44000.0</v>
      </c>
      <c r="E444" s="39" t="s">
        <v>828</v>
      </c>
      <c r="F444" s="39" t="s">
        <v>829</v>
      </c>
      <c r="G444" s="39" t="s">
        <v>830</v>
      </c>
      <c r="H444" s="39">
        <v>620.0</v>
      </c>
      <c r="N444" s="39" t="s">
        <v>938</v>
      </c>
      <c r="R444" s="39" t="s">
        <v>832</v>
      </c>
      <c r="S444" s="39" t="s">
        <v>939</v>
      </c>
      <c r="T444" s="39" t="s">
        <v>741</v>
      </c>
      <c r="U444" s="39" t="s">
        <v>938</v>
      </c>
      <c r="X444" s="39" t="s">
        <v>1093</v>
      </c>
      <c r="Y444" s="39" t="s">
        <v>944</v>
      </c>
      <c r="Z444" s="39" t="s">
        <v>828</v>
      </c>
      <c r="AB444" s="39">
        <v>0.116666666666666</v>
      </c>
    </row>
    <row r="445">
      <c r="A445" s="39" t="s">
        <v>944</v>
      </c>
      <c r="B445" s="39" t="s">
        <v>1001</v>
      </c>
      <c r="C445" s="39">
        <v>0.733333333333333</v>
      </c>
      <c r="D445" s="41">
        <v>44000.0</v>
      </c>
      <c r="E445" s="39" t="s">
        <v>828</v>
      </c>
      <c r="F445" s="39" t="s">
        <v>829</v>
      </c>
      <c r="G445" s="39" t="s">
        <v>830</v>
      </c>
      <c r="H445" s="39">
        <v>620.0</v>
      </c>
      <c r="N445" s="39" t="s">
        <v>938</v>
      </c>
      <c r="R445" s="39" t="s">
        <v>72</v>
      </c>
      <c r="S445" s="39" t="s">
        <v>939</v>
      </c>
      <c r="T445" s="39" t="s">
        <v>741</v>
      </c>
      <c r="U445" s="39" t="s">
        <v>938</v>
      </c>
      <c r="X445" s="39" t="s">
        <v>1002</v>
      </c>
      <c r="Z445" s="39" t="s">
        <v>872</v>
      </c>
      <c r="AB445" s="39">
        <v>0.733333333333333</v>
      </c>
    </row>
    <row r="446">
      <c r="A446" s="39" t="s">
        <v>1094</v>
      </c>
      <c r="B446" s="39" t="s">
        <v>1095</v>
      </c>
      <c r="C446" s="39">
        <v>7.0</v>
      </c>
      <c r="D446" s="41">
        <v>44000.0</v>
      </c>
      <c r="E446" s="39" t="s">
        <v>1048</v>
      </c>
      <c r="F446" s="39" t="s">
        <v>1049</v>
      </c>
      <c r="G446" s="39" t="s">
        <v>1050</v>
      </c>
      <c r="H446" s="39">
        <v>620.0</v>
      </c>
      <c r="N446" s="39" t="s">
        <v>1051</v>
      </c>
      <c r="R446" s="39" t="s">
        <v>832</v>
      </c>
      <c r="S446" s="39" t="s">
        <v>1052</v>
      </c>
      <c r="T446" s="39" t="s">
        <v>1053</v>
      </c>
      <c r="U446" s="39" t="s">
        <v>1051</v>
      </c>
      <c r="X446" s="39" t="s">
        <v>1096</v>
      </c>
      <c r="Y446" s="39" t="s">
        <v>1055</v>
      </c>
      <c r="Z446" s="39" t="s">
        <v>872</v>
      </c>
      <c r="AB446" s="39">
        <v>7.0</v>
      </c>
    </row>
    <row r="447">
      <c r="A447" s="39" t="s">
        <v>1094</v>
      </c>
      <c r="B447" s="39" t="s">
        <v>1095</v>
      </c>
      <c r="C447" s="39">
        <v>7.0</v>
      </c>
      <c r="D447" s="41">
        <v>44000.0</v>
      </c>
      <c r="E447" s="39" t="s">
        <v>1059</v>
      </c>
      <c r="F447" s="39" t="s">
        <v>1060</v>
      </c>
      <c r="G447" s="39" t="s">
        <v>1050</v>
      </c>
      <c r="H447" s="39">
        <v>620.0</v>
      </c>
      <c r="N447" s="39" t="s">
        <v>1051</v>
      </c>
      <c r="R447" s="39" t="s">
        <v>832</v>
      </c>
      <c r="S447" s="39" t="s">
        <v>1052</v>
      </c>
      <c r="T447" s="39" t="s">
        <v>1053</v>
      </c>
      <c r="U447" s="39" t="s">
        <v>1051</v>
      </c>
      <c r="X447" s="39" t="s">
        <v>1097</v>
      </c>
      <c r="Y447" s="39" t="s">
        <v>1055</v>
      </c>
      <c r="Z447" s="39" t="s">
        <v>872</v>
      </c>
      <c r="AB447" s="39">
        <v>7.0</v>
      </c>
    </row>
    <row r="448">
      <c r="A448" s="39" t="s">
        <v>1098</v>
      </c>
      <c r="B448" s="39" t="s">
        <v>1099</v>
      </c>
      <c r="C448" s="39">
        <v>0.25</v>
      </c>
      <c r="D448" s="41">
        <v>44001.0</v>
      </c>
      <c r="E448" s="39" t="s">
        <v>828</v>
      </c>
      <c r="F448" s="39" t="s">
        <v>829</v>
      </c>
      <c r="G448" s="39" t="s">
        <v>830</v>
      </c>
      <c r="H448" s="39">
        <v>620.0</v>
      </c>
      <c r="N448" s="39" t="s">
        <v>938</v>
      </c>
      <c r="R448" s="39" t="s">
        <v>832</v>
      </c>
      <c r="S448" s="39" t="s">
        <v>939</v>
      </c>
      <c r="T448" s="39" t="s">
        <v>741</v>
      </c>
      <c r="U448" s="39" t="s">
        <v>938</v>
      </c>
      <c r="X448" s="39" t="s">
        <v>1100</v>
      </c>
      <c r="Y448" s="39" t="s">
        <v>944</v>
      </c>
      <c r="Z448" s="39" t="s">
        <v>828</v>
      </c>
      <c r="AB448" s="39">
        <v>0.25</v>
      </c>
    </row>
    <row r="449">
      <c r="A449" s="39" t="s">
        <v>1091</v>
      </c>
      <c r="B449" s="39" t="s">
        <v>1092</v>
      </c>
      <c r="C449" s="39">
        <v>1.66666666666666</v>
      </c>
      <c r="D449" s="41">
        <v>44001.0</v>
      </c>
      <c r="E449" s="39" t="s">
        <v>828</v>
      </c>
      <c r="F449" s="39" t="s">
        <v>829</v>
      </c>
      <c r="G449" s="39" t="s">
        <v>830</v>
      </c>
      <c r="H449" s="39">
        <v>620.0</v>
      </c>
      <c r="N449" s="39" t="s">
        <v>938</v>
      </c>
      <c r="R449" s="39" t="s">
        <v>832</v>
      </c>
      <c r="S449" s="39" t="s">
        <v>939</v>
      </c>
      <c r="T449" s="39" t="s">
        <v>741</v>
      </c>
      <c r="U449" s="39" t="s">
        <v>938</v>
      </c>
      <c r="X449" s="39" t="s">
        <v>1093</v>
      </c>
      <c r="Y449" s="39" t="s">
        <v>944</v>
      </c>
      <c r="Z449" s="39" t="s">
        <v>828</v>
      </c>
      <c r="AB449" s="39">
        <v>1.66666666666666</v>
      </c>
    </row>
    <row r="450">
      <c r="A450" s="39" t="s">
        <v>1016</v>
      </c>
      <c r="B450" s="39" t="s">
        <v>1017</v>
      </c>
      <c r="C450" s="39">
        <v>2.15</v>
      </c>
      <c r="D450" s="41">
        <v>44001.0</v>
      </c>
      <c r="E450" s="39" t="s">
        <v>828</v>
      </c>
      <c r="F450" s="39" t="s">
        <v>829</v>
      </c>
      <c r="G450" s="39" t="s">
        <v>830</v>
      </c>
      <c r="H450" s="39">
        <v>620.0</v>
      </c>
      <c r="N450" s="39" t="s">
        <v>883</v>
      </c>
      <c r="R450" s="39" t="s">
        <v>832</v>
      </c>
      <c r="S450" s="39" t="s">
        <v>833</v>
      </c>
      <c r="T450" s="39" t="s">
        <v>884</v>
      </c>
      <c r="U450" s="39" t="s">
        <v>883</v>
      </c>
      <c r="W450" s="39" t="s">
        <v>928</v>
      </c>
      <c r="X450" s="39" t="s">
        <v>1018</v>
      </c>
      <c r="Z450" s="39" t="s">
        <v>876</v>
      </c>
      <c r="AB450" s="39">
        <v>2.15</v>
      </c>
      <c r="AC450" s="39">
        <v>8.0</v>
      </c>
      <c r="AD450" s="39">
        <v>0.0</v>
      </c>
    </row>
    <row r="451">
      <c r="A451" s="39" t="s">
        <v>944</v>
      </c>
      <c r="B451" s="39" t="s">
        <v>1001</v>
      </c>
      <c r="C451" s="39">
        <v>0.2</v>
      </c>
      <c r="D451" s="41">
        <v>44001.0</v>
      </c>
      <c r="E451" s="39" t="s">
        <v>828</v>
      </c>
      <c r="F451" s="39" t="s">
        <v>829</v>
      </c>
      <c r="G451" s="39" t="s">
        <v>830</v>
      </c>
      <c r="H451" s="39">
        <v>620.0</v>
      </c>
      <c r="N451" s="39" t="s">
        <v>938</v>
      </c>
      <c r="R451" s="39" t="s">
        <v>72</v>
      </c>
      <c r="S451" s="39" t="s">
        <v>939</v>
      </c>
      <c r="T451" s="39" t="s">
        <v>741</v>
      </c>
      <c r="U451" s="39" t="s">
        <v>938</v>
      </c>
      <c r="X451" s="39" t="s">
        <v>1002</v>
      </c>
      <c r="Z451" s="39" t="s">
        <v>872</v>
      </c>
      <c r="AB451" s="39">
        <v>0.2</v>
      </c>
    </row>
    <row r="452">
      <c r="A452" s="39" t="s">
        <v>1086</v>
      </c>
      <c r="B452" s="39" t="s">
        <v>1087</v>
      </c>
      <c r="C452" s="39">
        <v>0.633333333333333</v>
      </c>
      <c r="D452" s="41">
        <v>44001.0</v>
      </c>
      <c r="E452" s="39" t="s">
        <v>828</v>
      </c>
      <c r="F452" s="39" t="s">
        <v>829</v>
      </c>
      <c r="G452" s="39" t="s">
        <v>830</v>
      </c>
      <c r="H452" s="39">
        <v>620.0</v>
      </c>
      <c r="N452" s="39" t="s">
        <v>938</v>
      </c>
      <c r="R452" s="39" t="s">
        <v>832</v>
      </c>
      <c r="S452" s="39" t="s">
        <v>939</v>
      </c>
      <c r="T452" s="39" t="s">
        <v>741</v>
      </c>
      <c r="U452" s="39" t="s">
        <v>938</v>
      </c>
      <c r="X452" s="39" t="s">
        <v>1088</v>
      </c>
      <c r="Y452" s="39" t="s">
        <v>944</v>
      </c>
      <c r="Z452" s="39" t="s">
        <v>828</v>
      </c>
      <c r="AB452" s="39">
        <v>0.633333333333333</v>
      </c>
    </row>
    <row r="453">
      <c r="A453" s="39" t="s">
        <v>1046</v>
      </c>
      <c r="B453" s="39" t="s">
        <v>1047</v>
      </c>
      <c r="C453" s="39">
        <v>6.5</v>
      </c>
      <c r="D453" s="41">
        <v>44001.0</v>
      </c>
      <c r="E453" s="39" t="s">
        <v>1048</v>
      </c>
      <c r="F453" s="39" t="s">
        <v>1049</v>
      </c>
      <c r="G453" s="39" t="s">
        <v>1050</v>
      </c>
      <c r="H453" s="39">
        <v>620.0</v>
      </c>
      <c r="N453" s="39" t="s">
        <v>1051</v>
      </c>
      <c r="R453" s="39" t="s">
        <v>832</v>
      </c>
      <c r="S453" s="39" t="s">
        <v>1052</v>
      </c>
      <c r="T453" s="39" t="s">
        <v>1053</v>
      </c>
      <c r="U453" s="39" t="s">
        <v>1051</v>
      </c>
      <c r="X453" s="39" t="s">
        <v>1101</v>
      </c>
      <c r="Y453" s="39" t="s">
        <v>1055</v>
      </c>
      <c r="Z453" s="39" t="s">
        <v>872</v>
      </c>
      <c r="AB453" s="39">
        <v>6.5</v>
      </c>
    </row>
    <row r="454">
      <c r="A454" s="39" t="s">
        <v>1102</v>
      </c>
      <c r="B454" s="39" t="s">
        <v>1103</v>
      </c>
      <c r="C454" s="39">
        <v>1.0</v>
      </c>
      <c r="D454" s="41">
        <v>44001.0</v>
      </c>
      <c r="E454" s="39" t="s">
        <v>1059</v>
      </c>
      <c r="F454" s="39" t="s">
        <v>1060</v>
      </c>
      <c r="G454" s="39" t="s">
        <v>1050</v>
      </c>
      <c r="H454" s="39">
        <v>620.0</v>
      </c>
      <c r="N454" s="39" t="s">
        <v>1051</v>
      </c>
      <c r="R454" s="39" t="s">
        <v>832</v>
      </c>
      <c r="S454" s="39" t="s">
        <v>1052</v>
      </c>
      <c r="T454" s="39" t="s">
        <v>1053</v>
      </c>
      <c r="U454" s="39" t="s">
        <v>1051</v>
      </c>
      <c r="X454" s="39" t="s">
        <v>1104</v>
      </c>
      <c r="Y454" s="39" t="s">
        <v>1055</v>
      </c>
      <c r="Z454" s="39" t="s">
        <v>872</v>
      </c>
      <c r="AB454" s="39">
        <v>1.0</v>
      </c>
    </row>
    <row r="455">
      <c r="A455" s="39" t="s">
        <v>1105</v>
      </c>
      <c r="B455" s="39" t="s">
        <v>1106</v>
      </c>
      <c r="C455" s="39">
        <v>2.0</v>
      </c>
      <c r="D455" s="41">
        <v>44001.0</v>
      </c>
      <c r="E455" s="39" t="s">
        <v>1059</v>
      </c>
      <c r="F455" s="39" t="s">
        <v>1060</v>
      </c>
      <c r="G455" s="39" t="s">
        <v>1050</v>
      </c>
      <c r="H455" s="39">
        <v>620.0</v>
      </c>
      <c r="N455" s="39" t="s">
        <v>1051</v>
      </c>
      <c r="R455" s="39" t="s">
        <v>832</v>
      </c>
      <c r="S455" s="39" t="s">
        <v>1052</v>
      </c>
      <c r="T455" s="39" t="s">
        <v>1053</v>
      </c>
      <c r="U455" s="39" t="s">
        <v>1051</v>
      </c>
      <c r="X455" s="39" t="s">
        <v>1107</v>
      </c>
      <c r="Y455" s="39" t="s">
        <v>1055</v>
      </c>
      <c r="Z455" s="39" t="s">
        <v>872</v>
      </c>
      <c r="AB455" s="39">
        <v>2.0</v>
      </c>
    </row>
    <row r="456">
      <c r="A456" s="39" t="s">
        <v>1094</v>
      </c>
      <c r="B456" s="39" t="s">
        <v>1095</v>
      </c>
      <c r="C456" s="39">
        <v>8.0</v>
      </c>
      <c r="D456" s="41">
        <v>44001.0</v>
      </c>
      <c r="E456" s="39" t="s">
        <v>1059</v>
      </c>
      <c r="F456" s="39" t="s">
        <v>1060</v>
      </c>
      <c r="G456" s="39" t="s">
        <v>1050</v>
      </c>
      <c r="H456" s="39">
        <v>620.0</v>
      </c>
      <c r="N456" s="39" t="s">
        <v>1051</v>
      </c>
      <c r="R456" s="39" t="s">
        <v>832</v>
      </c>
      <c r="S456" s="39" t="s">
        <v>1052</v>
      </c>
      <c r="T456" s="39" t="s">
        <v>1053</v>
      </c>
      <c r="U456" s="39" t="s">
        <v>1051</v>
      </c>
      <c r="X456" s="39" t="s">
        <v>1108</v>
      </c>
      <c r="Y456" s="39" t="s">
        <v>1055</v>
      </c>
      <c r="Z456" s="39" t="s">
        <v>872</v>
      </c>
      <c r="AB456" s="39">
        <v>8.0</v>
      </c>
    </row>
    <row r="457">
      <c r="A457" s="39" t="s">
        <v>1109</v>
      </c>
      <c r="B457" s="39" t="s">
        <v>1110</v>
      </c>
      <c r="C457" s="39">
        <v>0.65</v>
      </c>
      <c r="D457" s="41">
        <v>44004.0</v>
      </c>
      <c r="E457" s="39" t="s">
        <v>828</v>
      </c>
      <c r="F457" s="39" t="s">
        <v>829</v>
      </c>
      <c r="G457" s="39" t="s">
        <v>830</v>
      </c>
      <c r="H457" s="39">
        <v>620.0</v>
      </c>
      <c r="N457" s="39" t="s">
        <v>883</v>
      </c>
      <c r="R457" s="39" t="s">
        <v>832</v>
      </c>
      <c r="S457" s="39" t="s">
        <v>833</v>
      </c>
      <c r="T457" s="39" t="s">
        <v>884</v>
      </c>
      <c r="U457" s="39" t="s">
        <v>883</v>
      </c>
      <c r="W457" s="39" t="s">
        <v>241</v>
      </c>
      <c r="X457" s="39" t="s">
        <v>1111</v>
      </c>
      <c r="Z457" s="39" t="s">
        <v>852</v>
      </c>
      <c r="AB457" s="39">
        <v>0.65</v>
      </c>
      <c r="AC457" s="39">
        <v>16.0</v>
      </c>
      <c r="AD457" s="39">
        <v>0.0</v>
      </c>
    </row>
    <row r="458">
      <c r="A458" s="39" t="s">
        <v>1098</v>
      </c>
      <c r="B458" s="39" t="s">
        <v>1099</v>
      </c>
      <c r="C458" s="39">
        <v>1.48333333333333</v>
      </c>
      <c r="D458" s="41">
        <v>44004.0</v>
      </c>
      <c r="E458" s="39" t="s">
        <v>828</v>
      </c>
      <c r="F458" s="39" t="s">
        <v>829</v>
      </c>
      <c r="G458" s="39" t="s">
        <v>830</v>
      </c>
      <c r="H458" s="39">
        <v>620.0</v>
      </c>
      <c r="N458" s="39" t="s">
        <v>938</v>
      </c>
      <c r="R458" s="39" t="s">
        <v>832</v>
      </c>
      <c r="S458" s="39" t="s">
        <v>939</v>
      </c>
      <c r="T458" s="39" t="s">
        <v>741</v>
      </c>
      <c r="U458" s="39" t="s">
        <v>938</v>
      </c>
      <c r="X458" s="39" t="s">
        <v>1100</v>
      </c>
      <c r="Y458" s="39" t="s">
        <v>944</v>
      </c>
      <c r="Z458" s="39" t="s">
        <v>828</v>
      </c>
      <c r="AB458" s="39">
        <v>1.48333333333333</v>
      </c>
    </row>
    <row r="459">
      <c r="A459" s="39" t="s">
        <v>1112</v>
      </c>
      <c r="B459" s="39" t="s">
        <v>1113</v>
      </c>
      <c r="C459" s="39">
        <v>0.233333333333333</v>
      </c>
      <c r="D459" s="41">
        <v>44004.0</v>
      </c>
      <c r="E459" s="39" t="s">
        <v>828</v>
      </c>
      <c r="F459" s="39" t="s">
        <v>829</v>
      </c>
      <c r="G459" s="39" t="s">
        <v>830</v>
      </c>
      <c r="H459" s="39">
        <v>620.0</v>
      </c>
      <c r="N459" s="39" t="s">
        <v>938</v>
      </c>
      <c r="R459" s="39" t="s">
        <v>832</v>
      </c>
      <c r="S459" s="39" t="s">
        <v>889</v>
      </c>
      <c r="T459" s="39" t="s">
        <v>741</v>
      </c>
      <c r="U459" s="39" t="s">
        <v>938</v>
      </c>
      <c r="X459" s="39" t="s">
        <v>1114</v>
      </c>
      <c r="Y459" s="39" t="s">
        <v>1115</v>
      </c>
      <c r="Z459" s="39" t="s">
        <v>872</v>
      </c>
      <c r="AB459" s="39">
        <v>0.233333333333333</v>
      </c>
    </row>
    <row r="460">
      <c r="A460" s="39" t="s">
        <v>944</v>
      </c>
      <c r="B460" s="39" t="s">
        <v>1001</v>
      </c>
      <c r="C460" s="39">
        <v>0.5</v>
      </c>
      <c r="D460" s="41">
        <v>44004.0</v>
      </c>
      <c r="E460" s="39" t="s">
        <v>828</v>
      </c>
      <c r="F460" s="39" t="s">
        <v>829</v>
      </c>
      <c r="G460" s="39" t="s">
        <v>830</v>
      </c>
      <c r="H460" s="39">
        <v>620.0</v>
      </c>
      <c r="N460" s="39" t="s">
        <v>938</v>
      </c>
      <c r="R460" s="39" t="s">
        <v>72</v>
      </c>
      <c r="S460" s="39" t="s">
        <v>939</v>
      </c>
      <c r="T460" s="39" t="s">
        <v>741</v>
      </c>
      <c r="U460" s="39" t="s">
        <v>938</v>
      </c>
      <c r="X460" s="39" t="s">
        <v>1002</v>
      </c>
      <c r="Z460" s="39" t="s">
        <v>872</v>
      </c>
      <c r="AB460" s="39">
        <v>0.5</v>
      </c>
    </row>
    <row r="461">
      <c r="A461" s="39" t="s">
        <v>1094</v>
      </c>
      <c r="B461" s="39" t="s">
        <v>1095</v>
      </c>
      <c r="C461" s="39">
        <v>3.0</v>
      </c>
      <c r="D461" s="41">
        <v>44004.0</v>
      </c>
      <c r="E461" s="39" t="s">
        <v>1048</v>
      </c>
      <c r="F461" s="39" t="s">
        <v>1049</v>
      </c>
      <c r="G461" s="39" t="s">
        <v>1050</v>
      </c>
      <c r="H461" s="39">
        <v>620.0</v>
      </c>
      <c r="N461" s="39" t="s">
        <v>1051</v>
      </c>
      <c r="R461" s="39" t="s">
        <v>832</v>
      </c>
      <c r="S461" s="39" t="s">
        <v>1052</v>
      </c>
      <c r="T461" s="39" t="s">
        <v>1053</v>
      </c>
      <c r="U461" s="39" t="s">
        <v>1051</v>
      </c>
      <c r="X461" s="39" t="s">
        <v>1116</v>
      </c>
      <c r="Y461" s="39" t="s">
        <v>1055</v>
      </c>
      <c r="Z461" s="39" t="s">
        <v>872</v>
      </c>
      <c r="AB461" s="39">
        <v>3.0</v>
      </c>
    </row>
    <row r="462">
      <c r="A462" s="39" t="s">
        <v>1105</v>
      </c>
      <c r="B462" s="39" t="s">
        <v>1106</v>
      </c>
      <c r="C462" s="39">
        <v>1.0</v>
      </c>
      <c r="D462" s="41">
        <v>44004.0</v>
      </c>
      <c r="E462" s="39" t="s">
        <v>1059</v>
      </c>
      <c r="F462" s="39" t="s">
        <v>1060</v>
      </c>
      <c r="G462" s="39" t="s">
        <v>1050</v>
      </c>
      <c r="H462" s="39">
        <v>620.0</v>
      </c>
      <c r="N462" s="39" t="s">
        <v>1051</v>
      </c>
      <c r="R462" s="39" t="s">
        <v>832</v>
      </c>
      <c r="S462" s="39" t="s">
        <v>1052</v>
      </c>
      <c r="T462" s="39" t="s">
        <v>1053</v>
      </c>
      <c r="U462" s="39" t="s">
        <v>1051</v>
      </c>
      <c r="X462" s="39" t="s">
        <v>1117</v>
      </c>
      <c r="Y462" s="39" t="s">
        <v>1055</v>
      </c>
      <c r="Z462" s="39" t="s">
        <v>872</v>
      </c>
      <c r="AB462" s="39">
        <v>1.0</v>
      </c>
    </row>
    <row r="463">
      <c r="A463" s="39" t="s">
        <v>1094</v>
      </c>
      <c r="B463" s="39" t="s">
        <v>1095</v>
      </c>
      <c r="C463" s="39">
        <v>5.0</v>
      </c>
      <c r="D463" s="41">
        <v>44004.0</v>
      </c>
      <c r="E463" s="39" t="s">
        <v>1059</v>
      </c>
      <c r="F463" s="39" t="s">
        <v>1060</v>
      </c>
      <c r="G463" s="39" t="s">
        <v>1050</v>
      </c>
      <c r="H463" s="39">
        <v>620.0</v>
      </c>
      <c r="N463" s="39" t="s">
        <v>1051</v>
      </c>
      <c r="R463" s="39" t="s">
        <v>832</v>
      </c>
      <c r="S463" s="39" t="s">
        <v>1052</v>
      </c>
      <c r="T463" s="39" t="s">
        <v>1053</v>
      </c>
      <c r="U463" s="39" t="s">
        <v>1051</v>
      </c>
      <c r="X463" s="39" t="s">
        <v>1118</v>
      </c>
      <c r="Y463" s="39" t="s">
        <v>1055</v>
      </c>
      <c r="Z463" s="39" t="s">
        <v>872</v>
      </c>
      <c r="AB463" s="39">
        <v>5.0</v>
      </c>
    </row>
    <row r="464">
      <c r="A464" s="39" t="s">
        <v>1119</v>
      </c>
      <c r="B464" s="39" t="s">
        <v>1120</v>
      </c>
      <c r="C464" s="39">
        <v>0.216666666666666</v>
      </c>
      <c r="D464" s="41">
        <v>44005.0</v>
      </c>
      <c r="E464" s="39" t="s">
        <v>828</v>
      </c>
      <c r="F464" s="39" t="s">
        <v>829</v>
      </c>
      <c r="G464" s="39" t="s">
        <v>830</v>
      </c>
      <c r="H464" s="39">
        <v>620.0</v>
      </c>
      <c r="N464" s="39" t="s">
        <v>938</v>
      </c>
      <c r="R464" s="39" t="s">
        <v>832</v>
      </c>
      <c r="S464" s="39" t="s">
        <v>939</v>
      </c>
      <c r="T464" s="39" t="s">
        <v>741</v>
      </c>
      <c r="U464" s="39" t="s">
        <v>938</v>
      </c>
      <c r="X464" s="39" t="s">
        <v>1121</v>
      </c>
      <c r="Y464" s="39" t="s">
        <v>1027</v>
      </c>
      <c r="Z464" s="39" t="s">
        <v>828</v>
      </c>
      <c r="AB464" s="39">
        <v>0.216666666666666</v>
      </c>
    </row>
    <row r="465">
      <c r="A465" s="39" t="s">
        <v>1115</v>
      </c>
      <c r="B465" s="39" t="s">
        <v>1122</v>
      </c>
      <c r="C465" s="39">
        <v>0.833333333333333</v>
      </c>
      <c r="D465" s="41">
        <v>44005.0</v>
      </c>
      <c r="E465" s="39" t="s">
        <v>828</v>
      </c>
      <c r="F465" s="39" t="s">
        <v>829</v>
      </c>
      <c r="G465" s="39" t="s">
        <v>830</v>
      </c>
      <c r="H465" s="39">
        <v>620.0</v>
      </c>
      <c r="N465" s="39" t="s">
        <v>938</v>
      </c>
      <c r="R465" s="39" t="s">
        <v>72</v>
      </c>
      <c r="S465" s="39" t="s">
        <v>842</v>
      </c>
      <c r="T465" s="39" t="s">
        <v>741</v>
      </c>
      <c r="U465" s="39" t="s">
        <v>938</v>
      </c>
      <c r="X465" s="39" t="s">
        <v>1123</v>
      </c>
      <c r="Z465" s="39" t="s">
        <v>872</v>
      </c>
      <c r="AB465" s="39">
        <v>0.833333333333333</v>
      </c>
    </row>
    <row r="466">
      <c r="A466" s="39" t="s">
        <v>1124</v>
      </c>
      <c r="B466" s="39" t="s">
        <v>1125</v>
      </c>
      <c r="C466" s="39">
        <v>5.0</v>
      </c>
      <c r="D466" s="41">
        <v>44005.0</v>
      </c>
      <c r="E466" s="39" t="s">
        <v>1048</v>
      </c>
      <c r="F466" s="39" t="s">
        <v>1049</v>
      </c>
      <c r="G466" s="39" t="s">
        <v>1050</v>
      </c>
      <c r="H466" s="39">
        <v>620.0</v>
      </c>
      <c r="N466" s="39" t="s">
        <v>1051</v>
      </c>
      <c r="R466" s="39" t="s">
        <v>832</v>
      </c>
      <c r="S466" s="39" t="s">
        <v>889</v>
      </c>
      <c r="T466" s="39" t="s">
        <v>1053</v>
      </c>
      <c r="U466" s="39" t="s">
        <v>1051</v>
      </c>
      <c r="X466" s="39" t="s">
        <v>1126</v>
      </c>
      <c r="Y466" s="39" t="s">
        <v>1127</v>
      </c>
      <c r="Z466" s="39" t="s">
        <v>872</v>
      </c>
      <c r="AB466" s="39">
        <v>5.0</v>
      </c>
    </row>
    <row r="467">
      <c r="A467" s="39" t="s">
        <v>1128</v>
      </c>
      <c r="B467" s="39" t="s">
        <v>1129</v>
      </c>
      <c r="C467" s="39">
        <v>7.0</v>
      </c>
      <c r="D467" s="41">
        <v>44005.0</v>
      </c>
      <c r="E467" s="39" t="s">
        <v>1059</v>
      </c>
      <c r="F467" s="39" t="s">
        <v>1060</v>
      </c>
      <c r="G467" s="39" t="s">
        <v>1050</v>
      </c>
      <c r="H467" s="39">
        <v>620.0</v>
      </c>
      <c r="N467" s="39" t="s">
        <v>1051</v>
      </c>
      <c r="R467" s="39" t="s">
        <v>832</v>
      </c>
      <c r="S467" s="39" t="s">
        <v>1052</v>
      </c>
      <c r="T467" s="39" t="s">
        <v>1053</v>
      </c>
      <c r="U467" s="39" t="s">
        <v>1051</v>
      </c>
      <c r="X467" s="39" t="s">
        <v>1130</v>
      </c>
      <c r="Y467" s="39" t="s">
        <v>1131</v>
      </c>
      <c r="Z467" s="39" t="s">
        <v>872</v>
      </c>
      <c r="AB467" s="39">
        <v>7.0</v>
      </c>
    </row>
    <row r="468">
      <c r="A468" s="39" t="s">
        <v>1016</v>
      </c>
      <c r="B468" s="39" t="s">
        <v>1017</v>
      </c>
      <c r="C468" s="39">
        <v>1.75</v>
      </c>
      <c r="D468" s="41">
        <v>44006.0</v>
      </c>
      <c r="E468" s="39" t="s">
        <v>828</v>
      </c>
      <c r="F468" s="39" t="s">
        <v>829</v>
      </c>
      <c r="G468" s="39" t="s">
        <v>830</v>
      </c>
      <c r="H468" s="39">
        <v>620.0</v>
      </c>
      <c r="N468" s="39" t="s">
        <v>883</v>
      </c>
      <c r="R468" s="39" t="s">
        <v>832</v>
      </c>
      <c r="S468" s="39" t="s">
        <v>833</v>
      </c>
      <c r="T468" s="39" t="s">
        <v>884</v>
      </c>
      <c r="U468" s="39" t="s">
        <v>883</v>
      </c>
      <c r="W468" s="39" t="s">
        <v>928</v>
      </c>
      <c r="X468" s="39" t="s">
        <v>1018</v>
      </c>
      <c r="Z468" s="39" t="s">
        <v>876</v>
      </c>
      <c r="AB468" s="39">
        <v>1.75</v>
      </c>
      <c r="AC468" s="39">
        <v>8.0</v>
      </c>
      <c r="AD468" s="39">
        <v>0.0</v>
      </c>
    </row>
    <row r="469">
      <c r="A469" s="39" t="s">
        <v>1115</v>
      </c>
      <c r="B469" s="39" t="s">
        <v>1122</v>
      </c>
      <c r="C469" s="39">
        <v>0.866666666666666</v>
      </c>
      <c r="D469" s="41">
        <v>44006.0</v>
      </c>
      <c r="E469" s="39" t="s">
        <v>828</v>
      </c>
      <c r="F469" s="39" t="s">
        <v>829</v>
      </c>
      <c r="G469" s="39" t="s">
        <v>830</v>
      </c>
      <c r="H469" s="39">
        <v>620.0</v>
      </c>
      <c r="N469" s="39" t="s">
        <v>938</v>
      </c>
      <c r="R469" s="39" t="s">
        <v>72</v>
      </c>
      <c r="S469" s="39" t="s">
        <v>842</v>
      </c>
      <c r="T469" s="39" t="s">
        <v>741</v>
      </c>
      <c r="U469" s="39" t="s">
        <v>938</v>
      </c>
      <c r="X469" s="39" t="s">
        <v>1123</v>
      </c>
      <c r="Z469" s="39" t="s">
        <v>872</v>
      </c>
      <c r="AB469" s="39">
        <v>0.866666666666666</v>
      </c>
    </row>
    <row r="470">
      <c r="A470" s="39" t="s">
        <v>1132</v>
      </c>
      <c r="B470" s="39" t="s">
        <v>1133</v>
      </c>
      <c r="C470" s="39">
        <v>8.0</v>
      </c>
      <c r="D470" s="41">
        <v>44006.0</v>
      </c>
      <c r="E470" s="39" t="s">
        <v>1048</v>
      </c>
      <c r="F470" s="39" t="s">
        <v>1049</v>
      </c>
      <c r="G470" s="39" t="s">
        <v>1050</v>
      </c>
      <c r="H470" s="39">
        <v>620.0</v>
      </c>
      <c r="N470" s="39" t="s">
        <v>1051</v>
      </c>
      <c r="R470" s="39" t="s">
        <v>832</v>
      </c>
      <c r="S470" s="39" t="s">
        <v>889</v>
      </c>
      <c r="T470" s="39" t="s">
        <v>1053</v>
      </c>
      <c r="U470" s="39" t="s">
        <v>1051</v>
      </c>
      <c r="X470" s="39" t="s">
        <v>1134</v>
      </c>
      <c r="Y470" s="39" t="s">
        <v>1127</v>
      </c>
      <c r="Z470" s="39" t="s">
        <v>872</v>
      </c>
      <c r="AB470" s="39">
        <v>8.0</v>
      </c>
    </row>
    <row r="471">
      <c r="A471" s="39" t="s">
        <v>1128</v>
      </c>
      <c r="B471" s="39" t="s">
        <v>1129</v>
      </c>
      <c r="C471" s="39">
        <v>8.0</v>
      </c>
      <c r="D471" s="41">
        <v>44006.0</v>
      </c>
      <c r="E471" s="39" t="s">
        <v>1059</v>
      </c>
      <c r="F471" s="39" t="s">
        <v>1060</v>
      </c>
      <c r="G471" s="39" t="s">
        <v>1050</v>
      </c>
      <c r="H471" s="39">
        <v>620.0</v>
      </c>
      <c r="N471" s="39" t="s">
        <v>1051</v>
      </c>
      <c r="R471" s="39" t="s">
        <v>832</v>
      </c>
      <c r="S471" s="39" t="s">
        <v>1052</v>
      </c>
      <c r="T471" s="39" t="s">
        <v>1053</v>
      </c>
      <c r="U471" s="39" t="s">
        <v>1051</v>
      </c>
      <c r="X471" s="39" t="s">
        <v>1135</v>
      </c>
      <c r="Y471" s="39" t="s">
        <v>1131</v>
      </c>
      <c r="Z471" s="39" t="s">
        <v>872</v>
      </c>
      <c r="AB471" s="39">
        <v>8.0</v>
      </c>
    </row>
    <row r="472">
      <c r="A472" s="39" t="s">
        <v>1136</v>
      </c>
      <c r="B472" s="39" t="s">
        <v>1137</v>
      </c>
      <c r="C472" s="39">
        <v>3.18333333333333</v>
      </c>
      <c r="D472" s="41">
        <v>44007.0</v>
      </c>
      <c r="E472" s="39" t="s">
        <v>828</v>
      </c>
      <c r="F472" s="39" t="s">
        <v>829</v>
      </c>
      <c r="G472" s="39" t="s">
        <v>830</v>
      </c>
      <c r="H472" s="39">
        <v>620.0</v>
      </c>
      <c r="N472" s="39" t="s">
        <v>883</v>
      </c>
      <c r="R472" s="39" t="s">
        <v>1021</v>
      </c>
      <c r="S472" s="39" t="s">
        <v>833</v>
      </c>
      <c r="T472" s="39" t="s">
        <v>884</v>
      </c>
      <c r="U472" s="39" t="s">
        <v>883</v>
      </c>
      <c r="X472" s="39" t="s">
        <v>1138</v>
      </c>
      <c r="Z472" s="39" t="s">
        <v>837</v>
      </c>
      <c r="AB472" s="39">
        <v>3.18333333333333</v>
      </c>
    </row>
    <row r="473">
      <c r="A473" s="39" t="s">
        <v>1016</v>
      </c>
      <c r="B473" s="39" t="s">
        <v>1017</v>
      </c>
      <c r="C473" s="39">
        <v>0.166666666666666</v>
      </c>
      <c r="D473" s="41">
        <v>44007.0</v>
      </c>
      <c r="E473" s="39" t="s">
        <v>828</v>
      </c>
      <c r="F473" s="39" t="s">
        <v>829</v>
      </c>
      <c r="G473" s="39" t="s">
        <v>830</v>
      </c>
      <c r="H473" s="39">
        <v>620.0</v>
      </c>
      <c r="N473" s="39" t="s">
        <v>883</v>
      </c>
      <c r="R473" s="39" t="s">
        <v>832</v>
      </c>
      <c r="S473" s="39" t="s">
        <v>833</v>
      </c>
      <c r="T473" s="39" t="s">
        <v>884</v>
      </c>
      <c r="U473" s="39" t="s">
        <v>883</v>
      </c>
      <c r="W473" s="39" t="s">
        <v>928</v>
      </c>
      <c r="X473" s="39" t="s">
        <v>1018</v>
      </c>
      <c r="Z473" s="39" t="s">
        <v>876</v>
      </c>
      <c r="AB473" s="39">
        <v>0.166666666666666</v>
      </c>
      <c r="AC473" s="39">
        <v>8.0</v>
      </c>
      <c r="AD473" s="39">
        <v>0.0</v>
      </c>
    </row>
    <row r="474">
      <c r="A474" s="39" t="s">
        <v>1109</v>
      </c>
      <c r="B474" s="39" t="s">
        <v>1110</v>
      </c>
      <c r="C474" s="39">
        <v>0.35</v>
      </c>
      <c r="D474" s="41">
        <v>44007.0</v>
      </c>
      <c r="E474" s="39" t="s">
        <v>828</v>
      </c>
      <c r="F474" s="39" t="s">
        <v>829</v>
      </c>
      <c r="G474" s="39" t="s">
        <v>830</v>
      </c>
      <c r="H474" s="39">
        <v>620.0</v>
      </c>
      <c r="N474" s="39" t="s">
        <v>883</v>
      </c>
      <c r="R474" s="39" t="s">
        <v>832</v>
      </c>
      <c r="S474" s="39" t="s">
        <v>833</v>
      </c>
      <c r="T474" s="39" t="s">
        <v>884</v>
      </c>
      <c r="U474" s="39" t="s">
        <v>883</v>
      </c>
      <c r="W474" s="39" t="s">
        <v>241</v>
      </c>
      <c r="X474" s="39" t="s">
        <v>1111</v>
      </c>
      <c r="Z474" s="39" t="s">
        <v>852</v>
      </c>
      <c r="AB474" s="39">
        <v>0.35</v>
      </c>
      <c r="AC474" s="39">
        <v>16.0</v>
      </c>
      <c r="AD474" s="39">
        <v>0.0</v>
      </c>
    </row>
    <row r="475">
      <c r="A475" s="39" t="s">
        <v>941</v>
      </c>
      <c r="B475" s="39" t="s">
        <v>942</v>
      </c>
      <c r="C475" s="39">
        <v>0.15</v>
      </c>
      <c r="D475" s="41">
        <v>44007.0</v>
      </c>
      <c r="E475" s="39" t="s">
        <v>828</v>
      </c>
      <c r="F475" s="39" t="s">
        <v>829</v>
      </c>
      <c r="G475" s="39" t="s">
        <v>830</v>
      </c>
      <c r="H475" s="39">
        <v>620.0</v>
      </c>
      <c r="N475" s="39" t="s">
        <v>938</v>
      </c>
      <c r="R475" s="39" t="s">
        <v>832</v>
      </c>
      <c r="S475" s="39" t="s">
        <v>939</v>
      </c>
      <c r="T475" s="39" t="s">
        <v>741</v>
      </c>
      <c r="U475" s="39" t="s">
        <v>938</v>
      </c>
      <c r="X475" s="39" t="s">
        <v>943</v>
      </c>
      <c r="Y475" s="39" t="s">
        <v>944</v>
      </c>
      <c r="Z475" s="39" t="s">
        <v>872</v>
      </c>
      <c r="AB475" s="39">
        <v>0.15</v>
      </c>
    </row>
    <row r="476">
      <c r="A476" s="39" t="s">
        <v>1115</v>
      </c>
      <c r="B476" s="39" t="s">
        <v>1122</v>
      </c>
      <c r="C476" s="39">
        <v>1.53333333333333</v>
      </c>
      <c r="D476" s="41">
        <v>44007.0</v>
      </c>
      <c r="E476" s="39" t="s">
        <v>828</v>
      </c>
      <c r="F476" s="39" t="s">
        <v>829</v>
      </c>
      <c r="G476" s="39" t="s">
        <v>830</v>
      </c>
      <c r="H476" s="39">
        <v>620.0</v>
      </c>
      <c r="N476" s="39" t="s">
        <v>938</v>
      </c>
      <c r="R476" s="39" t="s">
        <v>72</v>
      </c>
      <c r="S476" s="39" t="s">
        <v>842</v>
      </c>
      <c r="T476" s="39" t="s">
        <v>741</v>
      </c>
      <c r="U476" s="39" t="s">
        <v>938</v>
      </c>
      <c r="X476" s="39" t="s">
        <v>1123</v>
      </c>
      <c r="Z476" s="39" t="s">
        <v>872</v>
      </c>
      <c r="AB476" s="39">
        <v>1.53333333333333</v>
      </c>
    </row>
    <row r="477">
      <c r="A477" s="39" t="s">
        <v>1136</v>
      </c>
      <c r="B477" s="39" t="s">
        <v>1137</v>
      </c>
      <c r="C477" s="39">
        <v>0.75</v>
      </c>
      <c r="D477" s="41">
        <v>44007.0</v>
      </c>
      <c r="E477" s="39" t="s">
        <v>837</v>
      </c>
      <c r="F477" s="39" t="s">
        <v>886</v>
      </c>
      <c r="G477" s="39" t="s">
        <v>849</v>
      </c>
      <c r="H477" s="39">
        <v>620.0</v>
      </c>
      <c r="N477" s="39" t="s">
        <v>883</v>
      </c>
      <c r="R477" s="39" t="s">
        <v>1021</v>
      </c>
      <c r="S477" s="39" t="s">
        <v>833</v>
      </c>
      <c r="T477" s="39" t="s">
        <v>884</v>
      </c>
      <c r="U477" s="39" t="s">
        <v>883</v>
      </c>
      <c r="X477" s="39" t="s">
        <v>1138</v>
      </c>
      <c r="Z477" s="39" t="s">
        <v>837</v>
      </c>
      <c r="AB477" s="39">
        <v>0.75</v>
      </c>
    </row>
    <row r="478">
      <c r="A478" s="39" t="s">
        <v>1132</v>
      </c>
      <c r="B478" s="39" t="s">
        <v>1133</v>
      </c>
      <c r="C478" s="39">
        <v>8.0</v>
      </c>
      <c r="D478" s="41">
        <v>44007.0</v>
      </c>
      <c r="E478" s="39" t="s">
        <v>1048</v>
      </c>
      <c r="F478" s="39" t="s">
        <v>1049</v>
      </c>
      <c r="G478" s="39" t="s">
        <v>1050</v>
      </c>
      <c r="H478" s="39">
        <v>620.0</v>
      </c>
      <c r="N478" s="39" t="s">
        <v>1051</v>
      </c>
      <c r="R478" s="39" t="s">
        <v>832</v>
      </c>
      <c r="S478" s="39" t="s">
        <v>889</v>
      </c>
      <c r="T478" s="39" t="s">
        <v>1053</v>
      </c>
      <c r="U478" s="39" t="s">
        <v>1051</v>
      </c>
      <c r="X478" s="39" t="s">
        <v>1139</v>
      </c>
      <c r="Y478" s="39" t="s">
        <v>1127</v>
      </c>
      <c r="Z478" s="39" t="s">
        <v>872</v>
      </c>
      <c r="AB478" s="39">
        <v>8.0</v>
      </c>
    </row>
    <row r="479">
      <c r="A479" s="39" t="s">
        <v>1128</v>
      </c>
      <c r="B479" s="39" t="s">
        <v>1129</v>
      </c>
      <c r="C479" s="39">
        <v>7.0</v>
      </c>
      <c r="D479" s="41">
        <v>44007.0</v>
      </c>
      <c r="E479" s="39" t="s">
        <v>1059</v>
      </c>
      <c r="F479" s="39" t="s">
        <v>1060</v>
      </c>
      <c r="G479" s="39" t="s">
        <v>1050</v>
      </c>
      <c r="H479" s="39">
        <v>620.0</v>
      </c>
      <c r="N479" s="39" t="s">
        <v>1051</v>
      </c>
      <c r="R479" s="39" t="s">
        <v>832</v>
      </c>
      <c r="S479" s="39" t="s">
        <v>1052</v>
      </c>
      <c r="T479" s="39" t="s">
        <v>1053</v>
      </c>
      <c r="U479" s="39" t="s">
        <v>1051</v>
      </c>
      <c r="X479" s="39" t="s">
        <v>1140</v>
      </c>
      <c r="Y479" s="39" t="s">
        <v>1131</v>
      </c>
      <c r="Z479" s="39" t="s">
        <v>872</v>
      </c>
      <c r="AB479" s="39">
        <v>7.0</v>
      </c>
    </row>
    <row r="480">
      <c r="A480" s="39" t="s">
        <v>1016</v>
      </c>
      <c r="B480" s="39" t="s">
        <v>1017</v>
      </c>
      <c r="C480" s="39">
        <v>1.66666666666666</v>
      </c>
      <c r="D480" s="41">
        <v>44008.0</v>
      </c>
      <c r="E480" s="39" t="s">
        <v>828</v>
      </c>
      <c r="F480" s="39" t="s">
        <v>829</v>
      </c>
      <c r="G480" s="39" t="s">
        <v>830</v>
      </c>
      <c r="H480" s="39">
        <v>620.0</v>
      </c>
      <c r="N480" s="39" t="s">
        <v>883</v>
      </c>
      <c r="R480" s="39" t="s">
        <v>832</v>
      </c>
      <c r="S480" s="39" t="s">
        <v>833</v>
      </c>
      <c r="T480" s="39" t="s">
        <v>884</v>
      </c>
      <c r="U480" s="39" t="s">
        <v>883</v>
      </c>
      <c r="W480" s="39" t="s">
        <v>928</v>
      </c>
      <c r="X480" s="39" t="s">
        <v>1018</v>
      </c>
      <c r="Z480" s="39" t="s">
        <v>876</v>
      </c>
      <c r="AB480" s="39">
        <v>1.66666666666666</v>
      </c>
      <c r="AC480" s="39">
        <v>8.0</v>
      </c>
      <c r="AD480" s="39">
        <v>0.0</v>
      </c>
    </row>
    <row r="481">
      <c r="A481" s="39" t="s">
        <v>1109</v>
      </c>
      <c r="B481" s="39" t="s">
        <v>1110</v>
      </c>
      <c r="C481" s="39">
        <v>1.61666666666666</v>
      </c>
      <c r="D481" s="41">
        <v>44008.0</v>
      </c>
      <c r="E481" s="39" t="s">
        <v>828</v>
      </c>
      <c r="F481" s="39" t="s">
        <v>829</v>
      </c>
      <c r="G481" s="39" t="s">
        <v>830</v>
      </c>
      <c r="H481" s="39">
        <v>620.0</v>
      </c>
      <c r="N481" s="39" t="s">
        <v>883</v>
      </c>
      <c r="R481" s="39" t="s">
        <v>832</v>
      </c>
      <c r="S481" s="39" t="s">
        <v>833</v>
      </c>
      <c r="T481" s="39" t="s">
        <v>884</v>
      </c>
      <c r="U481" s="39" t="s">
        <v>883</v>
      </c>
      <c r="W481" s="39" t="s">
        <v>241</v>
      </c>
      <c r="X481" s="39" t="s">
        <v>1111</v>
      </c>
      <c r="Z481" s="39" t="s">
        <v>852</v>
      </c>
      <c r="AB481" s="39">
        <v>1.61666666666666</v>
      </c>
      <c r="AC481" s="39">
        <v>16.0</v>
      </c>
      <c r="AD481" s="39">
        <v>0.0</v>
      </c>
    </row>
    <row r="482">
      <c r="A482" s="39" t="s">
        <v>1136</v>
      </c>
      <c r="B482" s="39" t="s">
        <v>1137</v>
      </c>
      <c r="C482" s="39">
        <v>1.01666666666666</v>
      </c>
      <c r="D482" s="41">
        <v>44008.0</v>
      </c>
      <c r="E482" s="39" t="s">
        <v>828</v>
      </c>
      <c r="F482" s="39" t="s">
        <v>829</v>
      </c>
      <c r="G482" s="39" t="s">
        <v>830</v>
      </c>
      <c r="H482" s="39">
        <v>620.0</v>
      </c>
      <c r="N482" s="39" t="s">
        <v>883</v>
      </c>
      <c r="R482" s="39" t="s">
        <v>1021</v>
      </c>
      <c r="S482" s="39" t="s">
        <v>833</v>
      </c>
      <c r="T482" s="39" t="s">
        <v>884</v>
      </c>
      <c r="U482" s="39" t="s">
        <v>883</v>
      </c>
      <c r="X482" s="39" t="s">
        <v>1138</v>
      </c>
      <c r="Z482" s="39" t="s">
        <v>837</v>
      </c>
      <c r="AB482" s="39">
        <v>1.01666666666666</v>
      </c>
    </row>
    <row r="483">
      <c r="A483" s="39" t="s">
        <v>1115</v>
      </c>
      <c r="B483" s="39" t="s">
        <v>1122</v>
      </c>
      <c r="C483" s="39">
        <v>0.3</v>
      </c>
      <c r="D483" s="41">
        <v>44008.0</v>
      </c>
      <c r="E483" s="39" t="s">
        <v>828</v>
      </c>
      <c r="F483" s="39" t="s">
        <v>829</v>
      </c>
      <c r="G483" s="39" t="s">
        <v>830</v>
      </c>
      <c r="H483" s="39">
        <v>620.0</v>
      </c>
      <c r="N483" s="39" t="s">
        <v>938</v>
      </c>
      <c r="R483" s="39" t="s">
        <v>72</v>
      </c>
      <c r="S483" s="39" t="s">
        <v>842</v>
      </c>
      <c r="T483" s="39" t="s">
        <v>741</v>
      </c>
      <c r="U483" s="39" t="s">
        <v>938</v>
      </c>
      <c r="X483" s="39" t="s">
        <v>1123</v>
      </c>
      <c r="Z483" s="39" t="s">
        <v>872</v>
      </c>
      <c r="AB483" s="39">
        <v>0.3</v>
      </c>
    </row>
    <row r="484">
      <c r="A484" s="39" t="s">
        <v>1132</v>
      </c>
      <c r="B484" s="39" t="s">
        <v>1133</v>
      </c>
      <c r="C484" s="39">
        <v>8.0</v>
      </c>
      <c r="D484" s="41">
        <v>44008.0</v>
      </c>
      <c r="E484" s="39" t="s">
        <v>1048</v>
      </c>
      <c r="F484" s="39" t="s">
        <v>1049</v>
      </c>
      <c r="G484" s="39" t="s">
        <v>1050</v>
      </c>
      <c r="H484" s="39">
        <v>620.0</v>
      </c>
      <c r="N484" s="39" t="s">
        <v>1051</v>
      </c>
      <c r="R484" s="39" t="s">
        <v>832</v>
      </c>
      <c r="S484" s="39" t="s">
        <v>889</v>
      </c>
      <c r="T484" s="39" t="s">
        <v>1053</v>
      </c>
      <c r="U484" s="39" t="s">
        <v>1051</v>
      </c>
      <c r="X484" s="39" t="s">
        <v>1141</v>
      </c>
      <c r="Y484" s="39" t="s">
        <v>1127</v>
      </c>
      <c r="Z484" s="39" t="s">
        <v>872</v>
      </c>
      <c r="AB484" s="39">
        <v>8.0</v>
      </c>
    </row>
    <row r="485">
      <c r="A485" s="39" t="s">
        <v>1128</v>
      </c>
      <c r="B485" s="39" t="s">
        <v>1129</v>
      </c>
      <c r="C485" s="39">
        <v>7.0</v>
      </c>
      <c r="D485" s="41">
        <v>44008.0</v>
      </c>
      <c r="E485" s="39" t="s">
        <v>1059</v>
      </c>
      <c r="F485" s="39" t="s">
        <v>1060</v>
      </c>
      <c r="G485" s="39" t="s">
        <v>1050</v>
      </c>
      <c r="H485" s="39">
        <v>620.0</v>
      </c>
      <c r="N485" s="39" t="s">
        <v>1051</v>
      </c>
      <c r="R485" s="39" t="s">
        <v>832</v>
      </c>
      <c r="S485" s="39" t="s">
        <v>1052</v>
      </c>
      <c r="T485" s="39" t="s">
        <v>1053</v>
      </c>
      <c r="U485" s="39" t="s">
        <v>1051</v>
      </c>
      <c r="X485" s="39" t="s">
        <v>1142</v>
      </c>
      <c r="Y485" s="39" t="s">
        <v>1131</v>
      </c>
      <c r="Z485" s="39" t="s">
        <v>872</v>
      </c>
      <c r="AB485" s="39">
        <v>7.0</v>
      </c>
    </row>
    <row r="486">
      <c r="A486" s="39" t="s">
        <v>1143</v>
      </c>
      <c r="B486" s="39" t="s">
        <v>1144</v>
      </c>
      <c r="C486" s="39">
        <v>0.2</v>
      </c>
      <c r="D486" s="41">
        <v>44011.0</v>
      </c>
      <c r="E486" s="39" t="s">
        <v>828</v>
      </c>
      <c r="F486" s="39" t="s">
        <v>829</v>
      </c>
      <c r="G486" s="39" t="s">
        <v>830</v>
      </c>
      <c r="H486" s="39">
        <v>620.0</v>
      </c>
      <c r="N486" s="39" t="s">
        <v>938</v>
      </c>
      <c r="R486" s="39" t="s">
        <v>832</v>
      </c>
      <c r="S486" s="39" t="s">
        <v>939</v>
      </c>
      <c r="T486" s="39" t="s">
        <v>741</v>
      </c>
      <c r="U486" s="39" t="s">
        <v>938</v>
      </c>
      <c r="X486" s="39" t="s">
        <v>1145</v>
      </c>
      <c r="Y486" s="39" t="s">
        <v>1027</v>
      </c>
      <c r="Z486" s="39" t="s">
        <v>872</v>
      </c>
      <c r="AB486" s="39">
        <v>0.2</v>
      </c>
    </row>
    <row r="487">
      <c r="A487" s="39" t="s">
        <v>933</v>
      </c>
      <c r="B487" s="39" t="s">
        <v>934</v>
      </c>
      <c r="C487" s="39">
        <v>0.433333333333333</v>
      </c>
      <c r="D487" s="41">
        <v>44011.0</v>
      </c>
      <c r="E487" s="39" t="s">
        <v>828</v>
      </c>
      <c r="F487" s="39" t="s">
        <v>829</v>
      </c>
      <c r="G487" s="39" t="s">
        <v>830</v>
      </c>
      <c r="H487" s="39">
        <v>620.0</v>
      </c>
      <c r="N487" s="39" t="s">
        <v>883</v>
      </c>
      <c r="R487" s="39" t="s">
        <v>832</v>
      </c>
      <c r="S487" s="39" t="s">
        <v>833</v>
      </c>
      <c r="T487" s="39" t="s">
        <v>884</v>
      </c>
      <c r="U487" s="39" t="s">
        <v>883</v>
      </c>
      <c r="W487" s="39" t="s">
        <v>96</v>
      </c>
      <c r="X487" s="39" t="s">
        <v>935</v>
      </c>
      <c r="Z487" s="39" t="s">
        <v>876</v>
      </c>
      <c r="AB487" s="39">
        <v>0.433333333333333</v>
      </c>
      <c r="AC487" s="39">
        <v>16.0</v>
      </c>
      <c r="AD487" s="39">
        <v>0.0</v>
      </c>
    </row>
    <row r="488">
      <c r="A488" s="39" t="s">
        <v>1109</v>
      </c>
      <c r="B488" s="39" t="s">
        <v>1110</v>
      </c>
      <c r="C488" s="39">
        <v>0.25</v>
      </c>
      <c r="D488" s="41">
        <v>44011.0</v>
      </c>
      <c r="E488" s="39" t="s">
        <v>828</v>
      </c>
      <c r="F488" s="39" t="s">
        <v>829</v>
      </c>
      <c r="G488" s="39" t="s">
        <v>830</v>
      </c>
      <c r="H488" s="39">
        <v>620.0</v>
      </c>
      <c r="N488" s="39" t="s">
        <v>883</v>
      </c>
      <c r="R488" s="39" t="s">
        <v>832</v>
      </c>
      <c r="S488" s="39" t="s">
        <v>833</v>
      </c>
      <c r="T488" s="39" t="s">
        <v>884</v>
      </c>
      <c r="U488" s="39" t="s">
        <v>883</v>
      </c>
      <c r="W488" s="39" t="s">
        <v>241</v>
      </c>
      <c r="X488" s="39" t="s">
        <v>1111</v>
      </c>
      <c r="Z488" s="39" t="s">
        <v>852</v>
      </c>
      <c r="AB488" s="39">
        <v>0.25</v>
      </c>
      <c r="AC488" s="39">
        <v>16.0</v>
      </c>
      <c r="AD488" s="39">
        <v>0.0</v>
      </c>
    </row>
    <row r="489">
      <c r="A489" s="39" t="s">
        <v>1146</v>
      </c>
      <c r="B489" s="39" t="s">
        <v>1147</v>
      </c>
      <c r="C489" s="39">
        <v>1.71666666666666</v>
      </c>
      <c r="D489" s="41">
        <v>44011.0</v>
      </c>
      <c r="E489" s="39" t="s">
        <v>828</v>
      </c>
      <c r="F489" s="39" t="s">
        <v>829</v>
      </c>
      <c r="G489" s="39" t="s">
        <v>830</v>
      </c>
      <c r="H489" s="39">
        <v>620.0</v>
      </c>
      <c r="N489" s="39" t="s">
        <v>883</v>
      </c>
      <c r="R489" s="39" t="s">
        <v>832</v>
      </c>
      <c r="S489" s="39" t="s">
        <v>833</v>
      </c>
      <c r="T489" s="39" t="s">
        <v>884</v>
      </c>
      <c r="U489" s="39" t="s">
        <v>883</v>
      </c>
      <c r="W489" s="39" t="s">
        <v>928</v>
      </c>
      <c r="X489" s="39" t="s">
        <v>1148</v>
      </c>
      <c r="Z489" s="39" t="s">
        <v>847</v>
      </c>
      <c r="AB489" s="39">
        <v>1.71666666666666</v>
      </c>
      <c r="AC489" s="39">
        <v>6.0</v>
      </c>
      <c r="AD489" s="39">
        <v>0.0</v>
      </c>
    </row>
    <row r="490">
      <c r="A490" s="39" t="s">
        <v>1112</v>
      </c>
      <c r="B490" s="39" t="s">
        <v>1113</v>
      </c>
      <c r="C490" s="39">
        <v>0.3</v>
      </c>
      <c r="D490" s="41">
        <v>44011.0</v>
      </c>
      <c r="E490" s="39" t="s">
        <v>828</v>
      </c>
      <c r="F490" s="39" t="s">
        <v>829</v>
      </c>
      <c r="G490" s="39" t="s">
        <v>830</v>
      </c>
      <c r="H490" s="39">
        <v>620.0</v>
      </c>
      <c r="N490" s="39" t="s">
        <v>938</v>
      </c>
      <c r="R490" s="39" t="s">
        <v>832</v>
      </c>
      <c r="S490" s="39" t="s">
        <v>889</v>
      </c>
      <c r="T490" s="39" t="s">
        <v>741</v>
      </c>
      <c r="U490" s="39" t="s">
        <v>938</v>
      </c>
      <c r="X490" s="39" t="s">
        <v>1114</v>
      </c>
      <c r="Y490" s="39" t="s">
        <v>1115</v>
      </c>
      <c r="Z490" s="39" t="s">
        <v>872</v>
      </c>
      <c r="AB490" s="39">
        <v>0.3</v>
      </c>
    </row>
    <row r="491">
      <c r="A491" s="39" t="s">
        <v>1115</v>
      </c>
      <c r="B491" s="39" t="s">
        <v>1122</v>
      </c>
      <c r="C491" s="39">
        <v>0.466666666666666</v>
      </c>
      <c r="D491" s="41">
        <v>44011.0</v>
      </c>
      <c r="E491" s="39" t="s">
        <v>828</v>
      </c>
      <c r="F491" s="39" t="s">
        <v>829</v>
      </c>
      <c r="G491" s="39" t="s">
        <v>830</v>
      </c>
      <c r="H491" s="39">
        <v>620.0</v>
      </c>
      <c r="N491" s="39" t="s">
        <v>938</v>
      </c>
      <c r="R491" s="39" t="s">
        <v>72</v>
      </c>
      <c r="S491" s="39" t="s">
        <v>842</v>
      </c>
      <c r="T491" s="39" t="s">
        <v>741</v>
      </c>
      <c r="U491" s="39" t="s">
        <v>938</v>
      </c>
      <c r="X491" s="39" t="s">
        <v>1123</v>
      </c>
      <c r="Z491" s="39" t="s">
        <v>872</v>
      </c>
      <c r="AB491" s="39">
        <v>0.466666666666666</v>
      </c>
    </row>
    <row r="492">
      <c r="A492" s="39" t="s">
        <v>1016</v>
      </c>
      <c r="B492" s="39" t="s">
        <v>1017</v>
      </c>
      <c r="C492" s="39">
        <v>4.45</v>
      </c>
      <c r="D492" s="41">
        <v>44011.0</v>
      </c>
      <c r="E492" s="39" t="s">
        <v>828</v>
      </c>
      <c r="F492" s="39" t="s">
        <v>829</v>
      </c>
      <c r="G492" s="39" t="s">
        <v>830</v>
      </c>
      <c r="H492" s="39">
        <v>620.0</v>
      </c>
      <c r="N492" s="39" t="s">
        <v>883</v>
      </c>
      <c r="R492" s="39" t="s">
        <v>832</v>
      </c>
      <c r="S492" s="39" t="s">
        <v>833</v>
      </c>
      <c r="T492" s="39" t="s">
        <v>884</v>
      </c>
      <c r="U492" s="39" t="s">
        <v>883</v>
      </c>
      <c r="W492" s="39" t="s">
        <v>928</v>
      </c>
      <c r="X492" s="39" t="s">
        <v>1018</v>
      </c>
      <c r="Z492" s="39" t="s">
        <v>876</v>
      </c>
      <c r="AB492" s="39">
        <v>4.45</v>
      </c>
      <c r="AC492" s="39">
        <v>8.0</v>
      </c>
      <c r="AD492" s="39">
        <v>0.0</v>
      </c>
    </row>
    <row r="493">
      <c r="A493" s="39" t="s">
        <v>1132</v>
      </c>
      <c r="B493" s="39" t="s">
        <v>1133</v>
      </c>
      <c r="C493" s="39">
        <v>7.0</v>
      </c>
      <c r="D493" s="41">
        <v>44011.0</v>
      </c>
      <c r="E493" s="39" t="s">
        <v>1048</v>
      </c>
      <c r="F493" s="39" t="s">
        <v>1049</v>
      </c>
      <c r="G493" s="39" t="s">
        <v>1050</v>
      </c>
      <c r="H493" s="39">
        <v>620.0</v>
      </c>
      <c r="N493" s="39" t="s">
        <v>1051</v>
      </c>
      <c r="R493" s="39" t="s">
        <v>832</v>
      </c>
      <c r="S493" s="39" t="s">
        <v>889</v>
      </c>
      <c r="T493" s="39" t="s">
        <v>1053</v>
      </c>
      <c r="U493" s="39" t="s">
        <v>1051</v>
      </c>
      <c r="X493" s="39" t="s">
        <v>1149</v>
      </c>
      <c r="Y493" s="39" t="s">
        <v>1127</v>
      </c>
      <c r="Z493" s="39" t="s">
        <v>872</v>
      </c>
      <c r="AB493" s="39">
        <v>7.0</v>
      </c>
    </row>
    <row r="494">
      <c r="A494" s="39" t="s">
        <v>1128</v>
      </c>
      <c r="B494" s="39" t="s">
        <v>1129</v>
      </c>
      <c r="C494" s="39">
        <v>8.0</v>
      </c>
      <c r="D494" s="41">
        <v>44011.0</v>
      </c>
      <c r="E494" s="39" t="s">
        <v>1059</v>
      </c>
      <c r="F494" s="39" t="s">
        <v>1060</v>
      </c>
      <c r="G494" s="39" t="s">
        <v>1050</v>
      </c>
      <c r="H494" s="39">
        <v>620.0</v>
      </c>
      <c r="N494" s="39" t="s">
        <v>1051</v>
      </c>
      <c r="R494" s="39" t="s">
        <v>832</v>
      </c>
      <c r="S494" s="39" t="s">
        <v>1052</v>
      </c>
      <c r="T494" s="39" t="s">
        <v>1053</v>
      </c>
      <c r="U494" s="39" t="s">
        <v>1051</v>
      </c>
      <c r="X494" s="39" t="s">
        <v>1150</v>
      </c>
      <c r="Y494" s="39" t="s">
        <v>1131</v>
      </c>
      <c r="Z494" s="39" t="s">
        <v>872</v>
      </c>
      <c r="AB494" s="39">
        <v>8.0</v>
      </c>
    </row>
    <row r="495">
      <c r="A495" s="39" t="s">
        <v>1151</v>
      </c>
      <c r="B495" s="39" t="s">
        <v>1152</v>
      </c>
      <c r="C495" s="39">
        <v>1.58333333333333</v>
      </c>
      <c r="D495" s="41">
        <v>44011.71527777778</v>
      </c>
      <c r="E495" s="39" t="s">
        <v>1153</v>
      </c>
      <c r="F495" s="39" t="s">
        <v>1154</v>
      </c>
      <c r="G495" s="39" t="s">
        <v>830</v>
      </c>
      <c r="H495" s="39">
        <v>620.0</v>
      </c>
      <c r="N495" s="39" t="s">
        <v>1051</v>
      </c>
      <c r="R495" s="39" t="s">
        <v>832</v>
      </c>
      <c r="S495" s="39" t="s">
        <v>1052</v>
      </c>
      <c r="T495" s="39" t="s">
        <v>1053</v>
      </c>
      <c r="U495" s="39" t="s">
        <v>1051</v>
      </c>
      <c r="X495" s="39" t="s">
        <v>1155</v>
      </c>
      <c r="Z495" s="39" t="s">
        <v>1153</v>
      </c>
      <c r="AB495" s="39">
        <v>1.58333333333333</v>
      </c>
    </row>
    <row r="496">
      <c r="A496" s="39" t="s">
        <v>1112</v>
      </c>
      <c r="B496" s="39" t="s">
        <v>1113</v>
      </c>
      <c r="C496" s="39">
        <v>0.133333333333333</v>
      </c>
      <c r="D496" s="41">
        <v>44012.0</v>
      </c>
      <c r="E496" s="39" t="s">
        <v>828</v>
      </c>
      <c r="F496" s="39" t="s">
        <v>829</v>
      </c>
      <c r="G496" s="39" t="s">
        <v>830</v>
      </c>
      <c r="H496" s="39">
        <v>620.0</v>
      </c>
      <c r="N496" s="39" t="s">
        <v>938</v>
      </c>
      <c r="R496" s="39" t="s">
        <v>832</v>
      </c>
      <c r="S496" s="39" t="s">
        <v>889</v>
      </c>
      <c r="T496" s="39" t="s">
        <v>741</v>
      </c>
      <c r="U496" s="39" t="s">
        <v>938</v>
      </c>
      <c r="X496" s="39" t="s">
        <v>1114</v>
      </c>
      <c r="Y496" s="39" t="s">
        <v>1115</v>
      </c>
      <c r="Z496" s="39" t="s">
        <v>872</v>
      </c>
      <c r="AB496" s="39">
        <v>0.133333333333333</v>
      </c>
    </row>
    <row r="497">
      <c r="A497" s="39" t="s">
        <v>1146</v>
      </c>
      <c r="B497" s="39" t="s">
        <v>1147</v>
      </c>
      <c r="C497" s="39">
        <v>4.66666666666666</v>
      </c>
      <c r="D497" s="41">
        <v>44012.0</v>
      </c>
      <c r="E497" s="39" t="s">
        <v>828</v>
      </c>
      <c r="F497" s="39" t="s">
        <v>829</v>
      </c>
      <c r="G497" s="39" t="s">
        <v>830</v>
      </c>
      <c r="H497" s="39">
        <v>620.0</v>
      </c>
      <c r="N497" s="39" t="s">
        <v>883</v>
      </c>
      <c r="R497" s="39" t="s">
        <v>832</v>
      </c>
      <c r="S497" s="39" t="s">
        <v>833</v>
      </c>
      <c r="T497" s="39" t="s">
        <v>884</v>
      </c>
      <c r="U497" s="39" t="s">
        <v>883</v>
      </c>
      <c r="W497" s="39" t="s">
        <v>928</v>
      </c>
      <c r="X497" s="39" t="s">
        <v>1148</v>
      </c>
      <c r="Z497" s="39" t="s">
        <v>847</v>
      </c>
      <c r="AB497" s="39">
        <v>4.66666666666666</v>
      </c>
      <c r="AC497" s="39">
        <v>6.0</v>
      </c>
      <c r="AD497" s="39">
        <v>0.0</v>
      </c>
    </row>
    <row r="498">
      <c r="A498" s="39" t="s">
        <v>933</v>
      </c>
      <c r="B498" s="39" t="s">
        <v>934</v>
      </c>
      <c r="C498" s="39">
        <v>0.183333333333333</v>
      </c>
      <c r="D498" s="41">
        <v>44012.0</v>
      </c>
      <c r="E498" s="39" t="s">
        <v>828</v>
      </c>
      <c r="F498" s="39" t="s">
        <v>829</v>
      </c>
      <c r="G498" s="39" t="s">
        <v>830</v>
      </c>
      <c r="H498" s="39">
        <v>620.0</v>
      </c>
      <c r="N498" s="39" t="s">
        <v>883</v>
      </c>
      <c r="R498" s="39" t="s">
        <v>832</v>
      </c>
      <c r="S498" s="39" t="s">
        <v>833</v>
      </c>
      <c r="T498" s="39" t="s">
        <v>884</v>
      </c>
      <c r="U498" s="39" t="s">
        <v>883</v>
      </c>
      <c r="W498" s="39" t="s">
        <v>96</v>
      </c>
      <c r="X498" s="39" t="s">
        <v>935</v>
      </c>
      <c r="Z498" s="39" t="s">
        <v>876</v>
      </c>
      <c r="AB498" s="39">
        <v>0.183333333333333</v>
      </c>
      <c r="AC498" s="39">
        <v>16.0</v>
      </c>
      <c r="AD498" s="39">
        <v>0.0</v>
      </c>
    </row>
    <row r="499">
      <c r="A499" s="39" t="s">
        <v>1115</v>
      </c>
      <c r="B499" s="39" t="s">
        <v>1122</v>
      </c>
      <c r="C499" s="39">
        <v>0.55</v>
      </c>
      <c r="D499" s="41">
        <v>44012.0</v>
      </c>
      <c r="E499" s="39" t="s">
        <v>828</v>
      </c>
      <c r="F499" s="39" t="s">
        <v>829</v>
      </c>
      <c r="G499" s="39" t="s">
        <v>830</v>
      </c>
      <c r="H499" s="39">
        <v>620.0</v>
      </c>
      <c r="N499" s="39" t="s">
        <v>938</v>
      </c>
      <c r="R499" s="39" t="s">
        <v>72</v>
      </c>
      <c r="S499" s="39" t="s">
        <v>842</v>
      </c>
      <c r="T499" s="39" t="s">
        <v>741</v>
      </c>
      <c r="U499" s="39" t="s">
        <v>938</v>
      </c>
      <c r="X499" s="39" t="s">
        <v>1123</v>
      </c>
      <c r="Z499" s="39" t="s">
        <v>872</v>
      </c>
      <c r="AB499" s="39">
        <v>0.55</v>
      </c>
    </row>
    <row r="500">
      <c r="A500" s="39" t="s">
        <v>1136</v>
      </c>
      <c r="B500" s="39" t="s">
        <v>1137</v>
      </c>
      <c r="C500" s="39">
        <v>1.0</v>
      </c>
      <c r="D500" s="41">
        <v>44012.0</v>
      </c>
      <c r="E500" s="39" t="s">
        <v>837</v>
      </c>
      <c r="F500" s="39" t="s">
        <v>886</v>
      </c>
      <c r="G500" s="39" t="s">
        <v>849</v>
      </c>
      <c r="H500" s="39">
        <v>620.0</v>
      </c>
      <c r="N500" s="39" t="s">
        <v>883</v>
      </c>
      <c r="R500" s="39" t="s">
        <v>1021</v>
      </c>
      <c r="S500" s="39" t="s">
        <v>833</v>
      </c>
      <c r="T500" s="39" t="s">
        <v>884</v>
      </c>
      <c r="U500" s="39" t="s">
        <v>883</v>
      </c>
      <c r="X500" s="39" t="s">
        <v>1138</v>
      </c>
      <c r="Z500" s="39" t="s">
        <v>837</v>
      </c>
      <c r="AB500" s="39">
        <v>1.0</v>
      </c>
    </row>
    <row r="501">
      <c r="A501" s="39" t="s">
        <v>1132</v>
      </c>
      <c r="B501" s="39" t="s">
        <v>1133</v>
      </c>
      <c r="C501" s="39">
        <v>7.0</v>
      </c>
      <c r="D501" s="41">
        <v>44012.0</v>
      </c>
      <c r="E501" s="39" t="s">
        <v>1048</v>
      </c>
      <c r="F501" s="39" t="s">
        <v>1049</v>
      </c>
      <c r="G501" s="39" t="s">
        <v>1050</v>
      </c>
      <c r="H501" s="39">
        <v>620.0</v>
      </c>
      <c r="N501" s="39" t="s">
        <v>1051</v>
      </c>
      <c r="R501" s="39" t="s">
        <v>832</v>
      </c>
      <c r="S501" s="39" t="s">
        <v>889</v>
      </c>
      <c r="T501" s="39" t="s">
        <v>1053</v>
      </c>
      <c r="U501" s="39" t="s">
        <v>1051</v>
      </c>
      <c r="X501" s="39" t="s">
        <v>1156</v>
      </c>
      <c r="Y501" s="39" t="s">
        <v>1127</v>
      </c>
      <c r="Z501" s="39" t="s">
        <v>872</v>
      </c>
      <c r="AB501" s="39">
        <v>7.0</v>
      </c>
    </row>
    <row r="502">
      <c r="A502" s="39" t="s">
        <v>1128</v>
      </c>
      <c r="B502" s="39" t="s">
        <v>1129</v>
      </c>
      <c r="C502" s="39">
        <v>7.0</v>
      </c>
      <c r="D502" s="41">
        <v>44012.0</v>
      </c>
      <c r="E502" s="39" t="s">
        <v>1059</v>
      </c>
      <c r="F502" s="39" t="s">
        <v>1060</v>
      </c>
      <c r="G502" s="39" t="s">
        <v>1050</v>
      </c>
      <c r="H502" s="39">
        <v>620.0</v>
      </c>
      <c r="N502" s="39" t="s">
        <v>1051</v>
      </c>
      <c r="R502" s="39" t="s">
        <v>832</v>
      </c>
      <c r="S502" s="39" t="s">
        <v>1052</v>
      </c>
      <c r="T502" s="39" t="s">
        <v>1053</v>
      </c>
      <c r="U502" s="39" t="s">
        <v>1051</v>
      </c>
      <c r="X502" s="39" t="s">
        <v>1157</v>
      </c>
      <c r="Y502" s="39" t="s">
        <v>1131</v>
      </c>
      <c r="Z502" s="39" t="s">
        <v>872</v>
      </c>
      <c r="AB502" s="39">
        <v>7.0</v>
      </c>
    </row>
    <row r="503">
      <c r="A503" s="39" t="s">
        <v>1151</v>
      </c>
      <c r="B503" s="39" t="s">
        <v>1152</v>
      </c>
      <c r="C503" s="39">
        <v>1.25</v>
      </c>
      <c r="D503" s="41">
        <v>44012.5</v>
      </c>
      <c r="E503" s="39" t="s">
        <v>1153</v>
      </c>
      <c r="F503" s="39" t="s">
        <v>1154</v>
      </c>
      <c r="G503" s="39" t="s">
        <v>830</v>
      </c>
      <c r="H503" s="39">
        <v>620.0</v>
      </c>
      <c r="N503" s="39" t="s">
        <v>1051</v>
      </c>
      <c r="R503" s="39" t="s">
        <v>832</v>
      </c>
      <c r="S503" s="39" t="s">
        <v>1052</v>
      </c>
      <c r="T503" s="39" t="s">
        <v>1053</v>
      </c>
      <c r="U503" s="39" t="s">
        <v>1051</v>
      </c>
      <c r="X503" s="39" t="s">
        <v>1158</v>
      </c>
      <c r="Z503" s="39" t="s">
        <v>1153</v>
      </c>
      <c r="AB503" s="39">
        <v>1.25</v>
      </c>
    </row>
    <row r="504">
      <c r="A504" s="39" t="s">
        <v>1016</v>
      </c>
      <c r="B504" s="39" t="s">
        <v>1017</v>
      </c>
      <c r="C504" s="39">
        <v>0.716666666666666</v>
      </c>
      <c r="D504" s="41">
        <v>44013.0</v>
      </c>
      <c r="E504" s="39" t="s">
        <v>828</v>
      </c>
      <c r="F504" s="39" t="s">
        <v>829</v>
      </c>
      <c r="G504" s="39" t="s">
        <v>830</v>
      </c>
      <c r="H504" s="39">
        <v>720.0</v>
      </c>
      <c r="N504" s="39" t="s">
        <v>883</v>
      </c>
      <c r="R504" s="39" t="s">
        <v>832</v>
      </c>
      <c r="S504" s="39" t="s">
        <v>833</v>
      </c>
      <c r="T504" s="39" t="s">
        <v>884</v>
      </c>
      <c r="U504" s="39" t="s">
        <v>883</v>
      </c>
      <c r="W504" s="39" t="s">
        <v>928</v>
      </c>
      <c r="X504" s="39" t="s">
        <v>1018</v>
      </c>
      <c r="Z504" s="39" t="s">
        <v>876</v>
      </c>
      <c r="AB504" s="39">
        <v>0.716666666666666</v>
      </c>
      <c r="AC504" s="39">
        <v>8.0</v>
      </c>
      <c r="AD504" s="39">
        <v>0.0</v>
      </c>
    </row>
    <row r="505">
      <c r="A505" s="39" t="s">
        <v>1146</v>
      </c>
      <c r="B505" s="39" t="s">
        <v>1147</v>
      </c>
      <c r="C505" s="39">
        <v>1.0</v>
      </c>
      <c r="D505" s="41">
        <v>44013.0</v>
      </c>
      <c r="E505" s="39" t="s">
        <v>828</v>
      </c>
      <c r="F505" s="39" t="s">
        <v>829</v>
      </c>
      <c r="G505" s="39" t="s">
        <v>830</v>
      </c>
      <c r="H505" s="39">
        <v>720.0</v>
      </c>
      <c r="N505" s="39" t="s">
        <v>883</v>
      </c>
      <c r="R505" s="39" t="s">
        <v>832</v>
      </c>
      <c r="S505" s="39" t="s">
        <v>833</v>
      </c>
      <c r="T505" s="39" t="s">
        <v>884</v>
      </c>
      <c r="U505" s="39" t="s">
        <v>883</v>
      </c>
      <c r="W505" s="39" t="s">
        <v>928</v>
      </c>
      <c r="X505" s="39" t="s">
        <v>1148</v>
      </c>
      <c r="Z505" s="39" t="s">
        <v>847</v>
      </c>
      <c r="AB505" s="39">
        <v>1.0</v>
      </c>
      <c r="AC505" s="39">
        <v>6.0</v>
      </c>
      <c r="AD505" s="39">
        <v>0.0</v>
      </c>
    </row>
    <row r="506">
      <c r="A506" s="39" t="s">
        <v>1115</v>
      </c>
      <c r="B506" s="39" t="s">
        <v>1122</v>
      </c>
      <c r="C506" s="39">
        <v>0.283333333333333</v>
      </c>
      <c r="D506" s="41">
        <v>44013.0</v>
      </c>
      <c r="E506" s="39" t="s">
        <v>828</v>
      </c>
      <c r="F506" s="39" t="s">
        <v>829</v>
      </c>
      <c r="G506" s="39" t="s">
        <v>830</v>
      </c>
      <c r="H506" s="39">
        <v>720.0</v>
      </c>
      <c r="N506" s="39" t="s">
        <v>938</v>
      </c>
      <c r="R506" s="39" t="s">
        <v>72</v>
      </c>
      <c r="S506" s="39" t="s">
        <v>842</v>
      </c>
      <c r="T506" s="39" t="s">
        <v>741</v>
      </c>
      <c r="U506" s="39" t="s">
        <v>938</v>
      </c>
      <c r="X506" s="39" t="s">
        <v>1123</v>
      </c>
      <c r="Z506" s="39" t="s">
        <v>872</v>
      </c>
      <c r="AB506" s="39">
        <v>0.283333333333333</v>
      </c>
    </row>
    <row r="507">
      <c r="A507" s="39" t="s">
        <v>1136</v>
      </c>
      <c r="B507" s="39" t="s">
        <v>1137</v>
      </c>
      <c r="C507" s="39">
        <v>0.933333333333333</v>
      </c>
      <c r="D507" s="41">
        <v>44013.0</v>
      </c>
      <c r="E507" s="39" t="s">
        <v>828</v>
      </c>
      <c r="F507" s="39" t="s">
        <v>829</v>
      </c>
      <c r="G507" s="39" t="s">
        <v>830</v>
      </c>
      <c r="H507" s="39">
        <v>720.0</v>
      </c>
      <c r="N507" s="39" t="s">
        <v>883</v>
      </c>
      <c r="R507" s="39" t="s">
        <v>1021</v>
      </c>
      <c r="S507" s="39" t="s">
        <v>833</v>
      </c>
      <c r="T507" s="39" t="s">
        <v>884</v>
      </c>
      <c r="U507" s="39" t="s">
        <v>883</v>
      </c>
      <c r="X507" s="39" t="s">
        <v>1138</v>
      </c>
      <c r="Z507" s="39" t="s">
        <v>837</v>
      </c>
      <c r="AB507" s="39">
        <v>0.933333333333333</v>
      </c>
    </row>
    <row r="508">
      <c r="A508" s="39" t="s">
        <v>1124</v>
      </c>
      <c r="B508" s="39" t="s">
        <v>1125</v>
      </c>
      <c r="C508" s="39">
        <v>7.0</v>
      </c>
      <c r="D508" s="41">
        <v>44014.0</v>
      </c>
      <c r="E508" s="39" t="s">
        <v>1048</v>
      </c>
      <c r="F508" s="39" t="s">
        <v>1049</v>
      </c>
      <c r="G508" s="39" t="s">
        <v>1050</v>
      </c>
      <c r="H508" s="39">
        <v>720.0</v>
      </c>
      <c r="N508" s="39" t="s">
        <v>1051</v>
      </c>
      <c r="R508" s="39" t="s">
        <v>832</v>
      </c>
      <c r="S508" s="39" t="s">
        <v>889</v>
      </c>
      <c r="T508" s="39" t="s">
        <v>1053</v>
      </c>
      <c r="U508" s="39" t="s">
        <v>1051</v>
      </c>
      <c r="X508" s="39" t="s">
        <v>1159</v>
      </c>
      <c r="Y508" s="39" t="s">
        <v>1127</v>
      </c>
      <c r="Z508" s="39" t="s">
        <v>872</v>
      </c>
      <c r="AB508" s="39">
        <v>7.0</v>
      </c>
    </row>
    <row r="509">
      <c r="A509" s="39" t="s">
        <v>1128</v>
      </c>
      <c r="B509" s="39" t="s">
        <v>1129</v>
      </c>
      <c r="C509" s="39">
        <v>8.0</v>
      </c>
      <c r="D509" s="41">
        <v>44014.0</v>
      </c>
      <c r="E509" s="39" t="s">
        <v>1059</v>
      </c>
      <c r="F509" s="39" t="s">
        <v>1060</v>
      </c>
      <c r="G509" s="39" t="s">
        <v>1050</v>
      </c>
      <c r="H509" s="39">
        <v>720.0</v>
      </c>
      <c r="N509" s="39" t="s">
        <v>1051</v>
      </c>
      <c r="R509" s="39" t="s">
        <v>832</v>
      </c>
      <c r="S509" s="39" t="s">
        <v>1052</v>
      </c>
      <c r="T509" s="39" t="s">
        <v>1053</v>
      </c>
      <c r="U509" s="39" t="s">
        <v>1051</v>
      </c>
      <c r="X509" s="39" t="s">
        <v>1160</v>
      </c>
      <c r="Y509" s="39" t="s">
        <v>1131</v>
      </c>
      <c r="Z509" s="39" t="s">
        <v>872</v>
      </c>
      <c r="AB509" s="39">
        <v>8.0</v>
      </c>
    </row>
    <row r="510">
      <c r="A510" s="39" t="s">
        <v>1151</v>
      </c>
      <c r="B510" s="39" t="s">
        <v>1152</v>
      </c>
      <c r="C510" s="39">
        <v>0.75</v>
      </c>
      <c r="D510" s="41">
        <v>44014.49652777778</v>
      </c>
      <c r="E510" s="39" t="s">
        <v>1153</v>
      </c>
      <c r="F510" s="39" t="s">
        <v>1154</v>
      </c>
      <c r="G510" s="39" t="s">
        <v>830</v>
      </c>
      <c r="H510" s="39">
        <v>720.0</v>
      </c>
      <c r="N510" s="39" t="s">
        <v>1051</v>
      </c>
      <c r="R510" s="39" t="s">
        <v>832</v>
      </c>
      <c r="S510" s="39" t="s">
        <v>1052</v>
      </c>
      <c r="T510" s="39" t="s">
        <v>1053</v>
      </c>
      <c r="U510" s="39" t="s">
        <v>1051</v>
      </c>
      <c r="X510" s="39" t="s">
        <v>1161</v>
      </c>
      <c r="Z510" s="39" t="s">
        <v>1153</v>
      </c>
      <c r="AB510" s="39">
        <v>0.75</v>
      </c>
    </row>
    <row r="511">
      <c r="A511" s="39" t="s">
        <v>1146</v>
      </c>
      <c r="B511" s="39" t="s">
        <v>1147</v>
      </c>
      <c r="C511" s="39">
        <v>0.133333333333333</v>
      </c>
      <c r="D511" s="41">
        <v>44014.79027777778</v>
      </c>
      <c r="E511" s="39" t="s">
        <v>847</v>
      </c>
      <c r="F511" s="39" t="s">
        <v>848</v>
      </c>
      <c r="G511" s="39" t="s">
        <v>849</v>
      </c>
      <c r="H511" s="39">
        <v>720.0</v>
      </c>
      <c r="N511" s="39" t="s">
        <v>883</v>
      </c>
      <c r="R511" s="39" t="s">
        <v>832</v>
      </c>
      <c r="S511" s="39" t="s">
        <v>833</v>
      </c>
      <c r="T511" s="39" t="s">
        <v>884</v>
      </c>
      <c r="U511" s="39" t="s">
        <v>883</v>
      </c>
      <c r="W511" s="39" t="s">
        <v>928</v>
      </c>
      <c r="X511" s="39" t="s">
        <v>1148</v>
      </c>
      <c r="Z511" s="39" t="s">
        <v>847</v>
      </c>
      <c r="AB511" s="39">
        <v>0.133333333333333</v>
      </c>
      <c r="AC511" s="39">
        <v>6.0</v>
      </c>
      <c r="AD511" s="39">
        <v>0.0</v>
      </c>
    </row>
    <row r="512">
      <c r="A512" s="39" t="s">
        <v>1124</v>
      </c>
      <c r="B512" s="39" t="s">
        <v>1125</v>
      </c>
      <c r="C512" s="39">
        <v>7.0</v>
      </c>
      <c r="D512" s="41">
        <v>44015.0</v>
      </c>
      <c r="E512" s="39" t="s">
        <v>1048</v>
      </c>
      <c r="F512" s="39" t="s">
        <v>1049</v>
      </c>
      <c r="G512" s="39" t="s">
        <v>1050</v>
      </c>
      <c r="H512" s="39">
        <v>720.0</v>
      </c>
      <c r="N512" s="39" t="s">
        <v>1051</v>
      </c>
      <c r="R512" s="39" t="s">
        <v>832</v>
      </c>
      <c r="S512" s="39" t="s">
        <v>889</v>
      </c>
      <c r="T512" s="39" t="s">
        <v>1053</v>
      </c>
      <c r="U512" s="39" t="s">
        <v>1051</v>
      </c>
      <c r="X512" s="39" t="s">
        <v>1162</v>
      </c>
      <c r="Y512" s="39" t="s">
        <v>1127</v>
      </c>
      <c r="Z512" s="39" t="s">
        <v>872</v>
      </c>
      <c r="AB512" s="39">
        <v>7.0</v>
      </c>
    </row>
    <row r="513">
      <c r="A513" s="39" t="s">
        <v>1128</v>
      </c>
      <c r="B513" s="39" t="s">
        <v>1129</v>
      </c>
      <c r="C513" s="39">
        <v>7.0</v>
      </c>
      <c r="D513" s="41">
        <v>44015.0</v>
      </c>
      <c r="E513" s="39" t="s">
        <v>1059</v>
      </c>
      <c r="F513" s="39" t="s">
        <v>1060</v>
      </c>
      <c r="G513" s="39" t="s">
        <v>1050</v>
      </c>
      <c r="H513" s="39">
        <v>720.0</v>
      </c>
      <c r="N513" s="39" t="s">
        <v>1051</v>
      </c>
      <c r="R513" s="39" t="s">
        <v>832</v>
      </c>
      <c r="S513" s="39" t="s">
        <v>1052</v>
      </c>
      <c r="T513" s="39" t="s">
        <v>1053</v>
      </c>
      <c r="U513" s="39" t="s">
        <v>1051</v>
      </c>
      <c r="X513" s="39" t="s">
        <v>1163</v>
      </c>
      <c r="Y513" s="39" t="s">
        <v>1131</v>
      </c>
      <c r="Z513" s="39" t="s">
        <v>872</v>
      </c>
      <c r="AB513" s="39">
        <v>7.0</v>
      </c>
    </row>
    <row r="514">
      <c r="A514" s="39" t="s">
        <v>1124</v>
      </c>
      <c r="B514" s="39" t="s">
        <v>1125</v>
      </c>
      <c r="C514" s="39">
        <v>4.0</v>
      </c>
      <c r="D514" s="41">
        <v>44018.0</v>
      </c>
      <c r="E514" s="39" t="s">
        <v>1048</v>
      </c>
      <c r="F514" s="39" t="s">
        <v>1049</v>
      </c>
      <c r="G514" s="39" t="s">
        <v>1050</v>
      </c>
      <c r="H514" s="39">
        <v>720.0</v>
      </c>
      <c r="N514" s="39" t="s">
        <v>1051</v>
      </c>
      <c r="R514" s="39" t="s">
        <v>832</v>
      </c>
      <c r="S514" s="39" t="s">
        <v>889</v>
      </c>
      <c r="T514" s="39" t="s">
        <v>1053</v>
      </c>
      <c r="U514" s="39" t="s">
        <v>1051</v>
      </c>
      <c r="X514" s="39" t="s">
        <v>1164</v>
      </c>
      <c r="Y514" s="39" t="s">
        <v>1127</v>
      </c>
      <c r="Z514" s="39" t="s">
        <v>872</v>
      </c>
      <c r="AB514" s="39">
        <v>4.0</v>
      </c>
    </row>
    <row r="515">
      <c r="A515" s="39" t="s">
        <v>1124</v>
      </c>
      <c r="B515" s="39" t="s">
        <v>1125</v>
      </c>
      <c r="C515" s="39">
        <v>3.0</v>
      </c>
      <c r="D515" s="41">
        <v>44018.0</v>
      </c>
      <c r="E515" s="39" t="s">
        <v>1048</v>
      </c>
      <c r="F515" s="39" t="s">
        <v>1049</v>
      </c>
      <c r="G515" s="39" t="s">
        <v>1050</v>
      </c>
      <c r="H515" s="39">
        <v>720.0</v>
      </c>
      <c r="N515" s="39" t="s">
        <v>1051</v>
      </c>
      <c r="R515" s="39" t="s">
        <v>832</v>
      </c>
      <c r="S515" s="39" t="s">
        <v>889</v>
      </c>
      <c r="T515" s="39" t="s">
        <v>1053</v>
      </c>
      <c r="U515" s="39" t="s">
        <v>1051</v>
      </c>
      <c r="X515" s="39" t="s">
        <v>1165</v>
      </c>
      <c r="Y515" s="39" t="s">
        <v>1127</v>
      </c>
      <c r="Z515" s="39" t="s">
        <v>872</v>
      </c>
      <c r="AB515" s="39">
        <v>3.0</v>
      </c>
    </row>
    <row r="516">
      <c r="A516" s="39" t="s">
        <v>1128</v>
      </c>
      <c r="B516" s="39" t="s">
        <v>1129</v>
      </c>
      <c r="C516" s="39">
        <v>8.0</v>
      </c>
      <c r="D516" s="41">
        <v>44018.0</v>
      </c>
      <c r="E516" s="39" t="s">
        <v>1059</v>
      </c>
      <c r="F516" s="39" t="s">
        <v>1060</v>
      </c>
      <c r="G516" s="39" t="s">
        <v>1050</v>
      </c>
      <c r="H516" s="39">
        <v>720.0</v>
      </c>
      <c r="N516" s="39" t="s">
        <v>1051</v>
      </c>
      <c r="R516" s="39" t="s">
        <v>832</v>
      </c>
      <c r="S516" s="39" t="s">
        <v>1052</v>
      </c>
      <c r="T516" s="39" t="s">
        <v>1053</v>
      </c>
      <c r="U516" s="39" t="s">
        <v>1051</v>
      </c>
      <c r="X516" s="39" t="s">
        <v>1166</v>
      </c>
      <c r="Y516" s="39" t="s">
        <v>1131</v>
      </c>
      <c r="Z516" s="39" t="s">
        <v>872</v>
      </c>
      <c r="AB516" s="39">
        <v>8.0</v>
      </c>
    </row>
    <row r="517">
      <c r="A517" s="39" t="s">
        <v>1124</v>
      </c>
      <c r="B517" s="39" t="s">
        <v>1125</v>
      </c>
      <c r="C517" s="39">
        <v>7.0</v>
      </c>
      <c r="D517" s="41">
        <v>44019.0</v>
      </c>
      <c r="E517" s="39" t="s">
        <v>1048</v>
      </c>
      <c r="F517" s="39" t="s">
        <v>1049</v>
      </c>
      <c r="G517" s="39" t="s">
        <v>1050</v>
      </c>
      <c r="H517" s="39">
        <v>720.0</v>
      </c>
      <c r="N517" s="39" t="s">
        <v>1051</v>
      </c>
      <c r="R517" s="39" t="s">
        <v>832</v>
      </c>
      <c r="S517" s="39" t="s">
        <v>889</v>
      </c>
      <c r="T517" s="39" t="s">
        <v>1053</v>
      </c>
      <c r="U517" s="39" t="s">
        <v>1051</v>
      </c>
      <c r="X517" s="39" t="s">
        <v>1167</v>
      </c>
      <c r="Y517" s="39" t="s">
        <v>1127</v>
      </c>
      <c r="Z517" s="39" t="s">
        <v>872</v>
      </c>
      <c r="AB517" s="39">
        <v>7.0</v>
      </c>
    </row>
    <row r="518">
      <c r="A518" s="39" t="s">
        <v>1128</v>
      </c>
      <c r="B518" s="39" t="s">
        <v>1129</v>
      </c>
      <c r="C518" s="39">
        <v>7.0</v>
      </c>
      <c r="D518" s="41">
        <v>44019.0</v>
      </c>
      <c r="E518" s="39" t="s">
        <v>1059</v>
      </c>
      <c r="F518" s="39" t="s">
        <v>1060</v>
      </c>
      <c r="G518" s="39" t="s">
        <v>1050</v>
      </c>
      <c r="H518" s="39">
        <v>720.0</v>
      </c>
      <c r="N518" s="39" t="s">
        <v>1051</v>
      </c>
      <c r="R518" s="39" t="s">
        <v>832</v>
      </c>
      <c r="S518" s="39" t="s">
        <v>1052</v>
      </c>
      <c r="T518" s="39" t="s">
        <v>1053</v>
      </c>
      <c r="U518" s="39" t="s">
        <v>1051</v>
      </c>
      <c r="X518" s="39" t="s">
        <v>1168</v>
      </c>
      <c r="Y518" s="39" t="s">
        <v>1131</v>
      </c>
      <c r="Z518" s="39" t="s">
        <v>872</v>
      </c>
      <c r="AB518" s="39">
        <v>7.0</v>
      </c>
    </row>
    <row r="519">
      <c r="A519" s="39" t="s">
        <v>1124</v>
      </c>
      <c r="B519" s="39" t="s">
        <v>1125</v>
      </c>
      <c r="C519" s="39">
        <v>7.0</v>
      </c>
      <c r="D519" s="41">
        <v>44020.0</v>
      </c>
      <c r="E519" s="39" t="s">
        <v>1048</v>
      </c>
      <c r="F519" s="39" t="s">
        <v>1049</v>
      </c>
      <c r="G519" s="39" t="s">
        <v>1050</v>
      </c>
      <c r="H519" s="39">
        <v>720.0</v>
      </c>
      <c r="N519" s="39" t="s">
        <v>1051</v>
      </c>
      <c r="R519" s="39" t="s">
        <v>832</v>
      </c>
      <c r="S519" s="39" t="s">
        <v>889</v>
      </c>
      <c r="T519" s="39" t="s">
        <v>1053</v>
      </c>
      <c r="U519" s="39" t="s">
        <v>1051</v>
      </c>
      <c r="X519" s="39" t="s">
        <v>1169</v>
      </c>
      <c r="Y519" s="39" t="s">
        <v>1127</v>
      </c>
      <c r="Z519" s="39" t="s">
        <v>872</v>
      </c>
      <c r="AB519" s="39">
        <v>7.0</v>
      </c>
    </row>
    <row r="520">
      <c r="A520" s="39" t="s">
        <v>1128</v>
      </c>
      <c r="B520" s="39" t="s">
        <v>1129</v>
      </c>
      <c r="C520" s="39">
        <v>7.0</v>
      </c>
      <c r="D520" s="41">
        <v>44020.0</v>
      </c>
      <c r="E520" s="39" t="s">
        <v>1059</v>
      </c>
      <c r="F520" s="39" t="s">
        <v>1060</v>
      </c>
      <c r="G520" s="39" t="s">
        <v>1050</v>
      </c>
      <c r="H520" s="39">
        <v>720.0</v>
      </c>
      <c r="N520" s="39" t="s">
        <v>1051</v>
      </c>
      <c r="R520" s="39" t="s">
        <v>832</v>
      </c>
      <c r="S520" s="39" t="s">
        <v>1052</v>
      </c>
      <c r="T520" s="39" t="s">
        <v>1053</v>
      </c>
      <c r="U520" s="39" t="s">
        <v>1051</v>
      </c>
      <c r="X520" s="39" t="s">
        <v>1170</v>
      </c>
      <c r="Y520" s="39" t="s">
        <v>1131</v>
      </c>
      <c r="Z520" s="39" t="s">
        <v>872</v>
      </c>
      <c r="AB520" s="39">
        <v>7.0</v>
      </c>
    </row>
    <row r="521">
      <c r="A521" s="39" t="s">
        <v>1109</v>
      </c>
      <c r="B521" s="39" t="s">
        <v>1110</v>
      </c>
      <c r="C521" s="39">
        <v>5.16666666666666</v>
      </c>
      <c r="D521" s="41">
        <v>44021.0</v>
      </c>
      <c r="E521" s="39" t="s">
        <v>828</v>
      </c>
      <c r="F521" s="39" t="s">
        <v>829</v>
      </c>
      <c r="G521" s="39" t="s">
        <v>830</v>
      </c>
      <c r="H521" s="39">
        <v>720.0</v>
      </c>
      <c r="N521" s="39" t="s">
        <v>883</v>
      </c>
      <c r="R521" s="39" t="s">
        <v>832</v>
      </c>
      <c r="S521" s="39" t="s">
        <v>833</v>
      </c>
      <c r="T521" s="39" t="s">
        <v>884</v>
      </c>
      <c r="U521" s="39" t="s">
        <v>883</v>
      </c>
      <c r="W521" s="39" t="s">
        <v>241</v>
      </c>
      <c r="X521" s="39" t="s">
        <v>1111</v>
      </c>
      <c r="Z521" s="39" t="s">
        <v>852</v>
      </c>
      <c r="AB521" s="39">
        <v>5.16666666666666</v>
      </c>
      <c r="AC521" s="39">
        <v>16.0</v>
      </c>
      <c r="AD521" s="39">
        <v>0.0</v>
      </c>
    </row>
    <row r="522">
      <c r="A522" s="39" t="s">
        <v>1171</v>
      </c>
      <c r="B522" s="39" t="s">
        <v>1172</v>
      </c>
      <c r="C522" s="39">
        <v>0.433333333333333</v>
      </c>
      <c r="D522" s="41">
        <v>44021.0</v>
      </c>
      <c r="E522" s="39" t="s">
        <v>828</v>
      </c>
      <c r="F522" s="39" t="s">
        <v>829</v>
      </c>
      <c r="G522" s="39" t="s">
        <v>830</v>
      </c>
      <c r="H522" s="39">
        <v>720.0</v>
      </c>
      <c r="N522" s="39" t="s">
        <v>883</v>
      </c>
      <c r="R522" s="39" t="s">
        <v>1021</v>
      </c>
      <c r="S522" s="39" t="s">
        <v>833</v>
      </c>
      <c r="T522" s="39" t="s">
        <v>884</v>
      </c>
      <c r="U522" s="39" t="s">
        <v>883</v>
      </c>
      <c r="W522" s="39" t="s">
        <v>241</v>
      </c>
      <c r="X522" s="39" t="s">
        <v>1173</v>
      </c>
      <c r="Z522" s="39" t="s">
        <v>1023</v>
      </c>
      <c r="AB522" s="39">
        <v>0.433333333333333</v>
      </c>
    </row>
    <row r="523">
      <c r="A523" s="39" t="s">
        <v>1174</v>
      </c>
      <c r="B523" s="39" t="s">
        <v>1175</v>
      </c>
      <c r="C523" s="39">
        <v>1.16666666666666</v>
      </c>
      <c r="D523" s="41">
        <v>44021.0</v>
      </c>
      <c r="E523" s="39" t="s">
        <v>828</v>
      </c>
      <c r="F523" s="39" t="s">
        <v>829</v>
      </c>
      <c r="G523" s="39" t="s">
        <v>830</v>
      </c>
      <c r="H523" s="39">
        <v>720.0</v>
      </c>
      <c r="N523" s="39" t="s">
        <v>947</v>
      </c>
      <c r="R523" s="39" t="s">
        <v>832</v>
      </c>
      <c r="S523" s="39" t="s">
        <v>833</v>
      </c>
      <c r="T523" s="39" t="s">
        <v>949</v>
      </c>
      <c r="U523" s="39" t="s">
        <v>947</v>
      </c>
      <c r="X523" s="39" t="s">
        <v>1176</v>
      </c>
      <c r="Z523" s="39" t="s">
        <v>828</v>
      </c>
      <c r="AB523" s="39">
        <v>1.16666666666666</v>
      </c>
    </row>
    <row r="524">
      <c r="A524" s="39" t="s">
        <v>1115</v>
      </c>
      <c r="B524" s="39" t="s">
        <v>1122</v>
      </c>
      <c r="C524" s="39">
        <v>0.416666666666666</v>
      </c>
      <c r="D524" s="41">
        <v>44021.0</v>
      </c>
      <c r="E524" s="39" t="s">
        <v>828</v>
      </c>
      <c r="F524" s="39" t="s">
        <v>829</v>
      </c>
      <c r="G524" s="39" t="s">
        <v>830</v>
      </c>
      <c r="H524" s="39">
        <v>720.0</v>
      </c>
      <c r="N524" s="39" t="s">
        <v>938</v>
      </c>
      <c r="R524" s="39" t="s">
        <v>72</v>
      </c>
      <c r="S524" s="39" t="s">
        <v>842</v>
      </c>
      <c r="T524" s="39" t="s">
        <v>741</v>
      </c>
      <c r="U524" s="39" t="s">
        <v>938</v>
      </c>
      <c r="X524" s="39" t="s">
        <v>1123</v>
      </c>
      <c r="Z524" s="39" t="s">
        <v>872</v>
      </c>
      <c r="AB524" s="39">
        <v>0.416666666666666</v>
      </c>
    </row>
    <row r="525">
      <c r="A525" s="39" t="s">
        <v>1124</v>
      </c>
      <c r="B525" s="39" t="s">
        <v>1125</v>
      </c>
      <c r="C525" s="39">
        <v>7.0</v>
      </c>
      <c r="D525" s="41">
        <v>44021.0</v>
      </c>
      <c r="E525" s="39" t="s">
        <v>1048</v>
      </c>
      <c r="F525" s="39" t="s">
        <v>1049</v>
      </c>
      <c r="G525" s="39" t="s">
        <v>1050</v>
      </c>
      <c r="H525" s="39">
        <v>720.0</v>
      </c>
      <c r="N525" s="39" t="s">
        <v>1051</v>
      </c>
      <c r="R525" s="39" t="s">
        <v>832</v>
      </c>
      <c r="S525" s="39" t="s">
        <v>889</v>
      </c>
      <c r="T525" s="39" t="s">
        <v>1053</v>
      </c>
      <c r="U525" s="39" t="s">
        <v>1051</v>
      </c>
      <c r="X525" s="39" t="s">
        <v>1177</v>
      </c>
      <c r="Y525" s="39" t="s">
        <v>1127</v>
      </c>
      <c r="Z525" s="39" t="s">
        <v>872</v>
      </c>
      <c r="AB525" s="39">
        <v>7.0</v>
      </c>
    </row>
    <row r="526">
      <c r="A526" s="39" t="s">
        <v>1128</v>
      </c>
      <c r="B526" s="39" t="s">
        <v>1129</v>
      </c>
      <c r="C526" s="39">
        <v>7.0</v>
      </c>
      <c r="D526" s="41">
        <v>44021.0</v>
      </c>
      <c r="E526" s="39" t="s">
        <v>1059</v>
      </c>
      <c r="F526" s="39" t="s">
        <v>1060</v>
      </c>
      <c r="G526" s="39" t="s">
        <v>1050</v>
      </c>
      <c r="H526" s="39">
        <v>720.0</v>
      </c>
      <c r="N526" s="39" t="s">
        <v>1051</v>
      </c>
      <c r="R526" s="39" t="s">
        <v>832</v>
      </c>
      <c r="S526" s="39" t="s">
        <v>1052</v>
      </c>
      <c r="T526" s="39" t="s">
        <v>1053</v>
      </c>
      <c r="U526" s="39" t="s">
        <v>1051</v>
      </c>
      <c r="X526" s="39" t="s">
        <v>1178</v>
      </c>
      <c r="Y526" s="39" t="s">
        <v>1131</v>
      </c>
      <c r="Z526" s="39" t="s">
        <v>872</v>
      </c>
      <c r="AB526" s="39">
        <v>7.0</v>
      </c>
    </row>
    <row r="527">
      <c r="A527" s="39" t="s">
        <v>1146</v>
      </c>
      <c r="B527" s="39" t="s">
        <v>1147</v>
      </c>
      <c r="C527" s="39">
        <v>0.15</v>
      </c>
      <c r="D527" s="41">
        <v>44022.0</v>
      </c>
      <c r="E527" s="39" t="s">
        <v>828</v>
      </c>
      <c r="F527" s="39" t="s">
        <v>829</v>
      </c>
      <c r="G527" s="39" t="s">
        <v>830</v>
      </c>
      <c r="H527" s="39">
        <v>720.0</v>
      </c>
      <c r="N527" s="39" t="s">
        <v>883</v>
      </c>
      <c r="R527" s="39" t="s">
        <v>832</v>
      </c>
      <c r="S527" s="39" t="s">
        <v>833</v>
      </c>
      <c r="T527" s="39" t="s">
        <v>884</v>
      </c>
      <c r="U527" s="39" t="s">
        <v>883</v>
      </c>
      <c r="W527" s="39" t="s">
        <v>928</v>
      </c>
      <c r="X527" s="39" t="s">
        <v>1148</v>
      </c>
      <c r="Z527" s="39" t="s">
        <v>847</v>
      </c>
      <c r="AB527" s="39">
        <v>0.15</v>
      </c>
      <c r="AC527" s="39">
        <v>6.0</v>
      </c>
      <c r="AD527" s="39">
        <v>0.0</v>
      </c>
    </row>
    <row r="528">
      <c r="A528" s="39" t="s">
        <v>1109</v>
      </c>
      <c r="B528" s="39" t="s">
        <v>1110</v>
      </c>
      <c r="C528" s="39">
        <v>6.9</v>
      </c>
      <c r="D528" s="41">
        <v>44022.0</v>
      </c>
      <c r="E528" s="39" t="s">
        <v>828</v>
      </c>
      <c r="F528" s="39" t="s">
        <v>829</v>
      </c>
      <c r="G528" s="39" t="s">
        <v>830</v>
      </c>
      <c r="H528" s="39">
        <v>720.0</v>
      </c>
      <c r="N528" s="39" t="s">
        <v>883</v>
      </c>
      <c r="R528" s="39" t="s">
        <v>832</v>
      </c>
      <c r="S528" s="39" t="s">
        <v>833</v>
      </c>
      <c r="T528" s="39" t="s">
        <v>884</v>
      </c>
      <c r="U528" s="39" t="s">
        <v>883</v>
      </c>
      <c r="W528" s="39" t="s">
        <v>241</v>
      </c>
      <c r="X528" s="39" t="s">
        <v>1111</v>
      </c>
      <c r="Z528" s="39" t="s">
        <v>852</v>
      </c>
      <c r="AB528" s="39">
        <v>6.9</v>
      </c>
      <c r="AC528" s="39">
        <v>16.0</v>
      </c>
      <c r="AD528" s="39">
        <v>0.0</v>
      </c>
    </row>
    <row r="529">
      <c r="A529" s="39" t="s">
        <v>1115</v>
      </c>
      <c r="B529" s="39" t="s">
        <v>1122</v>
      </c>
      <c r="C529" s="39">
        <v>0.366666666666666</v>
      </c>
      <c r="D529" s="41">
        <v>44022.0</v>
      </c>
      <c r="E529" s="39" t="s">
        <v>828</v>
      </c>
      <c r="F529" s="39" t="s">
        <v>829</v>
      </c>
      <c r="G529" s="39" t="s">
        <v>830</v>
      </c>
      <c r="H529" s="39">
        <v>720.0</v>
      </c>
      <c r="N529" s="39" t="s">
        <v>938</v>
      </c>
      <c r="R529" s="39" t="s">
        <v>72</v>
      </c>
      <c r="S529" s="39" t="s">
        <v>842</v>
      </c>
      <c r="T529" s="39" t="s">
        <v>741</v>
      </c>
      <c r="U529" s="39" t="s">
        <v>938</v>
      </c>
      <c r="X529" s="39" t="s">
        <v>1123</v>
      </c>
      <c r="Z529" s="39" t="s">
        <v>872</v>
      </c>
      <c r="AB529" s="39">
        <v>0.366666666666666</v>
      </c>
    </row>
    <row r="530">
      <c r="A530" s="39" t="s">
        <v>1109</v>
      </c>
      <c r="B530" s="39" t="s">
        <v>1110</v>
      </c>
      <c r="C530" s="39">
        <v>0.25</v>
      </c>
      <c r="D530" s="41">
        <v>44022.0</v>
      </c>
      <c r="E530" s="39" t="s">
        <v>1023</v>
      </c>
      <c r="F530" s="39" t="s">
        <v>1179</v>
      </c>
      <c r="G530" s="39" t="s">
        <v>849</v>
      </c>
      <c r="H530" s="39">
        <v>720.0</v>
      </c>
      <c r="N530" s="39" t="s">
        <v>883</v>
      </c>
      <c r="R530" s="39" t="s">
        <v>832</v>
      </c>
      <c r="S530" s="39" t="s">
        <v>833</v>
      </c>
      <c r="T530" s="39" t="s">
        <v>884</v>
      </c>
      <c r="U530" s="39" t="s">
        <v>883</v>
      </c>
      <c r="W530" s="39" t="s">
        <v>241</v>
      </c>
      <c r="X530" s="39" t="s">
        <v>1180</v>
      </c>
      <c r="Z530" s="39" t="s">
        <v>852</v>
      </c>
      <c r="AB530" s="39">
        <v>0.25</v>
      </c>
      <c r="AC530" s="39">
        <v>16.0</v>
      </c>
      <c r="AD530" s="39">
        <v>0.0</v>
      </c>
    </row>
    <row r="531">
      <c r="A531" s="39" t="s">
        <v>1124</v>
      </c>
      <c r="B531" s="39" t="s">
        <v>1125</v>
      </c>
      <c r="C531" s="39">
        <v>7.0</v>
      </c>
      <c r="D531" s="41">
        <v>44022.0</v>
      </c>
      <c r="E531" s="39" t="s">
        <v>1048</v>
      </c>
      <c r="F531" s="39" t="s">
        <v>1049</v>
      </c>
      <c r="G531" s="39" t="s">
        <v>1050</v>
      </c>
      <c r="H531" s="39">
        <v>720.0</v>
      </c>
      <c r="N531" s="39" t="s">
        <v>1051</v>
      </c>
      <c r="R531" s="39" t="s">
        <v>832</v>
      </c>
      <c r="S531" s="39" t="s">
        <v>889</v>
      </c>
      <c r="T531" s="39" t="s">
        <v>1053</v>
      </c>
      <c r="U531" s="39" t="s">
        <v>1051</v>
      </c>
      <c r="X531" s="39" t="s">
        <v>1181</v>
      </c>
      <c r="Y531" s="39" t="s">
        <v>1127</v>
      </c>
      <c r="Z531" s="39" t="s">
        <v>872</v>
      </c>
      <c r="AB531" s="39">
        <v>7.0</v>
      </c>
    </row>
    <row r="532">
      <c r="A532" s="39" t="s">
        <v>1128</v>
      </c>
      <c r="B532" s="39" t="s">
        <v>1129</v>
      </c>
      <c r="C532" s="39">
        <v>7.0</v>
      </c>
      <c r="D532" s="41">
        <v>44022.0</v>
      </c>
      <c r="E532" s="39" t="s">
        <v>1059</v>
      </c>
      <c r="F532" s="39" t="s">
        <v>1060</v>
      </c>
      <c r="G532" s="39" t="s">
        <v>1050</v>
      </c>
      <c r="H532" s="39">
        <v>720.0</v>
      </c>
      <c r="N532" s="39" t="s">
        <v>1051</v>
      </c>
      <c r="R532" s="39" t="s">
        <v>832</v>
      </c>
      <c r="S532" s="39" t="s">
        <v>1052</v>
      </c>
      <c r="T532" s="39" t="s">
        <v>1053</v>
      </c>
      <c r="U532" s="39" t="s">
        <v>1051</v>
      </c>
      <c r="X532" s="39" t="s">
        <v>1182</v>
      </c>
      <c r="Y532" s="39" t="s">
        <v>1131</v>
      </c>
      <c r="Z532" s="39" t="s">
        <v>872</v>
      </c>
      <c r="AB532" s="39">
        <v>7.0</v>
      </c>
    </row>
    <row r="533">
      <c r="A533" s="39" t="s">
        <v>1146</v>
      </c>
      <c r="B533" s="39" t="s">
        <v>1147</v>
      </c>
      <c r="C533" s="39">
        <v>0.1</v>
      </c>
      <c r="D533" s="41">
        <v>44022.84027777778</v>
      </c>
      <c r="E533" s="39" t="s">
        <v>847</v>
      </c>
      <c r="F533" s="39" t="s">
        <v>848</v>
      </c>
      <c r="G533" s="39" t="s">
        <v>849</v>
      </c>
      <c r="H533" s="39">
        <v>720.0</v>
      </c>
      <c r="N533" s="39" t="s">
        <v>883</v>
      </c>
      <c r="R533" s="39" t="s">
        <v>832</v>
      </c>
      <c r="S533" s="39" t="s">
        <v>833</v>
      </c>
      <c r="T533" s="39" t="s">
        <v>884</v>
      </c>
      <c r="U533" s="39" t="s">
        <v>883</v>
      </c>
      <c r="W533" s="39" t="s">
        <v>928</v>
      </c>
      <c r="X533" s="39" t="s">
        <v>1148</v>
      </c>
      <c r="Z533" s="39" t="s">
        <v>847</v>
      </c>
      <c r="AB533" s="39">
        <v>0.1</v>
      </c>
      <c r="AC533" s="39">
        <v>6.0</v>
      </c>
      <c r="AD533" s="39">
        <v>0.0</v>
      </c>
    </row>
    <row r="534">
      <c r="A534" s="39" t="s">
        <v>1183</v>
      </c>
      <c r="B534" s="39" t="s">
        <v>1184</v>
      </c>
      <c r="C534" s="39">
        <v>1.0</v>
      </c>
      <c r="D534" s="41">
        <v>44025.0</v>
      </c>
      <c r="E534" s="39" t="s">
        <v>828</v>
      </c>
      <c r="F534" s="39" t="s">
        <v>829</v>
      </c>
      <c r="G534" s="39" t="s">
        <v>830</v>
      </c>
      <c r="H534" s="39">
        <v>720.0</v>
      </c>
      <c r="N534" s="39" t="s">
        <v>1185</v>
      </c>
      <c r="R534" s="39" t="s">
        <v>832</v>
      </c>
      <c r="S534" s="39" t="s">
        <v>889</v>
      </c>
      <c r="T534" s="39" t="s">
        <v>1186</v>
      </c>
      <c r="U534" s="39" t="s">
        <v>1185</v>
      </c>
      <c r="X534" s="39" t="s">
        <v>1187</v>
      </c>
      <c r="Y534" s="39" t="s">
        <v>1188</v>
      </c>
      <c r="Z534" s="39" t="s">
        <v>872</v>
      </c>
      <c r="AB534" s="39">
        <v>1.0</v>
      </c>
    </row>
    <row r="535">
      <c r="A535" s="39" t="s">
        <v>1171</v>
      </c>
      <c r="B535" s="39" t="s">
        <v>1172</v>
      </c>
      <c r="C535" s="39">
        <v>2.58333333333333</v>
      </c>
      <c r="D535" s="41">
        <v>44025.0</v>
      </c>
      <c r="E535" s="39" t="s">
        <v>828</v>
      </c>
      <c r="F535" s="39" t="s">
        <v>829</v>
      </c>
      <c r="G535" s="39" t="s">
        <v>830</v>
      </c>
      <c r="H535" s="39">
        <v>720.0</v>
      </c>
      <c r="N535" s="39" t="s">
        <v>883</v>
      </c>
      <c r="R535" s="39" t="s">
        <v>1021</v>
      </c>
      <c r="S535" s="39" t="s">
        <v>833</v>
      </c>
      <c r="T535" s="39" t="s">
        <v>884</v>
      </c>
      <c r="U535" s="39" t="s">
        <v>883</v>
      </c>
      <c r="W535" s="39" t="s">
        <v>241</v>
      </c>
      <c r="X535" s="39" t="s">
        <v>1173</v>
      </c>
      <c r="Z535" s="39" t="s">
        <v>1023</v>
      </c>
      <c r="AB535" s="39">
        <v>2.58333333333333</v>
      </c>
    </row>
    <row r="536">
      <c r="A536" s="39" t="s">
        <v>1146</v>
      </c>
      <c r="B536" s="39" t="s">
        <v>1147</v>
      </c>
      <c r="C536" s="39">
        <v>0.15</v>
      </c>
      <c r="D536" s="41">
        <v>44025.0</v>
      </c>
      <c r="E536" s="39" t="s">
        <v>828</v>
      </c>
      <c r="F536" s="39" t="s">
        <v>829</v>
      </c>
      <c r="G536" s="39" t="s">
        <v>830</v>
      </c>
      <c r="H536" s="39">
        <v>720.0</v>
      </c>
      <c r="N536" s="39" t="s">
        <v>883</v>
      </c>
      <c r="R536" s="39" t="s">
        <v>832</v>
      </c>
      <c r="S536" s="39" t="s">
        <v>833</v>
      </c>
      <c r="T536" s="39" t="s">
        <v>884</v>
      </c>
      <c r="U536" s="39" t="s">
        <v>883</v>
      </c>
      <c r="W536" s="39" t="s">
        <v>928</v>
      </c>
      <c r="X536" s="39" t="s">
        <v>1148</v>
      </c>
      <c r="Z536" s="39" t="s">
        <v>847</v>
      </c>
      <c r="AB536" s="39">
        <v>0.15</v>
      </c>
      <c r="AC536" s="39">
        <v>6.0</v>
      </c>
      <c r="AD536" s="39">
        <v>0.0</v>
      </c>
    </row>
    <row r="537">
      <c r="A537" s="39" t="s">
        <v>571</v>
      </c>
      <c r="B537" s="39" t="s">
        <v>572</v>
      </c>
      <c r="C537" s="39">
        <v>0.216666666666666</v>
      </c>
      <c r="D537" s="41">
        <v>44025.0</v>
      </c>
      <c r="E537" s="39" t="s">
        <v>828</v>
      </c>
      <c r="F537" s="39" t="s">
        <v>829</v>
      </c>
      <c r="G537" s="39" t="s">
        <v>830</v>
      </c>
      <c r="H537" s="39">
        <v>720.0</v>
      </c>
      <c r="N537" s="39" t="s">
        <v>831</v>
      </c>
      <c r="R537" s="39" t="s">
        <v>832</v>
      </c>
      <c r="S537" s="39" t="s">
        <v>842</v>
      </c>
      <c r="T537" s="39" t="s">
        <v>834</v>
      </c>
      <c r="U537" s="39" t="s">
        <v>831</v>
      </c>
      <c r="W537" s="39" t="s">
        <v>302</v>
      </c>
      <c r="X537" s="39" t="s">
        <v>843</v>
      </c>
      <c r="Z537" s="39" t="s">
        <v>828</v>
      </c>
      <c r="AB537" s="39">
        <v>0.216666666666666</v>
      </c>
    </row>
    <row r="538">
      <c r="A538" s="39" t="s">
        <v>1189</v>
      </c>
      <c r="B538" s="39" t="s">
        <v>1190</v>
      </c>
      <c r="C538" s="39">
        <v>0.0666666666666666</v>
      </c>
      <c r="D538" s="41">
        <v>44025.0</v>
      </c>
      <c r="E538" s="39" t="s">
        <v>828</v>
      </c>
      <c r="F538" s="39" t="s">
        <v>829</v>
      </c>
      <c r="G538" s="39" t="s">
        <v>830</v>
      </c>
      <c r="H538" s="39">
        <v>720.0</v>
      </c>
      <c r="N538" s="39" t="s">
        <v>938</v>
      </c>
      <c r="R538" s="39" t="s">
        <v>957</v>
      </c>
      <c r="S538" s="39" t="s">
        <v>966</v>
      </c>
      <c r="T538" s="39" t="s">
        <v>741</v>
      </c>
      <c r="U538" s="39" t="s">
        <v>938</v>
      </c>
      <c r="X538" s="39" t="s">
        <v>1191</v>
      </c>
      <c r="Y538" s="39" t="s">
        <v>1192</v>
      </c>
      <c r="Z538" s="39" t="s">
        <v>872</v>
      </c>
      <c r="AB538" s="39">
        <v>0.0666666666666666</v>
      </c>
    </row>
    <row r="539">
      <c r="A539" s="39" t="s">
        <v>1115</v>
      </c>
      <c r="B539" s="39" t="s">
        <v>1122</v>
      </c>
      <c r="C539" s="39">
        <v>0.4</v>
      </c>
      <c r="D539" s="41">
        <v>44025.0</v>
      </c>
      <c r="E539" s="39" t="s">
        <v>828</v>
      </c>
      <c r="F539" s="39" t="s">
        <v>829</v>
      </c>
      <c r="G539" s="39" t="s">
        <v>830</v>
      </c>
      <c r="H539" s="39">
        <v>720.0</v>
      </c>
      <c r="N539" s="39" t="s">
        <v>938</v>
      </c>
      <c r="R539" s="39" t="s">
        <v>72</v>
      </c>
      <c r="S539" s="39" t="s">
        <v>842</v>
      </c>
      <c r="T539" s="39" t="s">
        <v>741</v>
      </c>
      <c r="U539" s="39" t="s">
        <v>938</v>
      </c>
      <c r="X539" s="39" t="s">
        <v>1123</v>
      </c>
      <c r="Z539" s="39" t="s">
        <v>872</v>
      </c>
      <c r="AB539" s="39">
        <v>0.4</v>
      </c>
    </row>
    <row r="540">
      <c r="A540" s="39" t="s">
        <v>1109</v>
      </c>
      <c r="B540" s="39" t="s">
        <v>1110</v>
      </c>
      <c r="C540" s="39">
        <v>2.5</v>
      </c>
      <c r="D540" s="41">
        <v>44025.0</v>
      </c>
      <c r="E540" s="39" t="s">
        <v>828</v>
      </c>
      <c r="F540" s="39" t="s">
        <v>829</v>
      </c>
      <c r="G540" s="39" t="s">
        <v>830</v>
      </c>
      <c r="H540" s="39">
        <v>720.0</v>
      </c>
      <c r="N540" s="39" t="s">
        <v>883</v>
      </c>
      <c r="R540" s="39" t="s">
        <v>832</v>
      </c>
      <c r="S540" s="39" t="s">
        <v>833</v>
      </c>
      <c r="T540" s="39" t="s">
        <v>884</v>
      </c>
      <c r="U540" s="39" t="s">
        <v>883</v>
      </c>
      <c r="W540" s="39" t="s">
        <v>241</v>
      </c>
      <c r="X540" s="39" t="s">
        <v>1111</v>
      </c>
      <c r="Z540" s="39" t="s">
        <v>852</v>
      </c>
      <c r="AB540" s="39">
        <v>2.5</v>
      </c>
      <c r="AC540" s="39">
        <v>16.0</v>
      </c>
      <c r="AD540" s="39">
        <v>0.0</v>
      </c>
    </row>
    <row r="541">
      <c r="A541" s="39" t="s">
        <v>1132</v>
      </c>
      <c r="B541" s="39" t="s">
        <v>1133</v>
      </c>
      <c r="C541" s="39">
        <v>7.0</v>
      </c>
      <c r="D541" s="41">
        <v>44025.0</v>
      </c>
      <c r="E541" s="39" t="s">
        <v>1048</v>
      </c>
      <c r="F541" s="39" t="s">
        <v>1049</v>
      </c>
      <c r="G541" s="39" t="s">
        <v>1050</v>
      </c>
      <c r="H541" s="39">
        <v>720.0</v>
      </c>
      <c r="N541" s="39" t="s">
        <v>1051</v>
      </c>
      <c r="R541" s="39" t="s">
        <v>832</v>
      </c>
      <c r="S541" s="39" t="s">
        <v>889</v>
      </c>
      <c r="T541" s="39" t="s">
        <v>1053</v>
      </c>
      <c r="U541" s="39" t="s">
        <v>1051</v>
      </c>
      <c r="X541" s="39" t="s">
        <v>1193</v>
      </c>
      <c r="Y541" s="39" t="s">
        <v>1127</v>
      </c>
      <c r="Z541" s="39" t="s">
        <v>872</v>
      </c>
      <c r="AB541" s="39">
        <v>7.0</v>
      </c>
    </row>
    <row r="542">
      <c r="A542" s="39" t="s">
        <v>1128</v>
      </c>
      <c r="B542" s="39" t="s">
        <v>1129</v>
      </c>
      <c r="C542" s="39">
        <v>8.0</v>
      </c>
      <c r="D542" s="41">
        <v>44025.0</v>
      </c>
      <c r="E542" s="39" t="s">
        <v>1059</v>
      </c>
      <c r="F542" s="39" t="s">
        <v>1060</v>
      </c>
      <c r="G542" s="39" t="s">
        <v>1050</v>
      </c>
      <c r="H542" s="39">
        <v>720.0</v>
      </c>
      <c r="N542" s="39" t="s">
        <v>1051</v>
      </c>
      <c r="R542" s="39" t="s">
        <v>832</v>
      </c>
      <c r="S542" s="39" t="s">
        <v>1052</v>
      </c>
      <c r="T542" s="39" t="s">
        <v>1053</v>
      </c>
      <c r="U542" s="39" t="s">
        <v>1051</v>
      </c>
      <c r="X542" s="39" t="s">
        <v>1194</v>
      </c>
      <c r="Y542" s="39" t="s">
        <v>1131</v>
      </c>
      <c r="Z542" s="39" t="s">
        <v>872</v>
      </c>
      <c r="AB542" s="39">
        <v>8.0</v>
      </c>
    </row>
    <row r="543">
      <c r="A543" s="39" t="s">
        <v>1171</v>
      </c>
      <c r="B543" s="39" t="s">
        <v>1172</v>
      </c>
      <c r="C543" s="39">
        <v>2.11666666666666</v>
      </c>
      <c r="D543" s="41">
        <v>44026.0</v>
      </c>
      <c r="E543" s="39" t="s">
        <v>828</v>
      </c>
      <c r="F543" s="39" t="s">
        <v>829</v>
      </c>
      <c r="G543" s="39" t="s">
        <v>830</v>
      </c>
      <c r="H543" s="39">
        <v>720.0</v>
      </c>
      <c r="N543" s="39" t="s">
        <v>883</v>
      </c>
      <c r="R543" s="39" t="s">
        <v>1021</v>
      </c>
      <c r="S543" s="39" t="s">
        <v>833</v>
      </c>
      <c r="T543" s="39" t="s">
        <v>884</v>
      </c>
      <c r="U543" s="39" t="s">
        <v>883</v>
      </c>
      <c r="W543" s="39" t="s">
        <v>241</v>
      </c>
      <c r="X543" s="39" t="s">
        <v>1173</v>
      </c>
      <c r="Z543" s="39" t="s">
        <v>1023</v>
      </c>
      <c r="AB543" s="39">
        <v>2.11666666666666</v>
      </c>
    </row>
    <row r="544">
      <c r="A544" s="39" t="s">
        <v>1016</v>
      </c>
      <c r="B544" s="39" t="s">
        <v>1017</v>
      </c>
      <c r="C544" s="39">
        <v>0.75</v>
      </c>
      <c r="D544" s="41">
        <v>44026.0</v>
      </c>
      <c r="E544" s="39" t="s">
        <v>828</v>
      </c>
      <c r="F544" s="39" t="s">
        <v>829</v>
      </c>
      <c r="G544" s="39" t="s">
        <v>830</v>
      </c>
      <c r="H544" s="39">
        <v>720.0</v>
      </c>
      <c r="N544" s="39" t="s">
        <v>883</v>
      </c>
      <c r="R544" s="39" t="s">
        <v>832</v>
      </c>
      <c r="S544" s="39" t="s">
        <v>833</v>
      </c>
      <c r="T544" s="39" t="s">
        <v>884</v>
      </c>
      <c r="U544" s="39" t="s">
        <v>883</v>
      </c>
      <c r="W544" s="39" t="s">
        <v>928</v>
      </c>
      <c r="X544" s="39" t="s">
        <v>1018</v>
      </c>
      <c r="Z544" s="39" t="s">
        <v>876</v>
      </c>
      <c r="AB544" s="39">
        <v>0.75</v>
      </c>
      <c r="AC544" s="39">
        <v>8.0</v>
      </c>
      <c r="AD544" s="39">
        <v>0.0</v>
      </c>
    </row>
    <row r="545">
      <c r="A545" s="39" t="s">
        <v>1183</v>
      </c>
      <c r="B545" s="39" t="s">
        <v>1184</v>
      </c>
      <c r="C545" s="39">
        <v>1.13333333333333</v>
      </c>
      <c r="D545" s="41">
        <v>44026.0</v>
      </c>
      <c r="E545" s="39" t="s">
        <v>828</v>
      </c>
      <c r="F545" s="39" t="s">
        <v>829</v>
      </c>
      <c r="G545" s="39" t="s">
        <v>830</v>
      </c>
      <c r="H545" s="39">
        <v>720.0</v>
      </c>
      <c r="N545" s="39" t="s">
        <v>1185</v>
      </c>
      <c r="R545" s="39" t="s">
        <v>832</v>
      </c>
      <c r="S545" s="39" t="s">
        <v>889</v>
      </c>
      <c r="T545" s="39" t="s">
        <v>1186</v>
      </c>
      <c r="U545" s="39" t="s">
        <v>1185</v>
      </c>
      <c r="X545" s="39" t="s">
        <v>1187</v>
      </c>
      <c r="Y545" s="39" t="s">
        <v>1188</v>
      </c>
      <c r="Z545" s="39" t="s">
        <v>872</v>
      </c>
      <c r="AB545" s="39">
        <v>1.13333333333333</v>
      </c>
    </row>
    <row r="546">
      <c r="A546" s="39" t="s">
        <v>1115</v>
      </c>
      <c r="B546" s="39" t="s">
        <v>1122</v>
      </c>
      <c r="C546" s="39">
        <v>0.666666666666666</v>
      </c>
      <c r="D546" s="41">
        <v>44026.0</v>
      </c>
      <c r="E546" s="39" t="s">
        <v>828</v>
      </c>
      <c r="F546" s="39" t="s">
        <v>829</v>
      </c>
      <c r="G546" s="39" t="s">
        <v>830</v>
      </c>
      <c r="H546" s="39">
        <v>720.0</v>
      </c>
      <c r="N546" s="39" t="s">
        <v>938</v>
      </c>
      <c r="R546" s="39" t="s">
        <v>72</v>
      </c>
      <c r="S546" s="39" t="s">
        <v>842</v>
      </c>
      <c r="T546" s="39" t="s">
        <v>741</v>
      </c>
      <c r="U546" s="39" t="s">
        <v>938</v>
      </c>
      <c r="X546" s="39" t="s">
        <v>1123</v>
      </c>
      <c r="Z546" s="39" t="s">
        <v>872</v>
      </c>
      <c r="AB546" s="39">
        <v>0.666666666666666</v>
      </c>
    </row>
    <row r="547">
      <c r="A547" s="39" t="s">
        <v>1132</v>
      </c>
      <c r="B547" s="39" t="s">
        <v>1133</v>
      </c>
      <c r="C547" s="39">
        <v>7.0</v>
      </c>
      <c r="D547" s="41">
        <v>44026.0</v>
      </c>
      <c r="E547" s="39" t="s">
        <v>1048</v>
      </c>
      <c r="F547" s="39" t="s">
        <v>1049</v>
      </c>
      <c r="G547" s="39" t="s">
        <v>1050</v>
      </c>
      <c r="H547" s="39">
        <v>720.0</v>
      </c>
      <c r="N547" s="39" t="s">
        <v>1051</v>
      </c>
      <c r="R547" s="39" t="s">
        <v>832</v>
      </c>
      <c r="S547" s="39" t="s">
        <v>889</v>
      </c>
      <c r="T547" s="39" t="s">
        <v>1053</v>
      </c>
      <c r="U547" s="39" t="s">
        <v>1051</v>
      </c>
      <c r="X547" s="39" t="s">
        <v>1195</v>
      </c>
      <c r="Y547" s="39" t="s">
        <v>1127</v>
      </c>
      <c r="Z547" s="39" t="s">
        <v>872</v>
      </c>
      <c r="AB547" s="39">
        <v>7.0</v>
      </c>
    </row>
    <row r="548">
      <c r="A548" s="39" t="s">
        <v>1128</v>
      </c>
      <c r="B548" s="39" t="s">
        <v>1129</v>
      </c>
      <c r="C548" s="39">
        <v>8.0</v>
      </c>
      <c r="D548" s="41">
        <v>44026.0</v>
      </c>
      <c r="E548" s="39" t="s">
        <v>1059</v>
      </c>
      <c r="F548" s="39" t="s">
        <v>1060</v>
      </c>
      <c r="G548" s="39" t="s">
        <v>1050</v>
      </c>
      <c r="H548" s="39">
        <v>720.0</v>
      </c>
      <c r="N548" s="39" t="s">
        <v>1051</v>
      </c>
      <c r="R548" s="39" t="s">
        <v>832</v>
      </c>
      <c r="S548" s="39" t="s">
        <v>1052</v>
      </c>
      <c r="T548" s="39" t="s">
        <v>1053</v>
      </c>
      <c r="U548" s="39" t="s">
        <v>1051</v>
      </c>
      <c r="X548" s="39" t="s">
        <v>1196</v>
      </c>
      <c r="Y548" s="39" t="s">
        <v>1131</v>
      </c>
      <c r="Z548" s="39" t="s">
        <v>872</v>
      </c>
      <c r="AB548" s="39">
        <v>8.0</v>
      </c>
    </row>
    <row r="549">
      <c r="A549" s="39" t="s">
        <v>1171</v>
      </c>
      <c r="B549" s="39" t="s">
        <v>1172</v>
      </c>
      <c r="C549" s="39">
        <v>6.98333333333333</v>
      </c>
      <c r="D549" s="41">
        <v>44027.0</v>
      </c>
      <c r="E549" s="39" t="s">
        <v>828</v>
      </c>
      <c r="F549" s="39" t="s">
        <v>829</v>
      </c>
      <c r="G549" s="39" t="s">
        <v>830</v>
      </c>
      <c r="H549" s="39">
        <v>720.0</v>
      </c>
      <c r="N549" s="39" t="s">
        <v>883</v>
      </c>
      <c r="R549" s="39" t="s">
        <v>1021</v>
      </c>
      <c r="S549" s="39" t="s">
        <v>833</v>
      </c>
      <c r="T549" s="39" t="s">
        <v>884</v>
      </c>
      <c r="U549" s="39" t="s">
        <v>883</v>
      </c>
      <c r="W549" s="39" t="s">
        <v>241</v>
      </c>
      <c r="X549" s="39" t="s">
        <v>1173</v>
      </c>
      <c r="Z549" s="39" t="s">
        <v>1023</v>
      </c>
      <c r="AB549" s="39">
        <v>6.98333333333333</v>
      </c>
    </row>
    <row r="550">
      <c r="A550" s="39" t="s">
        <v>1197</v>
      </c>
      <c r="B550" s="39" t="s">
        <v>1198</v>
      </c>
      <c r="C550" s="39">
        <v>0.15</v>
      </c>
      <c r="D550" s="41">
        <v>44027.0</v>
      </c>
      <c r="E550" s="39" t="s">
        <v>828</v>
      </c>
      <c r="F550" s="39" t="s">
        <v>829</v>
      </c>
      <c r="G550" s="39" t="s">
        <v>830</v>
      </c>
      <c r="H550" s="39">
        <v>720.0</v>
      </c>
      <c r="N550" s="39" t="s">
        <v>1185</v>
      </c>
      <c r="R550" s="39" t="s">
        <v>832</v>
      </c>
      <c r="S550" s="39" t="s">
        <v>1052</v>
      </c>
      <c r="T550" s="39" t="s">
        <v>1186</v>
      </c>
      <c r="U550" s="39" t="s">
        <v>1185</v>
      </c>
      <c r="X550" s="39" t="s">
        <v>1199</v>
      </c>
      <c r="Y550" s="39" t="s">
        <v>1188</v>
      </c>
      <c r="Z550" s="39" t="s">
        <v>872</v>
      </c>
      <c r="AB550" s="39">
        <v>0.15</v>
      </c>
    </row>
    <row r="551">
      <c r="A551" s="39" t="s">
        <v>1016</v>
      </c>
      <c r="B551" s="39" t="s">
        <v>1017</v>
      </c>
      <c r="C551" s="39">
        <v>0.616666666666666</v>
      </c>
      <c r="D551" s="41">
        <v>44027.0</v>
      </c>
      <c r="E551" s="39" t="s">
        <v>828</v>
      </c>
      <c r="F551" s="39" t="s">
        <v>829</v>
      </c>
      <c r="G551" s="39" t="s">
        <v>830</v>
      </c>
      <c r="H551" s="39">
        <v>720.0</v>
      </c>
      <c r="N551" s="39" t="s">
        <v>883</v>
      </c>
      <c r="R551" s="39" t="s">
        <v>832</v>
      </c>
      <c r="S551" s="39" t="s">
        <v>833</v>
      </c>
      <c r="T551" s="39" t="s">
        <v>884</v>
      </c>
      <c r="U551" s="39" t="s">
        <v>883</v>
      </c>
      <c r="W551" s="39" t="s">
        <v>928</v>
      </c>
      <c r="X551" s="39" t="s">
        <v>1018</v>
      </c>
      <c r="Z551" s="39" t="s">
        <v>876</v>
      </c>
      <c r="AB551" s="39">
        <v>0.616666666666666</v>
      </c>
      <c r="AC551" s="39">
        <v>8.0</v>
      </c>
      <c r="AD551" s="39">
        <v>0.0</v>
      </c>
    </row>
    <row r="552">
      <c r="A552" s="39" t="s">
        <v>1132</v>
      </c>
      <c r="B552" s="39" t="s">
        <v>1133</v>
      </c>
      <c r="C552" s="39">
        <v>7.0</v>
      </c>
      <c r="D552" s="41">
        <v>44027.0</v>
      </c>
      <c r="E552" s="39" t="s">
        <v>1048</v>
      </c>
      <c r="F552" s="39" t="s">
        <v>1049</v>
      </c>
      <c r="G552" s="39" t="s">
        <v>1050</v>
      </c>
      <c r="H552" s="39">
        <v>720.0</v>
      </c>
      <c r="N552" s="39" t="s">
        <v>1051</v>
      </c>
      <c r="R552" s="39" t="s">
        <v>832</v>
      </c>
      <c r="S552" s="39" t="s">
        <v>889</v>
      </c>
      <c r="T552" s="39" t="s">
        <v>1053</v>
      </c>
      <c r="U552" s="39" t="s">
        <v>1051</v>
      </c>
      <c r="X552" s="39" t="s">
        <v>1200</v>
      </c>
      <c r="Y552" s="39" t="s">
        <v>1127</v>
      </c>
      <c r="Z552" s="39" t="s">
        <v>872</v>
      </c>
      <c r="AB552" s="39">
        <v>7.0</v>
      </c>
    </row>
    <row r="553">
      <c r="A553" s="39" t="s">
        <v>1128</v>
      </c>
      <c r="B553" s="39" t="s">
        <v>1129</v>
      </c>
      <c r="C553" s="39">
        <v>7.0</v>
      </c>
      <c r="D553" s="41">
        <v>44027.0</v>
      </c>
      <c r="E553" s="39" t="s">
        <v>1059</v>
      </c>
      <c r="F553" s="39" t="s">
        <v>1060</v>
      </c>
      <c r="G553" s="39" t="s">
        <v>1050</v>
      </c>
      <c r="H553" s="39">
        <v>720.0</v>
      </c>
      <c r="N553" s="39" t="s">
        <v>1051</v>
      </c>
      <c r="R553" s="39" t="s">
        <v>832</v>
      </c>
      <c r="S553" s="39" t="s">
        <v>1052</v>
      </c>
      <c r="T553" s="39" t="s">
        <v>1053</v>
      </c>
      <c r="U553" s="39" t="s">
        <v>1051</v>
      </c>
      <c r="X553" s="39" t="s">
        <v>1201</v>
      </c>
      <c r="Y553" s="39" t="s">
        <v>1131</v>
      </c>
      <c r="Z553" s="39" t="s">
        <v>872</v>
      </c>
      <c r="AB553" s="39">
        <v>7.0</v>
      </c>
    </row>
    <row r="554">
      <c r="A554" s="39" t="s">
        <v>1016</v>
      </c>
      <c r="B554" s="39" t="s">
        <v>1017</v>
      </c>
      <c r="C554" s="39">
        <v>0.333333333333333</v>
      </c>
      <c r="D554" s="41">
        <v>44027.433333333334</v>
      </c>
      <c r="E554" s="39" t="s">
        <v>847</v>
      </c>
      <c r="F554" s="39" t="s">
        <v>848</v>
      </c>
      <c r="G554" s="39" t="s">
        <v>849</v>
      </c>
      <c r="H554" s="39">
        <v>720.0</v>
      </c>
      <c r="N554" s="39" t="s">
        <v>883</v>
      </c>
      <c r="R554" s="39" t="s">
        <v>832</v>
      </c>
      <c r="S554" s="39" t="s">
        <v>833</v>
      </c>
      <c r="T554" s="39" t="s">
        <v>884</v>
      </c>
      <c r="U554" s="39" t="s">
        <v>883</v>
      </c>
      <c r="W554" s="39" t="s">
        <v>928</v>
      </c>
      <c r="X554" s="39" t="s">
        <v>1018</v>
      </c>
      <c r="Z554" s="39" t="s">
        <v>876</v>
      </c>
      <c r="AB554" s="39">
        <v>0.333333333333333</v>
      </c>
      <c r="AC554" s="39">
        <v>8.0</v>
      </c>
      <c r="AD554" s="39">
        <v>0.0</v>
      </c>
    </row>
    <row r="555">
      <c r="A555" s="39" t="s">
        <v>1183</v>
      </c>
      <c r="B555" s="39" t="s">
        <v>1184</v>
      </c>
      <c r="C555" s="39">
        <v>1.16666666666666</v>
      </c>
      <c r="D555" s="41">
        <v>44028.0</v>
      </c>
      <c r="E555" s="39" t="s">
        <v>828</v>
      </c>
      <c r="F555" s="39" t="s">
        <v>829</v>
      </c>
      <c r="G555" s="39" t="s">
        <v>830</v>
      </c>
      <c r="H555" s="39">
        <v>720.0</v>
      </c>
      <c r="N555" s="39" t="s">
        <v>1185</v>
      </c>
      <c r="R555" s="39" t="s">
        <v>832</v>
      </c>
      <c r="S555" s="39" t="s">
        <v>889</v>
      </c>
      <c r="T555" s="39" t="s">
        <v>1186</v>
      </c>
      <c r="U555" s="39" t="s">
        <v>1185</v>
      </c>
      <c r="X555" s="39" t="s">
        <v>1187</v>
      </c>
      <c r="Y555" s="39" t="s">
        <v>1188</v>
      </c>
      <c r="Z555" s="39" t="s">
        <v>872</v>
      </c>
      <c r="AB555" s="39">
        <v>1.16666666666666</v>
      </c>
    </row>
    <row r="556">
      <c r="A556" s="39" t="s">
        <v>1197</v>
      </c>
      <c r="B556" s="39" t="s">
        <v>1198</v>
      </c>
      <c r="C556" s="39">
        <v>0.783333333333333</v>
      </c>
      <c r="D556" s="41">
        <v>44028.0</v>
      </c>
      <c r="E556" s="39" t="s">
        <v>828</v>
      </c>
      <c r="F556" s="39" t="s">
        <v>829</v>
      </c>
      <c r="G556" s="39" t="s">
        <v>830</v>
      </c>
      <c r="H556" s="39">
        <v>720.0</v>
      </c>
      <c r="N556" s="39" t="s">
        <v>1185</v>
      </c>
      <c r="R556" s="39" t="s">
        <v>832</v>
      </c>
      <c r="S556" s="39" t="s">
        <v>1052</v>
      </c>
      <c r="T556" s="39" t="s">
        <v>1186</v>
      </c>
      <c r="U556" s="39" t="s">
        <v>1185</v>
      </c>
      <c r="X556" s="39" t="s">
        <v>1199</v>
      </c>
      <c r="Y556" s="39" t="s">
        <v>1188</v>
      </c>
      <c r="Z556" s="39" t="s">
        <v>872</v>
      </c>
      <c r="AB556" s="39">
        <v>0.783333333333333</v>
      </c>
    </row>
    <row r="557">
      <c r="A557" s="39" t="s">
        <v>1171</v>
      </c>
      <c r="B557" s="39" t="s">
        <v>1172</v>
      </c>
      <c r="C557" s="39">
        <v>5.35</v>
      </c>
      <c r="D557" s="41">
        <v>44028.0</v>
      </c>
      <c r="E557" s="39" t="s">
        <v>828</v>
      </c>
      <c r="F557" s="39" t="s">
        <v>829</v>
      </c>
      <c r="G557" s="39" t="s">
        <v>830</v>
      </c>
      <c r="H557" s="39">
        <v>720.0</v>
      </c>
      <c r="N557" s="39" t="s">
        <v>883</v>
      </c>
      <c r="R557" s="39" t="s">
        <v>1021</v>
      </c>
      <c r="S557" s="39" t="s">
        <v>833</v>
      </c>
      <c r="T557" s="39" t="s">
        <v>884</v>
      </c>
      <c r="U557" s="39" t="s">
        <v>883</v>
      </c>
      <c r="W557" s="39" t="s">
        <v>241</v>
      </c>
      <c r="X557" s="39" t="s">
        <v>1173</v>
      </c>
      <c r="Z557" s="39" t="s">
        <v>1023</v>
      </c>
      <c r="AB557" s="39">
        <v>5.35</v>
      </c>
    </row>
    <row r="558">
      <c r="A558" s="39" t="s">
        <v>1171</v>
      </c>
      <c r="B558" s="39" t="s">
        <v>1172</v>
      </c>
      <c r="C558" s="39">
        <v>0.166666666666666</v>
      </c>
      <c r="D558" s="41">
        <v>44028.0</v>
      </c>
      <c r="E558" s="39" t="s">
        <v>1023</v>
      </c>
      <c r="F558" s="39" t="s">
        <v>1179</v>
      </c>
      <c r="G558" s="39" t="s">
        <v>849</v>
      </c>
      <c r="H558" s="39">
        <v>720.0</v>
      </c>
      <c r="N558" s="39" t="s">
        <v>883</v>
      </c>
      <c r="R558" s="39" t="s">
        <v>1021</v>
      </c>
      <c r="S558" s="39" t="s">
        <v>833</v>
      </c>
      <c r="T558" s="39" t="s">
        <v>884</v>
      </c>
      <c r="U558" s="39" t="s">
        <v>883</v>
      </c>
      <c r="W558" s="39" t="s">
        <v>241</v>
      </c>
      <c r="X558" s="39" t="s">
        <v>1202</v>
      </c>
      <c r="Z558" s="39" t="s">
        <v>1023</v>
      </c>
      <c r="AB558" s="39">
        <v>0.166666666666666</v>
      </c>
    </row>
    <row r="559">
      <c r="A559" s="39" t="s">
        <v>1124</v>
      </c>
      <c r="B559" s="39" t="s">
        <v>1125</v>
      </c>
      <c r="C559" s="39">
        <v>7.0</v>
      </c>
      <c r="D559" s="41">
        <v>44028.0</v>
      </c>
      <c r="E559" s="39" t="s">
        <v>1048</v>
      </c>
      <c r="F559" s="39" t="s">
        <v>1049</v>
      </c>
      <c r="G559" s="39" t="s">
        <v>1050</v>
      </c>
      <c r="H559" s="39">
        <v>720.0</v>
      </c>
      <c r="N559" s="39" t="s">
        <v>1051</v>
      </c>
      <c r="R559" s="39" t="s">
        <v>832</v>
      </c>
      <c r="S559" s="39" t="s">
        <v>889</v>
      </c>
      <c r="T559" s="39" t="s">
        <v>1053</v>
      </c>
      <c r="U559" s="39" t="s">
        <v>1051</v>
      </c>
      <c r="X559" s="39" t="s">
        <v>1203</v>
      </c>
      <c r="Y559" s="39" t="s">
        <v>1127</v>
      </c>
      <c r="Z559" s="39" t="s">
        <v>872</v>
      </c>
      <c r="AB559" s="39">
        <v>7.0</v>
      </c>
    </row>
    <row r="560">
      <c r="A560" s="39" t="s">
        <v>1204</v>
      </c>
      <c r="B560" s="39" t="s">
        <v>1205</v>
      </c>
      <c r="C560" s="39">
        <v>8.0</v>
      </c>
      <c r="D560" s="41">
        <v>44028.0</v>
      </c>
      <c r="E560" s="39" t="s">
        <v>1059</v>
      </c>
      <c r="F560" s="39" t="s">
        <v>1060</v>
      </c>
      <c r="G560" s="39" t="s">
        <v>1050</v>
      </c>
      <c r="H560" s="39">
        <v>720.0</v>
      </c>
      <c r="N560" s="39" t="s">
        <v>1051</v>
      </c>
      <c r="R560" s="39" t="s">
        <v>832</v>
      </c>
      <c r="S560" s="39" t="s">
        <v>1052</v>
      </c>
      <c r="T560" s="39" t="s">
        <v>1053</v>
      </c>
      <c r="U560" s="39" t="s">
        <v>1051</v>
      </c>
      <c r="X560" s="39" t="s">
        <v>1206</v>
      </c>
      <c r="Y560" s="39" t="s">
        <v>1207</v>
      </c>
      <c r="Z560" s="39" t="s">
        <v>1059</v>
      </c>
      <c r="AB560" s="39">
        <v>8.0</v>
      </c>
    </row>
    <row r="561">
      <c r="A561" s="39" t="s">
        <v>1208</v>
      </c>
      <c r="B561" s="39" t="s">
        <v>1209</v>
      </c>
      <c r="C561" s="39">
        <v>7.0</v>
      </c>
      <c r="D561" s="41">
        <v>44029.0</v>
      </c>
      <c r="E561" s="39" t="s">
        <v>1048</v>
      </c>
      <c r="F561" s="39" t="s">
        <v>1049</v>
      </c>
      <c r="G561" s="39" t="s">
        <v>1050</v>
      </c>
      <c r="H561" s="39">
        <v>720.0</v>
      </c>
      <c r="N561" s="39" t="s">
        <v>1051</v>
      </c>
      <c r="R561" s="39" t="s">
        <v>957</v>
      </c>
      <c r="S561" s="39" t="s">
        <v>1052</v>
      </c>
      <c r="T561" s="39" t="s">
        <v>1053</v>
      </c>
      <c r="U561" s="39" t="s">
        <v>1051</v>
      </c>
      <c r="X561" s="39" t="s">
        <v>1210</v>
      </c>
      <c r="Y561" s="39" t="s">
        <v>1211</v>
      </c>
      <c r="Z561" s="39" t="s">
        <v>872</v>
      </c>
      <c r="AB561" s="39">
        <v>7.0</v>
      </c>
    </row>
    <row r="562">
      <c r="A562" s="39" t="s">
        <v>1204</v>
      </c>
      <c r="B562" s="39" t="s">
        <v>1205</v>
      </c>
      <c r="C562" s="39">
        <v>8.0</v>
      </c>
      <c r="D562" s="41">
        <v>44029.0</v>
      </c>
      <c r="E562" s="39" t="s">
        <v>1059</v>
      </c>
      <c r="F562" s="39" t="s">
        <v>1060</v>
      </c>
      <c r="G562" s="39" t="s">
        <v>1050</v>
      </c>
      <c r="H562" s="39">
        <v>720.0</v>
      </c>
      <c r="N562" s="39" t="s">
        <v>1051</v>
      </c>
      <c r="R562" s="39" t="s">
        <v>832</v>
      </c>
      <c r="S562" s="39" t="s">
        <v>1052</v>
      </c>
      <c r="T562" s="39" t="s">
        <v>1053</v>
      </c>
      <c r="U562" s="39" t="s">
        <v>1051</v>
      </c>
      <c r="X562" s="39" t="s">
        <v>1212</v>
      </c>
      <c r="Y562" s="39" t="s">
        <v>1207</v>
      </c>
      <c r="Z562" s="39" t="s">
        <v>1059</v>
      </c>
      <c r="AB562" s="39">
        <v>8.0</v>
      </c>
    </row>
    <row r="563">
      <c r="A563" s="39" t="s">
        <v>1183</v>
      </c>
      <c r="B563" s="39" t="s">
        <v>1184</v>
      </c>
      <c r="C563" s="39">
        <v>2.78333333333333</v>
      </c>
      <c r="D563" s="41">
        <v>44032.0</v>
      </c>
      <c r="E563" s="39" t="s">
        <v>828</v>
      </c>
      <c r="F563" s="39" t="s">
        <v>829</v>
      </c>
      <c r="G563" s="39" t="s">
        <v>830</v>
      </c>
      <c r="H563" s="39">
        <v>720.0</v>
      </c>
      <c r="N563" s="39" t="s">
        <v>1185</v>
      </c>
      <c r="R563" s="39" t="s">
        <v>832</v>
      </c>
      <c r="S563" s="39" t="s">
        <v>889</v>
      </c>
      <c r="T563" s="39" t="s">
        <v>1186</v>
      </c>
      <c r="U563" s="39" t="s">
        <v>1185</v>
      </c>
      <c r="X563" s="39" t="s">
        <v>1187</v>
      </c>
      <c r="Y563" s="39" t="s">
        <v>1188</v>
      </c>
      <c r="Z563" s="39" t="s">
        <v>872</v>
      </c>
      <c r="AB563" s="39">
        <v>2.78333333333333</v>
      </c>
    </row>
    <row r="564">
      <c r="A564" s="39" t="s">
        <v>1143</v>
      </c>
      <c r="B564" s="39" t="s">
        <v>1144</v>
      </c>
      <c r="C564" s="39">
        <v>0.2</v>
      </c>
      <c r="D564" s="41">
        <v>44032.0</v>
      </c>
      <c r="E564" s="39" t="s">
        <v>828</v>
      </c>
      <c r="F564" s="39" t="s">
        <v>829</v>
      </c>
      <c r="G564" s="39" t="s">
        <v>830</v>
      </c>
      <c r="H564" s="39">
        <v>720.0</v>
      </c>
      <c r="N564" s="39" t="s">
        <v>938</v>
      </c>
      <c r="R564" s="39" t="s">
        <v>832</v>
      </c>
      <c r="S564" s="39" t="s">
        <v>939</v>
      </c>
      <c r="T564" s="39" t="s">
        <v>741</v>
      </c>
      <c r="U564" s="39" t="s">
        <v>938</v>
      </c>
      <c r="X564" s="39" t="s">
        <v>1145</v>
      </c>
      <c r="Y564" s="39" t="s">
        <v>1027</v>
      </c>
      <c r="Z564" s="39" t="s">
        <v>872</v>
      </c>
      <c r="AB564" s="39">
        <v>0.2</v>
      </c>
    </row>
    <row r="565">
      <c r="A565" s="39" t="s">
        <v>1077</v>
      </c>
      <c r="B565" s="39" t="s">
        <v>1078</v>
      </c>
      <c r="C565" s="39">
        <v>0.133333333333333</v>
      </c>
      <c r="D565" s="41">
        <v>44032.0</v>
      </c>
      <c r="E565" s="39" t="s">
        <v>828</v>
      </c>
      <c r="F565" s="39" t="s">
        <v>829</v>
      </c>
      <c r="G565" s="39" t="s">
        <v>830</v>
      </c>
      <c r="H565" s="39">
        <v>720.0</v>
      </c>
      <c r="N565" s="39" t="s">
        <v>938</v>
      </c>
      <c r="R565" s="39" t="s">
        <v>832</v>
      </c>
      <c r="S565" s="39" t="s">
        <v>939</v>
      </c>
      <c r="T565" s="39" t="s">
        <v>741</v>
      </c>
      <c r="U565" s="39" t="s">
        <v>938</v>
      </c>
      <c r="X565" s="39" t="s">
        <v>1079</v>
      </c>
      <c r="Y565" s="39" t="s">
        <v>1027</v>
      </c>
      <c r="Z565" s="39" t="s">
        <v>828</v>
      </c>
      <c r="AB565" s="39">
        <v>0.133333333333333</v>
      </c>
    </row>
    <row r="566">
      <c r="A566" s="39" t="s">
        <v>1213</v>
      </c>
      <c r="B566" s="39" t="s">
        <v>1214</v>
      </c>
      <c r="C566" s="39">
        <v>0.0666666666666666</v>
      </c>
      <c r="D566" s="41">
        <v>44032.0</v>
      </c>
      <c r="E566" s="39" t="s">
        <v>828</v>
      </c>
      <c r="F566" s="39" t="s">
        <v>829</v>
      </c>
      <c r="G566" s="39" t="s">
        <v>830</v>
      </c>
      <c r="H566" s="39">
        <v>720.0</v>
      </c>
      <c r="N566" s="39" t="s">
        <v>938</v>
      </c>
      <c r="R566" s="39" t="s">
        <v>957</v>
      </c>
      <c r="S566" s="39" t="s">
        <v>966</v>
      </c>
      <c r="T566" s="39" t="s">
        <v>741</v>
      </c>
      <c r="U566" s="39" t="s">
        <v>938</v>
      </c>
      <c r="X566" s="39" t="s">
        <v>1215</v>
      </c>
      <c r="Y566" s="39" t="s">
        <v>1192</v>
      </c>
      <c r="Z566" s="39" t="s">
        <v>872</v>
      </c>
      <c r="AB566" s="39">
        <v>0.0666666666666666</v>
      </c>
    </row>
    <row r="567">
      <c r="A567" s="39" t="s">
        <v>1189</v>
      </c>
      <c r="B567" s="39" t="s">
        <v>1190</v>
      </c>
      <c r="C567" s="39">
        <v>0.733333333333333</v>
      </c>
      <c r="D567" s="41">
        <v>44032.0</v>
      </c>
      <c r="E567" s="39" t="s">
        <v>828</v>
      </c>
      <c r="F567" s="39" t="s">
        <v>829</v>
      </c>
      <c r="G567" s="39" t="s">
        <v>830</v>
      </c>
      <c r="H567" s="39">
        <v>720.0</v>
      </c>
      <c r="N567" s="39" t="s">
        <v>938</v>
      </c>
      <c r="R567" s="39" t="s">
        <v>957</v>
      </c>
      <c r="S567" s="39" t="s">
        <v>966</v>
      </c>
      <c r="T567" s="39" t="s">
        <v>741</v>
      </c>
      <c r="U567" s="39" t="s">
        <v>938</v>
      </c>
      <c r="X567" s="39" t="s">
        <v>1191</v>
      </c>
      <c r="Y567" s="39" t="s">
        <v>1192</v>
      </c>
      <c r="Z567" s="39" t="s">
        <v>872</v>
      </c>
      <c r="AB567" s="39">
        <v>0.733333333333333</v>
      </c>
    </row>
    <row r="568">
      <c r="A568" s="39" t="s">
        <v>571</v>
      </c>
      <c r="B568" s="39" t="s">
        <v>572</v>
      </c>
      <c r="C568" s="39">
        <v>0.233333333333333</v>
      </c>
      <c r="D568" s="41">
        <v>44032.0</v>
      </c>
      <c r="E568" s="39" t="s">
        <v>828</v>
      </c>
      <c r="F568" s="39" t="s">
        <v>829</v>
      </c>
      <c r="G568" s="39" t="s">
        <v>830</v>
      </c>
      <c r="H568" s="39">
        <v>720.0</v>
      </c>
      <c r="N568" s="39" t="s">
        <v>831</v>
      </c>
      <c r="R568" s="39" t="s">
        <v>832</v>
      </c>
      <c r="S568" s="39" t="s">
        <v>842</v>
      </c>
      <c r="T568" s="39" t="s">
        <v>834</v>
      </c>
      <c r="U568" s="39" t="s">
        <v>831</v>
      </c>
      <c r="W568" s="39" t="s">
        <v>302</v>
      </c>
      <c r="X568" s="39" t="s">
        <v>843</v>
      </c>
      <c r="Z568" s="39" t="s">
        <v>828</v>
      </c>
      <c r="AB568" s="39">
        <v>0.233333333333333</v>
      </c>
    </row>
    <row r="569">
      <c r="A569" s="39" t="s">
        <v>1216</v>
      </c>
      <c r="B569" s="39" t="s">
        <v>1217</v>
      </c>
      <c r="C569" s="39">
        <v>0.216666666666666</v>
      </c>
      <c r="D569" s="41">
        <v>44032.0</v>
      </c>
      <c r="E569" s="39" t="s">
        <v>828</v>
      </c>
      <c r="F569" s="39" t="s">
        <v>829</v>
      </c>
      <c r="G569" s="39" t="s">
        <v>830</v>
      </c>
      <c r="H569" s="39">
        <v>720.0</v>
      </c>
      <c r="N569" s="39" t="s">
        <v>883</v>
      </c>
      <c r="R569" s="39" t="s">
        <v>832</v>
      </c>
      <c r="S569" s="39" t="s">
        <v>833</v>
      </c>
      <c r="T569" s="39" t="s">
        <v>884</v>
      </c>
      <c r="U569" s="39" t="s">
        <v>883</v>
      </c>
      <c r="W569" s="39" t="s">
        <v>253</v>
      </c>
      <c r="X569" s="39" t="s">
        <v>1218</v>
      </c>
      <c r="Z569" s="39" t="s">
        <v>872</v>
      </c>
      <c r="AB569" s="39">
        <v>0.216666666666666</v>
      </c>
      <c r="AC569" s="39">
        <v>4.0</v>
      </c>
      <c r="AD569" s="39">
        <v>0.0</v>
      </c>
    </row>
    <row r="570">
      <c r="A570" s="39" t="s">
        <v>1219</v>
      </c>
      <c r="B570" s="39" t="s">
        <v>1220</v>
      </c>
      <c r="C570" s="39">
        <v>0.283333333333333</v>
      </c>
      <c r="D570" s="41">
        <v>44032.0</v>
      </c>
      <c r="E570" s="39" t="s">
        <v>828</v>
      </c>
      <c r="F570" s="39" t="s">
        <v>829</v>
      </c>
      <c r="G570" s="39" t="s">
        <v>830</v>
      </c>
      <c r="H570" s="39">
        <v>720.0</v>
      </c>
      <c r="N570" s="39" t="s">
        <v>938</v>
      </c>
      <c r="R570" s="39" t="s">
        <v>832</v>
      </c>
      <c r="S570" s="39" t="s">
        <v>939</v>
      </c>
      <c r="T570" s="39" t="s">
        <v>741</v>
      </c>
      <c r="U570" s="39" t="s">
        <v>938</v>
      </c>
      <c r="X570" s="39" t="s">
        <v>1221</v>
      </c>
      <c r="Y570" s="39" t="s">
        <v>1115</v>
      </c>
      <c r="Z570" s="39" t="s">
        <v>872</v>
      </c>
      <c r="AB570" s="39">
        <v>0.283333333333333</v>
      </c>
    </row>
    <row r="571">
      <c r="A571" s="39" t="s">
        <v>1115</v>
      </c>
      <c r="B571" s="39" t="s">
        <v>1122</v>
      </c>
      <c r="C571" s="39">
        <v>0.166666666666666</v>
      </c>
      <c r="D571" s="41">
        <v>44032.0</v>
      </c>
      <c r="E571" s="39" t="s">
        <v>828</v>
      </c>
      <c r="F571" s="39" t="s">
        <v>829</v>
      </c>
      <c r="G571" s="39" t="s">
        <v>830</v>
      </c>
      <c r="H571" s="39">
        <v>720.0</v>
      </c>
      <c r="N571" s="39" t="s">
        <v>938</v>
      </c>
      <c r="R571" s="39" t="s">
        <v>72</v>
      </c>
      <c r="S571" s="39" t="s">
        <v>842</v>
      </c>
      <c r="T571" s="39" t="s">
        <v>741</v>
      </c>
      <c r="U571" s="39" t="s">
        <v>938</v>
      </c>
      <c r="X571" s="39" t="s">
        <v>1123</v>
      </c>
      <c r="Z571" s="39" t="s">
        <v>872</v>
      </c>
      <c r="AB571" s="39">
        <v>0.166666666666666</v>
      </c>
    </row>
    <row r="572">
      <c r="A572" s="39" t="s">
        <v>1171</v>
      </c>
      <c r="B572" s="39" t="s">
        <v>1172</v>
      </c>
      <c r="C572" s="39">
        <v>1.11666666666666</v>
      </c>
      <c r="D572" s="41">
        <v>44032.0</v>
      </c>
      <c r="E572" s="39" t="s">
        <v>828</v>
      </c>
      <c r="F572" s="39" t="s">
        <v>829</v>
      </c>
      <c r="G572" s="39" t="s">
        <v>830</v>
      </c>
      <c r="H572" s="39">
        <v>720.0</v>
      </c>
      <c r="N572" s="39" t="s">
        <v>883</v>
      </c>
      <c r="R572" s="39" t="s">
        <v>1021</v>
      </c>
      <c r="S572" s="39" t="s">
        <v>833</v>
      </c>
      <c r="T572" s="39" t="s">
        <v>884</v>
      </c>
      <c r="U572" s="39" t="s">
        <v>883</v>
      </c>
      <c r="W572" s="39" t="s">
        <v>241</v>
      </c>
      <c r="X572" s="39" t="s">
        <v>1173</v>
      </c>
      <c r="Z572" s="39" t="s">
        <v>1023</v>
      </c>
      <c r="AB572" s="39">
        <v>1.11666666666666</v>
      </c>
    </row>
    <row r="573">
      <c r="A573" s="39" t="s">
        <v>1211</v>
      </c>
      <c r="B573" s="39" t="s">
        <v>1222</v>
      </c>
      <c r="C573" s="39">
        <v>7.0</v>
      </c>
      <c r="D573" s="41">
        <v>44032.0</v>
      </c>
      <c r="E573" s="39" t="s">
        <v>1048</v>
      </c>
      <c r="F573" s="39" t="s">
        <v>1049</v>
      </c>
      <c r="G573" s="39" t="s">
        <v>1050</v>
      </c>
      <c r="H573" s="39">
        <v>720.0</v>
      </c>
      <c r="N573" s="39" t="s">
        <v>1051</v>
      </c>
      <c r="R573" s="39" t="s">
        <v>832</v>
      </c>
      <c r="S573" s="39" t="s">
        <v>1052</v>
      </c>
      <c r="T573" s="39" t="s">
        <v>1053</v>
      </c>
      <c r="U573" s="39" t="s">
        <v>1051</v>
      </c>
      <c r="X573" s="39" t="s">
        <v>1223</v>
      </c>
      <c r="Y573" s="39" t="s">
        <v>1127</v>
      </c>
      <c r="Z573" s="39" t="s">
        <v>872</v>
      </c>
      <c r="AB573" s="39">
        <v>7.0</v>
      </c>
    </row>
    <row r="574">
      <c r="A574" s="39" t="s">
        <v>1204</v>
      </c>
      <c r="B574" s="39" t="s">
        <v>1205</v>
      </c>
      <c r="C574" s="39">
        <v>7.0</v>
      </c>
      <c r="D574" s="41">
        <v>44032.0</v>
      </c>
      <c r="E574" s="39" t="s">
        <v>1059</v>
      </c>
      <c r="F574" s="39" t="s">
        <v>1060</v>
      </c>
      <c r="G574" s="39" t="s">
        <v>1050</v>
      </c>
      <c r="H574" s="39">
        <v>720.0</v>
      </c>
      <c r="N574" s="39" t="s">
        <v>1051</v>
      </c>
      <c r="R574" s="39" t="s">
        <v>832</v>
      </c>
      <c r="S574" s="39" t="s">
        <v>1052</v>
      </c>
      <c r="T574" s="39" t="s">
        <v>1053</v>
      </c>
      <c r="U574" s="39" t="s">
        <v>1051</v>
      </c>
      <c r="X574" s="39" t="s">
        <v>1224</v>
      </c>
      <c r="Y574" s="39" t="s">
        <v>1207</v>
      </c>
      <c r="Z574" s="39" t="s">
        <v>1059</v>
      </c>
      <c r="AB574" s="39">
        <v>7.0</v>
      </c>
    </row>
    <row r="575">
      <c r="A575" s="39" t="s">
        <v>1225</v>
      </c>
      <c r="B575" s="39" t="s">
        <v>1226</v>
      </c>
      <c r="C575" s="39">
        <v>0.216666666666666</v>
      </c>
      <c r="D575" s="41">
        <v>44033.0</v>
      </c>
      <c r="E575" s="39" t="s">
        <v>828</v>
      </c>
      <c r="F575" s="39" t="s">
        <v>829</v>
      </c>
      <c r="G575" s="39" t="s">
        <v>830</v>
      </c>
      <c r="H575" s="39">
        <v>720.0</v>
      </c>
      <c r="N575" s="39" t="s">
        <v>1185</v>
      </c>
      <c r="R575" s="39" t="s">
        <v>832</v>
      </c>
      <c r="S575" s="39" t="s">
        <v>842</v>
      </c>
      <c r="T575" s="39" t="s">
        <v>1186</v>
      </c>
      <c r="U575" s="39" t="s">
        <v>1185</v>
      </c>
      <c r="X575" s="39" t="s">
        <v>1227</v>
      </c>
      <c r="Y575" s="39" t="s">
        <v>1188</v>
      </c>
      <c r="Z575" s="39" t="s">
        <v>872</v>
      </c>
      <c r="AB575" s="39">
        <v>0.216666666666666</v>
      </c>
    </row>
    <row r="576">
      <c r="A576" s="39" t="s">
        <v>1228</v>
      </c>
      <c r="B576" s="39" t="s">
        <v>1229</v>
      </c>
      <c r="C576" s="39">
        <v>0.633333333333333</v>
      </c>
      <c r="D576" s="41">
        <v>44033.0</v>
      </c>
      <c r="E576" s="39" t="s">
        <v>828</v>
      </c>
      <c r="F576" s="39" t="s">
        <v>829</v>
      </c>
      <c r="G576" s="39" t="s">
        <v>830</v>
      </c>
      <c r="H576" s="39">
        <v>720.0</v>
      </c>
      <c r="N576" s="39" t="s">
        <v>938</v>
      </c>
      <c r="R576" s="39" t="s">
        <v>957</v>
      </c>
      <c r="S576" s="39" t="s">
        <v>966</v>
      </c>
      <c r="T576" s="39" t="s">
        <v>741</v>
      </c>
      <c r="U576" s="39" t="s">
        <v>938</v>
      </c>
      <c r="X576" s="39" t="s">
        <v>1230</v>
      </c>
      <c r="Y576" s="39" t="s">
        <v>1192</v>
      </c>
      <c r="Z576" s="39" t="s">
        <v>872</v>
      </c>
      <c r="AB576" s="39">
        <v>0.633333333333333</v>
      </c>
    </row>
    <row r="577">
      <c r="A577" s="39" t="s">
        <v>1231</v>
      </c>
      <c r="B577" s="39" t="s">
        <v>1232</v>
      </c>
      <c r="C577" s="39">
        <v>0.05</v>
      </c>
      <c r="D577" s="41">
        <v>44033.0</v>
      </c>
      <c r="E577" s="39" t="s">
        <v>828</v>
      </c>
      <c r="F577" s="39" t="s">
        <v>829</v>
      </c>
      <c r="G577" s="39" t="s">
        <v>830</v>
      </c>
      <c r="H577" s="39">
        <v>720.0</v>
      </c>
      <c r="N577" s="39" t="s">
        <v>938</v>
      </c>
      <c r="R577" s="39" t="s">
        <v>957</v>
      </c>
      <c r="S577" s="39" t="s">
        <v>966</v>
      </c>
      <c r="T577" s="39" t="s">
        <v>741</v>
      </c>
      <c r="U577" s="39" t="s">
        <v>938</v>
      </c>
      <c r="X577" s="39" t="s">
        <v>1233</v>
      </c>
      <c r="Y577" s="39" t="s">
        <v>1192</v>
      </c>
      <c r="Z577" s="39" t="s">
        <v>872</v>
      </c>
      <c r="AB577" s="39">
        <v>0.05</v>
      </c>
    </row>
    <row r="578">
      <c r="A578" s="39" t="s">
        <v>1234</v>
      </c>
      <c r="B578" s="39" t="s">
        <v>1235</v>
      </c>
      <c r="C578" s="39">
        <v>0.233333333333333</v>
      </c>
      <c r="D578" s="41">
        <v>44033.0</v>
      </c>
      <c r="E578" s="39" t="s">
        <v>828</v>
      </c>
      <c r="F578" s="39" t="s">
        <v>829</v>
      </c>
      <c r="G578" s="39" t="s">
        <v>830</v>
      </c>
      <c r="H578" s="39">
        <v>720.0</v>
      </c>
      <c r="N578" s="39" t="s">
        <v>938</v>
      </c>
      <c r="R578" s="39" t="s">
        <v>957</v>
      </c>
      <c r="S578" s="39" t="s">
        <v>966</v>
      </c>
      <c r="T578" s="39" t="s">
        <v>741</v>
      </c>
      <c r="U578" s="39" t="s">
        <v>938</v>
      </c>
      <c r="X578" s="39" t="s">
        <v>1236</v>
      </c>
      <c r="Y578" s="39" t="s">
        <v>1192</v>
      </c>
      <c r="Z578" s="39" t="s">
        <v>872</v>
      </c>
      <c r="AB578" s="39">
        <v>0.233333333333333</v>
      </c>
    </row>
    <row r="579">
      <c r="A579" s="39" t="s">
        <v>933</v>
      </c>
      <c r="B579" s="39" t="s">
        <v>934</v>
      </c>
      <c r="C579" s="39">
        <v>1.56666666666666</v>
      </c>
      <c r="D579" s="41">
        <v>44033.0</v>
      </c>
      <c r="E579" s="39" t="s">
        <v>828</v>
      </c>
      <c r="F579" s="39" t="s">
        <v>829</v>
      </c>
      <c r="G579" s="39" t="s">
        <v>830</v>
      </c>
      <c r="H579" s="39">
        <v>720.0</v>
      </c>
      <c r="N579" s="39" t="s">
        <v>883</v>
      </c>
      <c r="R579" s="39" t="s">
        <v>832</v>
      </c>
      <c r="S579" s="39" t="s">
        <v>833</v>
      </c>
      <c r="T579" s="39" t="s">
        <v>884</v>
      </c>
      <c r="U579" s="39" t="s">
        <v>883</v>
      </c>
      <c r="W579" s="39" t="s">
        <v>96</v>
      </c>
      <c r="X579" s="39" t="s">
        <v>935</v>
      </c>
      <c r="Z579" s="39" t="s">
        <v>876</v>
      </c>
      <c r="AB579" s="39">
        <v>1.56666666666666</v>
      </c>
      <c r="AC579" s="39">
        <v>16.0</v>
      </c>
      <c r="AD579" s="39">
        <v>0.0</v>
      </c>
    </row>
    <row r="580">
      <c r="A580" s="39" t="s">
        <v>1183</v>
      </c>
      <c r="B580" s="39" t="s">
        <v>1184</v>
      </c>
      <c r="C580" s="39">
        <v>0.583333333333333</v>
      </c>
      <c r="D580" s="41">
        <v>44033.0</v>
      </c>
      <c r="E580" s="39" t="s">
        <v>828</v>
      </c>
      <c r="F580" s="39" t="s">
        <v>829</v>
      </c>
      <c r="G580" s="39" t="s">
        <v>830</v>
      </c>
      <c r="H580" s="39">
        <v>720.0</v>
      </c>
      <c r="N580" s="39" t="s">
        <v>1185</v>
      </c>
      <c r="R580" s="39" t="s">
        <v>832</v>
      </c>
      <c r="S580" s="39" t="s">
        <v>889</v>
      </c>
      <c r="T580" s="39" t="s">
        <v>1186</v>
      </c>
      <c r="U580" s="39" t="s">
        <v>1185</v>
      </c>
      <c r="X580" s="39" t="s">
        <v>1187</v>
      </c>
      <c r="Y580" s="39" t="s">
        <v>1188</v>
      </c>
      <c r="Z580" s="39" t="s">
        <v>872</v>
      </c>
      <c r="AB580" s="39">
        <v>0.583333333333333</v>
      </c>
    </row>
    <row r="581">
      <c r="A581" s="39" t="s">
        <v>1211</v>
      </c>
      <c r="B581" s="39" t="s">
        <v>1222</v>
      </c>
      <c r="C581" s="39">
        <v>7.0</v>
      </c>
      <c r="D581" s="41">
        <v>44033.0</v>
      </c>
      <c r="E581" s="39" t="s">
        <v>1048</v>
      </c>
      <c r="F581" s="39" t="s">
        <v>1049</v>
      </c>
      <c r="G581" s="39" t="s">
        <v>1050</v>
      </c>
      <c r="H581" s="39">
        <v>720.0</v>
      </c>
      <c r="N581" s="39" t="s">
        <v>1051</v>
      </c>
      <c r="R581" s="39" t="s">
        <v>832</v>
      </c>
      <c r="S581" s="39" t="s">
        <v>1052</v>
      </c>
      <c r="T581" s="39" t="s">
        <v>1053</v>
      </c>
      <c r="U581" s="39" t="s">
        <v>1051</v>
      </c>
      <c r="X581" s="39" t="s">
        <v>1237</v>
      </c>
      <c r="Y581" s="39" t="s">
        <v>1127</v>
      </c>
      <c r="Z581" s="39" t="s">
        <v>872</v>
      </c>
      <c r="AB581" s="39">
        <v>7.0</v>
      </c>
    </row>
    <row r="582">
      <c r="A582" s="39" t="s">
        <v>1204</v>
      </c>
      <c r="B582" s="39" t="s">
        <v>1205</v>
      </c>
      <c r="C582" s="39">
        <v>7.0</v>
      </c>
      <c r="D582" s="41">
        <v>44033.0</v>
      </c>
      <c r="E582" s="39" t="s">
        <v>1059</v>
      </c>
      <c r="F582" s="39" t="s">
        <v>1060</v>
      </c>
      <c r="G582" s="39" t="s">
        <v>1050</v>
      </c>
      <c r="H582" s="39">
        <v>720.0</v>
      </c>
      <c r="N582" s="39" t="s">
        <v>1051</v>
      </c>
      <c r="R582" s="39" t="s">
        <v>832</v>
      </c>
      <c r="S582" s="39" t="s">
        <v>1052</v>
      </c>
      <c r="T582" s="39" t="s">
        <v>1053</v>
      </c>
      <c r="U582" s="39" t="s">
        <v>1051</v>
      </c>
      <c r="X582" s="39" t="s">
        <v>1238</v>
      </c>
      <c r="Y582" s="39" t="s">
        <v>1207</v>
      </c>
      <c r="Z582" s="39" t="s">
        <v>1059</v>
      </c>
      <c r="AB582" s="39">
        <v>7.0</v>
      </c>
    </row>
    <row r="583">
      <c r="A583" s="39" t="s">
        <v>1239</v>
      </c>
      <c r="B583" s="39" t="s">
        <v>1240</v>
      </c>
      <c r="C583" s="39">
        <v>0.283333333333333</v>
      </c>
      <c r="D583" s="41">
        <v>44034.0</v>
      </c>
      <c r="E583" s="39" t="s">
        <v>828</v>
      </c>
      <c r="F583" s="39" t="s">
        <v>829</v>
      </c>
      <c r="G583" s="39" t="s">
        <v>830</v>
      </c>
      <c r="H583" s="39">
        <v>720.0</v>
      </c>
      <c r="N583" s="39" t="s">
        <v>938</v>
      </c>
      <c r="R583" s="39" t="s">
        <v>957</v>
      </c>
      <c r="S583" s="39" t="s">
        <v>966</v>
      </c>
      <c r="T583" s="39" t="s">
        <v>741</v>
      </c>
      <c r="U583" s="39" t="s">
        <v>938</v>
      </c>
      <c r="X583" s="39" t="s">
        <v>1241</v>
      </c>
      <c r="Y583" s="39" t="s">
        <v>1192</v>
      </c>
      <c r="Z583" s="39" t="s">
        <v>872</v>
      </c>
      <c r="AB583" s="39">
        <v>0.283333333333333</v>
      </c>
    </row>
    <row r="584">
      <c r="A584" s="39" t="s">
        <v>1242</v>
      </c>
      <c r="B584" s="39" t="s">
        <v>1243</v>
      </c>
      <c r="C584" s="39">
        <v>0.416666666666666</v>
      </c>
      <c r="D584" s="41">
        <v>44034.0</v>
      </c>
      <c r="E584" s="39" t="s">
        <v>828</v>
      </c>
      <c r="F584" s="39" t="s">
        <v>829</v>
      </c>
      <c r="G584" s="39" t="s">
        <v>830</v>
      </c>
      <c r="H584" s="39">
        <v>720.0</v>
      </c>
      <c r="N584" s="39" t="s">
        <v>938</v>
      </c>
      <c r="R584" s="39" t="s">
        <v>957</v>
      </c>
      <c r="S584" s="39" t="s">
        <v>966</v>
      </c>
      <c r="T584" s="39" t="s">
        <v>741</v>
      </c>
      <c r="U584" s="39" t="s">
        <v>938</v>
      </c>
      <c r="X584" s="39" t="s">
        <v>1244</v>
      </c>
      <c r="Y584" s="39" t="s">
        <v>1192</v>
      </c>
      <c r="Z584" s="39" t="s">
        <v>872</v>
      </c>
      <c r="AB584" s="39">
        <v>0.416666666666666</v>
      </c>
    </row>
    <row r="585">
      <c r="A585" s="39" t="s">
        <v>933</v>
      </c>
      <c r="B585" s="39" t="s">
        <v>934</v>
      </c>
      <c r="C585" s="39">
        <v>1.86666666666666</v>
      </c>
      <c r="D585" s="41">
        <v>44034.0</v>
      </c>
      <c r="E585" s="39" t="s">
        <v>828</v>
      </c>
      <c r="F585" s="39" t="s">
        <v>829</v>
      </c>
      <c r="G585" s="39" t="s">
        <v>830</v>
      </c>
      <c r="H585" s="39">
        <v>720.0</v>
      </c>
      <c r="N585" s="39" t="s">
        <v>883</v>
      </c>
      <c r="R585" s="39" t="s">
        <v>832</v>
      </c>
      <c r="S585" s="39" t="s">
        <v>833</v>
      </c>
      <c r="T585" s="39" t="s">
        <v>884</v>
      </c>
      <c r="U585" s="39" t="s">
        <v>883</v>
      </c>
      <c r="W585" s="39" t="s">
        <v>96</v>
      </c>
      <c r="X585" s="39" t="s">
        <v>935</v>
      </c>
      <c r="Z585" s="39" t="s">
        <v>876</v>
      </c>
      <c r="AB585" s="39">
        <v>1.86666666666666</v>
      </c>
      <c r="AC585" s="39">
        <v>16.0</v>
      </c>
      <c r="AD585" s="39">
        <v>0.0</v>
      </c>
    </row>
    <row r="586">
      <c r="A586" s="39" t="s">
        <v>1174</v>
      </c>
      <c r="B586" s="39" t="s">
        <v>1175</v>
      </c>
      <c r="C586" s="39">
        <v>0.5</v>
      </c>
      <c r="D586" s="41">
        <v>44034.0</v>
      </c>
      <c r="E586" s="39" t="s">
        <v>828</v>
      </c>
      <c r="F586" s="39" t="s">
        <v>829</v>
      </c>
      <c r="G586" s="39" t="s">
        <v>830</v>
      </c>
      <c r="H586" s="39">
        <v>720.0</v>
      </c>
      <c r="N586" s="39" t="s">
        <v>947</v>
      </c>
      <c r="R586" s="39" t="s">
        <v>832</v>
      </c>
      <c r="S586" s="39" t="s">
        <v>833</v>
      </c>
      <c r="T586" s="39" t="s">
        <v>949</v>
      </c>
      <c r="U586" s="39" t="s">
        <v>947</v>
      </c>
      <c r="X586" s="39" t="s">
        <v>1245</v>
      </c>
      <c r="Z586" s="39" t="s">
        <v>828</v>
      </c>
      <c r="AB586" s="39">
        <v>0.5</v>
      </c>
    </row>
    <row r="587">
      <c r="A587" s="39" t="s">
        <v>1115</v>
      </c>
      <c r="B587" s="39" t="s">
        <v>1122</v>
      </c>
      <c r="C587" s="39">
        <v>0.266666666666666</v>
      </c>
      <c r="D587" s="41">
        <v>44034.0</v>
      </c>
      <c r="E587" s="39" t="s">
        <v>828</v>
      </c>
      <c r="F587" s="39" t="s">
        <v>829</v>
      </c>
      <c r="G587" s="39" t="s">
        <v>830</v>
      </c>
      <c r="H587" s="39">
        <v>720.0</v>
      </c>
      <c r="N587" s="39" t="s">
        <v>938</v>
      </c>
      <c r="R587" s="39" t="s">
        <v>72</v>
      </c>
      <c r="S587" s="39" t="s">
        <v>842</v>
      </c>
      <c r="T587" s="39" t="s">
        <v>741</v>
      </c>
      <c r="U587" s="39" t="s">
        <v>938</v>
      </c>
      <c r="X587" s="39" t="s">
        <v>1123</v>
      </c>
      <c r="Z587" s="39" t="s">
        <v>872</v>
      </c>
      <c r="AB587" s="39">
        <v>0.266666666666666</v>
      </c>
    </row>
    <row r="588">
      <c r="A588" s="39" t="s">
        <v>1183</v>
      </c>
      <c r="B588" s="39" t="s">
        <v>1184</v>
      </c>
      <c r="C588" s="39">
        <v>2.2</v>
      </c>
      <c r="D588" s="41">
        <v>44034.0</v>
      </c>
      <c r="E588" s="39" t="s">
        <v>828</v>
      </c>
      <c r="F588" s="39" t="s">
        <v>829</v>
      </c>
      <c r="G588" s="39" t="s">
        <v>830</v>
      </c>
      <c r="H588" s="39">
        <v>720.0</v>
      </c>
      <c r="N588" s="39" t="s">
        <v>1185</v>
      </c>
      <c r="R588" s="39" t="s">
        <v>832</v>
      </c>
      <c r="S588" s="39" t="s">
        <v>889</v>
      </c>
      <c r="T588" s="39" t="s">
        <v>1186</v>
      </c>
      <c r="U588" s="39" t="s">
        <v>1185</v>
      </c>
      <c r="X588" s="39" t="s">
        <v>1187</v>
      </c>
      <c r="Y588" s="39" t="s">
        <v>1188</v>
      </c>
      <c r="Z588" s="39" t="s">
        <v>872</v>
      </c>
      <c r="AB588" s="39">
        <v>2.2</v>
      </c>
    </row>
    <row r="589">
      <c r="A589" s="39" t="s">
        <v>1216</v>
      </c>
      <c r="B589" s="39" t="s">
        <v>1217</v>
      </c>
      <c r="C589" s="39">
        <v>0.15</v>
      </c>
      <c r="D589" s="41">
        <v>44034.0</v>
      </c>
      <c r="E589" s="39" t="s">
        <v>828</v>
      </c>
      <c r="F589" s="39" t="s">
        <v>829</v>
      </c>
      <c r="G589" s="39" t="s">
        <v>830</v>
      </c>
      <c r="H589" s="39">
        <v>720.0</v>
      </c>
      <c r="N589" s="39" t="s">
        <v>883</v>
      </c>
      <c r="R589" s="39" t="s">
        <v>832</v>
      </c>
      <c r="S589" s="39" t="s">
        <v>833</v>
      </c>
      <c r="T589" s="39" t="s">
        <v>884</v>
      </c>
      <c r="U589" s="39" t="s">
        <v>883</v>
      </c>
      <c r="W589" s="39" t="s">
        <v>253</v>
      </c>
      <c r="X589" s="39" t="s">
        <v>1218</v>
      </c>
      <c r="Z589" s="39" t="s">
        <v>872</v>
      </c>
      <c r="AB589" s="39">
        <v>0.15</v>
      </c>
      <c r="AC589" s="39">
        <v>4.0</v>
      </c>
      <c r="AD589" s="39">
        <v>0.0</v>
      </c>
    </row>
    <row r="590">
      <c r="A590" s="39" t="s">
        <v>1246</v>
      </c>
      <c r="B590" s="39" t="s">
        <v>1247</v>
      </c>
      <c r="C590" s="39">
        <v>7.0</v>
      </c>
      <c r="D590" s="41">
        <v>44034.0</v>
      </c>
      <c r="E590" s="39" t="s">
        <v>1048</v>
      </c>
      <c r="F590" s="39" t="s">
        <v>1049</v>
      </c>
      <c r="G590" s="39" t="s">
        <v>1050</v>
      </c>
      <c r="H590" s="39">
        <v>720.0</v>
      </c>
      <c r="N590" s="39" t="s">
        <v>1051</v>
      </c>
      <c r="R590" s="39" t="s">
        <v>832</v>
      </c>
      <c r="S590" s="39" t="s">
        <v>1052</v>
      </c>
      <c r="T590" s="39" t="s">
        <v>1053</v>
      </c>
      <c r="U590" s="39" t="s">
        <v>1051</v>
      </c>
      <c r="X590" s="39" t="s">
        <v>1248</v>
      </c>
      <c r="Y590" s="39" t="s">
        <v>1127</v>
      </c>
      <c r="Z590" s="39" t="s">
        <v>872</v>
      </c>
      <c r="AB590" s="39">
        <v>7.0</v>
      </c>
    </row>
    <row r="591">
      <c r="A591" s="39" t="s">
        <v>1204</v>
      </c>
      <c r="B591" s="39" t="s">
        <v>1205</v>
      </c>
      <c r="C591" s="39">
        <v>7.0</v>
      </c>
      <c r="D591" s="41">
        <v>44034.0</v>
      </c>
      <c r="E591" s="39" t="s">
        <v>1059</v>
      </c>
      <c r="F591" s="39" t="s">
        <v>1060</v>
      </c>
      <c r="G591" s="39" t="s">
        <v>1050</v>
      </c>
      <c r="H591" s="39">
        <v>720.0</v>
      </c>
      <c r="N591" s="39" t="s">
        <v>1051</v>
      </c>
      <c r="R591" s="39" t="s">
        <v>832</v>
      </c>
      <c r="S591" s="39" t="s">
        <v>1052</v>
      </c>
      <c r="T591" s="39" t="s">
        <v>1053</v>
      </c>
      <c r="U591" s="39" t="s">
        <v>1051</v>
      </c>
      <c r="X591" s="39" t="s">
        <v>1249</v>
      </c>
      <c r="Y591" s="39" t="s">
        <v>1207</v>
      </c>
      <c r="Z591" s="39" t="s">
        <v>1059</v>
      </c>
      <c r="AB591" s="39">
        <v>7.0</v>
      </c>
    </row>
    <row r="592">
      <c r="A592" s="39" t="s">
        <v>941</v>
      </c>
      <c r="B592" s="39" t="s">
        <v>942</v>
      </c>
      <c r="C592" s="39">
        <v>0.0666666666666666</v>
      </c>
      <c r="D592" s="41">
        <v>44035.0</v>
      </c>
      <c r="E592" s="39" t="s">
        <v>828</v>
      </c>
      <c r="F592" s="39" t="s">
        <v>829</v>
      </c>
      <c r="G592" s="39" t="s">
        <v>830</v>
      </c>
      <c r="H592" s="39">
        <v>720.0</v>
      </c>
      <c r="N592" s="39" t="s">
        <v>938</v>
      </c>
      <c r="R592" s="39" t="s">
        <v>832</v>
      </c>
      <c r="S592" s="39" t="s">
        <v>939</v>
      </c>
      <c r="T592" s="39" t="s">
        <v>741</v>
      </c>
      <c r="U592" s="39" t="s">
        <v>938</v>
      </c>
      <c r="X592" s="39" t="s">
        <v>943</v>
      </c>
      <c r="Y592" s="39" t="s">
        <v>944</v>
      </c>
      <c r="Z592" s="39" t="s">
        <v>872</v>
      </c>
      <c r="AB592" s="39">
        <v>0.0666666666666666</v>
      </c>
    </row>
    <row r="593">
      <c r="A593" s="39" t="s">
        <v>1234</v>
      </c>
      <c r="B593" s="39" t="s">
        <v>1235</v>
      </c>
      <c r="C593" s="39">
        <v>0.55</v>
      </c>
      <c r="D593" s="41">
        <v>44035.0</v>
      </c>
      <c r="E593" s="39" t="s">
        <v>828</v>
      </c>
      <c r="F593" s="39" t="s">
        <v>829</v>
      </c>
      <c r="G593" s="39" t="s">
        <v>830</v>
      </c>
      <c r="H593" s="39">
        <v>720.0</v>
      </c>
      <c r="N593" s="39" t="s">
        <v>938</v>
      </c>
      <c r="R593" s="39" t="s">
        <v>957</v>
      </c>
      <c r="S593" s="39" t="s">
        <v>966</v>
      </c>
      <c r="T593" s="39" t="s">
        <v>741</v>
      </c>
      <c r="U593" s="39" t="s">
        <v>938</v>
      </c>
      <c r="X593" s="39" t="s">
        <v>1236</v>
      </c>
      <c r="Y593" s="39" t="s">
        <v>1192</v>
      </c>
      <c r="Z593" s="39" t="s">
        <v>872</v>
      </c>
      <c r="AB593" s="39">
        <v>0.55</v>
      </c>
    </row>
    <row r="594">
      <c r="A594" s="39" t="s">
        <v>933</v>
      </c>
      <c r="B594" s="39" t="s">
        <v>934</v>
      </c>
      <c r="C594" s="39">
        <v>0.416666666666666</v>
      </c>
      <c r="D594" s="41">
        <v>44035.0</v>
      </c>
      <c r="E594" s="39" t="s">
        <v>828</v>
      </c>
      <c r="F594" s="39" t="s">
        <v>829</v>
      </c>
      <c r="G594" s="39" t="s">
        <v>830</v>
      </c>
      <c r="H594" s="39">
        <v>720.0</v>
      </c>
      <c r="N594" s="39" t="s">
        <v>883</v>
      </c>
      <c r="R594" s="39" t="s">
        <v>832</v>
      </c>
      <c r="S594" s="39" t="s">
        <v>833</v>
      </c>
      <c r="T594" s="39" t="s">
        <v>884</v>
      </c>
      <c r="U594" s="39" t="s">
        <v>883</v>
      </c>
      <c r="W594" s="39" t="s">
        <v>96</v>
      </c>
      <c r="X594" s="39" t="s">
        <v>935</v>
      </c>
      <c r="Z594" s="39" t="s">
        <v>876</v>
      </c>
      <c r="AB594" s="39">
        <v>0.416666666666666</v>
      </c>
      <c r="AC594" s="39">
        <v>16.0</v>
      </c>
      <c r="AD594" s="39">
        <v>0.0</v>
      </c>
    </row>
    <row r="595">
      <c r="A595" s="39" t="s">
        <v>1246</v>
      </c>
      <c r="B595" s="39" t="s">
        <v>1247</v>
      </c>
      <c r="C595" s="39">
        <v>7.0</v>
      </c>
      <c r="D595" s="41">
        <v>44035.0</v>
      </c>
      <c r="E595" s="39" t="s">
        <v>1048</v>
      </c>
      <c r="F595" s="39" t="s">
        <v>1049</v>
      </c>
      <c r="G595" s="39" t="s">
        <v>1050</v>
      </c>
      <c r="H595" s="39">
        <v>720.0</v>
      </c>
      <c r="N595" s="39" t="s">
        <v>1051</v>
      </c>
      <c r="R595" s="39" t="s">
        <v>832</v>
      </c>
      <c r="S595" s="39" t="s">
        <v>1052</v>
      </c>
      <c r="T595" s="39" t="s">
        <v>1053</v>
      </c>
      <c r="U595" s="39" t="s">
        <v>1051</v>
      </c>
      <c r="X595" s="39" t="s">
        <v>1250</v>
      </c>
      <c r="Y595" s="39" t="s">
        <v>1127</v>
      </c>
      <c r="Z595" s="39" t="s">
        <v>872</v>
      </c>
      <c r="AB595" s="39">
        <v>7.0</v>
      </c>
    </row>
    <row r="596">
      <c r="A596" s="39" t="s">
        <v>1128</v>
      </c>
      <c r="B596" s="39" t="s">
        <v>1129</v>
      </c>
      <c r="C596" s="39">
        <v>7.0</v>
      </c>
      <c r="D596" s="41">
        <v>44035.0</v>
      </c>
      <c r="E596" s="39" t="s">
        <v>1059</v>
      </c>
      <c r="F596" s="39" t="s">
        <v>1060</v>
      </c>
      <c r="G596" s="39" t="s">
        <v>1050</v>
      </c>
      <c r="H596" s="39">
        <v>720.0</v>
      </c>
      <c r="N596" s="39" t="s">
        <v>1051</v>
      </c>
      <c r="R596" s="39" t="s">
        <v>832</v>
      </c>
      <c r="S596" s="39" t="s">
        <v>1052</v>
      </c>
      <c r="T596" s="39" t="s">
        <v>1053</v>
      </c>
      <c r="U596" s="39" t="s">
        <v>1051</v>
      </c>
      <c r="X596" s="39" t="s">
        <v>1251</v>
      </c>
      <c r="Y596" s="39" t="s">
        <v>1131</v>
      </c>
      <c r="Z596" s="39" t="s">
        <v>872</v>
      </c>
      <c r="AB596" s="39">
        <v>7.0</v>
      </c>
    </row>
    <row r="597">
      <c r="A597" s="39" t="s">
        <v>1207</v>
      </c>
      <c r="B597" s="39" t="s">
        <v>1252</v>
      </c>
      <c r="C597" s="39">
        <v>0.5</v>
      </c>
      <c r="D597" s="41">
        <v>44035.520833333336</v>
      </c>
      <c r="E597" s="39" t="s">
        <v>1153</v>
      </c>
      <c r="F597" s="39" t="s">
        <v>1154</v>
      </c>
      <c r="G597" s="39" t="s">
        <v>830</v>
      </c>
      <c r="H597" s="39">
        <v>720.0</v>
      </c>
      <c r="N597" s="39" t="s">
        <v>1051</v>
      </c>
      <c r="R597" s="39" t="s">
        <v>72</v>
      </c>
      <c r="S597" s="39" t="s">
        <v>889</v>
      </c>
      <c r="T597" s="39" t="s">
        <v>1053</v>
      </c>
      <c r="U597" s="39" t="s">
        <v>1051</v>
      </c>
      <c r="X597" s="39" t="s">
        <v>1253</v>
      </c>
      <c r="Z597" s="39" t="s">
        <v>872</v>
      </c>
      <c r="AB597" s="39">
        <v>0.5</v>
      </c>
    </row>
    <row r="598">
      <c r="A598" s="39" t="s">
        <v>1127</v>
      </c>
      <c r="B598" s="39" t="s">
        <v>1254</v>
      </c>
      <c r="C598" s="39">
        <v>1.25</v>
      </c>
      <c r="D598" s="41">
        <v>44035.645833333336</v>
      </c>
      <c r="E598" s="39" t="s">
        <v>1153</v>
      </c>
      <c r="F598" s="39" t="s">
        <v>1154</v>
      </c>
      <c r="G598" s="39" t="s">
        <v>830</v>
      </c>
      <c r="H598" s="39">
        <v>720.0</v>
      </c>
      <c r="N598" s="39" t="s">
        <v>1051</v>
      </c>
      <c r="R598" s="39" t="s">
        <v>72</v>
      </c>
      <c r="S598" s="39" t="s">
        <v>842</v>
      </c>
      <c r="T598" s="39" t="s">
        <v>1053</v>
      </c>
      <c r="U598" s="39" t="s">
        <v>1051</v>
      </c>
      <c r="X598" s="39" t="s">
        <v>1255</v>
      </c>
      <c r="Z598" s="39" t="s">
        <v>872</v>
      </c>
      <c r="AB598" s="39">
        <v>1.25</v>
      </c>
    </row>
    <row r="599">
      <c r="A599" s="39" t="s">
        <v>1256</v>
      </c>
      <c r="B599" s="39" t="s">
        <v>1257</v>
      </c>
      <c r="C599" s="39">
        <v>0.416666666666666</v>
      </c>
      <c r="D599" s="41">
        <v>44035.697916666664</v>
      </c>
      <c r="E599" s="39" t="s">
        <v>1153</v>
      </c>
      <c r="F599" s="39" t="s">
        <v>1154</v>
      </c>
      <c r="G599" s="39" t="s">
        <v>830</v>
      </c>
      <c r="H599" s="39">
        <v>720.0</v>
      </c>
      <c r="N599" s="39" t="s">
        <v>1051</v>
      </c>
      <c r="R599" s="39" t="s">
        <v>72</v>
      </c>
      <c r="S599" s="39" t="s">
        <v>842</v>
      </c>
      <c r="T599" s="39" t="s">
        <v>1053</v>
      </c>
      <c r="U599" s="39" t="s">
        <v>1051</v>
      </c>
      <c r="X599" s="39" t="s">
        <v>1258</v>
      </c>
      <c r="Z599" s="39" t="s">
        <v>872</v>
      </c>
      <c r="AB599" s="39">
        <v>0.416666666666666</v>
      </c>
    </row>
    <row r="600">
      <c r="A600" s="39" t="s">
        <v>1216</v>
      </c>
      <c r="B600" s="39" t="s">
        <v>1217</v>
      </c>
      <c r="C600" s="39">
        <v>1.41666666666666</v>
      </c>
      <c r="D600" s="41">
        <v>44036.0</v>
      </c>
      <c r="E600" s="39" t="s">
        <v>828</v>
      </c>
      <c r="F600" s="39" t="s">
        <v>829</v>
      </c>
      <c r="G600" s="39" t="s">
        <v>830</v>
      </c>
      <c r="H600" s="39">
        <v>720.0</v>
      </c>
      <c r="N600" s="39" t="s">
        <v>883</v>
      </c>
      <c r="R600" s="39" t="s">
        <v>832</v>
      </c>
      <c r="S600" s="39" t="s">
        <v>833</v>
      </c>
      <c r="T600" s="39" t="s">
        <v>884</v>
      </c>
      <c r="U600" s="39" t="s">
        <v>883</v>
      </c>
      <c r="W600" s="39" t="s">
        <v>253</v>
      </c>
      <c r="X600" s="39" t="s">
        <v>1218</v>
      </c>
      <c r="Z600" s="39" t="s">
        <v>872</v>
      </c>
      <c r="AB600" s="39">
        <v>1.41666666666666</v>
      </c>
      <c r="AC600" s="39">
        <v>4.0</v>
      </c>
      <c r="AD600" s="39">
        <v>0.0</v>
      </c>
    </row>
    <row r="601">
      <c r="A601" s="39" t="s">
        <v>1119</v>
      </c>
      <c r="B601" s="39" t="s">
        <v>1120</v>
      </c>
      <c r="C601" s="39">
        <v>0.5</v>
      </c>
      <c r="D601" s="41">
        <v>44036.0</v>
      </c>
      <c r="E601" s="39" t="s">
        <v>828</v>
      </c>
      <c r="F601" s="39" t="s">
        <v>829</v>
      </c>
      <c r="G601" s="39" t="s">
        <v>830</v>
      </c>
      <c r="H601" s="39">
        <v>720.0</v>
      </c>
      <c r="N601" s="39" t="s">
        <v>938</v>
      </c>
      <c r="R601" s="39" t="s">
        <v>832</v>
      </c>
      <c r="S601" s="39" t="s">
        <v>939</v>
      </c>
      <c r="T601" s="39" t="s">
        <v>741</v>
      </c>
      <c r="U601" s="39" t="s">
        <v>938</v>
      </c>
      <c r="X601" s="39" t="s">
        <v>1121</v>
      </c>
      <c r="Y601" s="39" t="s">
        <v>1027</v>
      </c>
      <c r="Z601" s="39" t="s">
        <v>828</v>
      </c>
      <c r="AB601" s="39">
        <v>0.5</v>
      </c>
    </row>
    <row r="602">
      <c r="A602" s="39" t="s">
        <v>1259</v>
      </c>
      <c r="B602" s="39" t="s">
        <v>1260</v>
      </c>
      <c r="C602" s="39">
        <v>0.666666666666666</v>
      </c>
      <c r="D602" s="41">
        <v>44036.0</v>
      </c>
      <c r="E602" s="39" t="s">
        <v>828</v>
      </c>
      <c r="F602" s="39" t="s">
        <v>829</v>
      </c>
      <c r="G602" s="39" t="s">
        <v>830</v>
      </c>
      <c r="H602" s="39">
        <v>720.0</v>
      </c>
      <c r="N602" s="39" t="s">
        <v>938</v>
      </c>
      <c r="R602" s="39" t="s">
        <v>957</v>
      </c>
      <c r="S602" s="39" t="s">
        <v>966</v>
      </c>
      <c r="T602" s="39" t="s">
        <v>741</v>
      </c>
      <c r="U602" s="39" t="s">
        <v>938</v>
      </c>
      <c r="X602" s="39" t="s">
        <v>1261</v>
      </c>
      <c r="Y602" s="39" t="s">
        <v>1192</v>
      </c>
      <c r="Z602" s="39" t="s">
        <v>872</v>
      </c>
      <c r="AB602" s="39">
        <v>0.666666666666666</v>
      </c>
    </row>
    <row r="603">
      <c r="A603" s="39" t="s">
        <v>1115</v>
      </c>
      <c r="B603" s="39" t="s">
        <v>1122</v>
      </c>
      <c r="C603" s="39">
        <v>0.266666666666666</v>
      </c>
      <c r="D603" s="41">
        <v>44036.0</v>
      </c>
      <c r="E603" s="39" t="s">
        <v>828</v>
      </c>
      <c r="F603" s="39" t="s">
        <v>829</v>
      </c>
      <c r="G603" s="39" t="s">
        <v>830</v>
      </c>
      <c r="H603" s="39">
        <v>720.0</v>
      </c>
      <c r="N603" s="39" t="s">
        <v>938</v>
      </c>
      <c r="R603" s="39" t="s">
        <v>72</v>
      </c>
      <c r="S603" s="39" t="s">
        <v>842</v>
      </c>
      <c r="T603" s="39" t="s">
        <v>741</v>
      </c>
      <c r="U603" s="39" t="s">
        <v>938</v>
      </c>
      <c r="X603" s="39" t="s">
        <v>1123</v>
      </c>
      <c r="Z603" s="39" t="s">
        <v>872</v>
      </c>
      <c r="AB603" s="39">
        <v>0.266666666666666</v>
      </c>
    </row>
    <row r="604">
      <c r="A604" s="39" t="s">
        <v>1262</v>
      </c>
      <c r="B604" s="39" t="s">
        <v>1263</v>
      </c>
      <c r="C604" s="39">
        <v>2.0</v>
      </c>
      <c r="D604" s="41">
        <v>44036.0</v>
      </c>
      <c r="E604" s="39" t="s">
        <v>1048</v>
      </c>
      <c r="F604" s="39" t="s">
        <v>1049</v>
      </c>
      <c r="G604" s="39" t="s">
        <v>1050</v>
      </c>
      <c r="H604" s="39">
        <v>720.0</v>
      </c>
      <c r="N604" s="39" t="s">
        <v>1051</v>
      </c>
      <c r="R604" s="39" t="s">
        <v>832</v>
      </c>
      <c r="S604" s="39" t="s">
        <v>842</v>
      </c>
      <c r="T604" s="39" t="s">
        <v>1053</v>
      </c>
      <c r="U604" s="39" t="s">
        <v>1051</v>
      </c>
      <c r="X604" s="39" t="s">
        <v>1264</v>
      </c>
      <c r="Y604" s="39" t="s">
        <v>1265</v>
      </c>
      <c r="Z604" s="39" t="s">
        <v>872</v>
      </c>
      <c r="AB604" s="39">
        <v>2.0</v>
      </c>
    </row>
    <row r="605">
      <c r="A605" s="39" t="s">
        <v>1266</v>
      </c>
      <c r="B605" s="39" t="s">
        <v>1267</v>
      </c>
      <c r="C605" s="39">
        <v>5.0</v>
      </c>
      <c r="D605" s="41">
        <v>44036.0</v>
      </c>
      <c r="E605" s="39" t="s">
        <v>1048</v>
      </c>
      <c r="F605" s="39" t="s">
        <v>1049</v>
      </c>
      <c r="G605" s="39" t="s">
        <v>1050</v>
      </c>
      <c r="H605" s="39">
        <v>720.0</v>
      </c>
      <c r="N605" s="39" t="s">
        <v>1051</v>
      </c>
      <c r="R605" s="39" t="s">
        <v>957</v>
      </c>
      <c r="S605" s="39" t="s">
        <v>1052</v>
      </c>
      <c r="T605" s="39" t="s">
        <v>1053</v>
      </c>
      <c r="U605" s="39" t="s">
        <v>1051</v>
      </c>
      <c r="X605" s="39" t="s">
        <v>1268</v>
      </c>
      <c r="Y605" s="39" t="s">
        <v>1246</v>
      </c>
      <c r="Z605" s="39" t="s">
        <v>872</v>
      </c>
      <c r="AB605" s="39">
        <v>5.0</v>
      </c>
    </row>
    <row r="606">
      <c r="A606" s="39" t="s">
        <v>1128</v>
      </c>
      <c r="B606" s="39" t="s">
        <v>1129</v>
      </c>
      <c r="C606" s="39">
        <v>8.0</v>
      </c>
      <c r="D606" s="41">
        <v>44036.0</v>
      </c>
      <c r="E606" s="39" t="s">
        <v>1059</v>
      </c>
      <c r="F606" s="39" t="s">
        <v>1060</v>
      </c>
      <c r="G606" s="39" t="s">
        <v>1050</v>
      </c>
      <c r="H606" s="39">
        <v>720.0</v>
      </c>
      <c r="N606" s="39" t="s">
        <v>1051</v>
      </c>
      <c r="R606" s="39" t="s">
        <v>832</v>
      </c>
      <c r="S606" s="39" t="s">
        <v>1052</v>
      </c>
      <c r="T606" s="39" t="s">
        <v>1053</v>
      </c>
      <c r="U606" s="39" t="s">
        <v>1051</v>
      </c>
      <c r="X606" s="39" t="s">
        <v>1269</v>
      </c>
      <c r="Y606" s="39" t="s">
        <v>1131</v>
      </c>
      <c r="Z606" s="39" t="s">
        <v>872</v>
      </c>
      <c r="AB606" s="39">
        <v>8.0</v>
      </c>
    </row>
    <row r="607">
      <c r="A607" s="39" t="s">
        <v>1216</v>
      </c>
      <c r="B607" s="39" t="s">
        <v>1217</v>
      </c>
      <c r="C607" s="39">
        <v>2.61666666666666</v>
      </c>
      <c r="D607" s="41">
        <v>44039.0</v>
      </c>
      <c r="E607" s="39" t="s">
        <v>828</v>
      </c>
      <c r="F607" s="39" t="s">
        <v>829</v>
      </c>
      <c r="G607" s="39" t="s">
        <v>830</v>
      </c>
      <c r="H607" s="39">
        <v>720.0</v>
      </c>
      <c r="N607" s="39" t="s">
        <v>883</v>
      </c>
      <c r="R607" s="39" t="s">
        <v>832</v>
      </c>
      <c r="S607" s="39" t="s">
        <v>833</v>
      </c>
      <c r="T607" s="39" t="s">
        <v>884</v>
      </c>
      <c r="U607" s="39" t="s">
        <v>883</v>
      </c>
      <c r="W607" s="39" t="s">
        <v>253</v>
      </c>
      <c r="X607" s="39" t="s">
        <v>1218</v>
      </c>
      <c r="Z607" s="39" t="s">
        <v>872</v>
      </c>
      <c r="AB607" s="39">
        <v>2.61666666666666</v>
      </c>
      <c r="AC607" s="39">
        <v>4.0</v>
      </c>
      <c r="AD607" s="39">
        <v>0.0</v>
      </c>
    </row>
    <row r="608">
      <c r="A608" s="39" t="s">
        <v>1259</v>
      </c>
      <c r="B608" s="39" t="s">
        <v>1260</v>
      </c>
      <c r="C608" s="39">
        <v>0.433333333333333</v>
      </c>
      <c r="D608" s="41">
        <v>44039.0</v>
      </c>
      <c r="E608" s="39" t="s">
        <v>828</v>
      </c>
      <c r="F608" s="39" t="s">
        <v>829</v>
      </c>
      <c r="G608" s="39" t="s">
        <v>830</v>
      </c>
      <c r="H608" s="39">
        <v>720.0</v>
      </c>
      <c r="N608" s="39" t="s">
        <v>938</v>
      </c>
      <c r="R608" s="39" t="s">
        <v>957</v>
      </c>
      <c r="S608" s="39" t="s">
        <v>966</v>
      </c>
      <c r="T608" s="39" t="s">
        <v>741</v>
      </c>
      <c r="U608" s="39" t="s">
        <v>938</v>
      </c>
      <c r="X608" s="39" t="s">
        <v>1261</v>
      </c>
      <c r="Y608" s="39" t="s">
        <v>1192</v>
      </c>
      <c r="Z608" s="39" t="s">
        <v>872</v>
      </c>
      <c r="AB608" s="39">
        <v>0.433333333333333</v>
      </c>
    </row>
    <row r="609">
      <c r="A609" s="39" t="s">
        <v>1115</v>
      </c>
      <c r="B609" s="39" t="s">
        <v>1122</v>
      </c>
      <c r="C609" s="39">
        <v>0.866666666666666</v>
      </c>
      <c r="D609" s="41">
        <v>44039.0</v>
      </c>
      <c r="E609" s="39" t="s">
        <v>828</v>
      </c>
      <c r="F609" s="39" t="s">
        <v>829</v>
      </c>
      <c r="G609" s="39" t="s">
        <v>830</v>
      </c>
      <c r="H609" s="39">
        <v>720.0</v>
      </c>
      <c r="N609" s="39" t="s">
        <v>938</v>
      </c>
      <c r="R609" s="39" t="s">
        <v>72</v>
      </c>
      <c r="S609" s="39" t="s">
        <v>842</v>
      </c>
      <c r="T609" s="39" t="s">
        <v>741</v>
      </c>
      <c r="U609" s="39" t="s">
        <v>938</v>
      </c>
      <c r="X609" s="39" t="s">
        <v>1123</v>
      </c>
      <c r="Z609" s="39" t="s">
        <v>872</v>
      </c>
      <c r="AB609" s="39">
        <v>0.866666666666666</v>
      </c>
    </row>
    <row r="610">
      <c r="A610" s="39" t="s">
        <v>1211</v>
      </c>
      <c r="B610" s="39" t="s">
        <v>1222</v>
      </c>
      <c r="C610" s="39">
        <v>7.0</v>
      </c>
      <c r="D610" s="41">
        <v>44039.0</v>
      </c>
      <c r="E610" s="39" t="s">
        <v>1048</v>
      </c>
      <c r="F610" s="39" t="s">
        <v>1049</v>
      </c>
      <c r="G610" s="39" t="s">
        <v>1050</v>
      </c>
      <c r="H610" s="39">
        <v>720.0</v>
      </c>
      <c r="N610" s="39" t="s">
        <v>1051</v>
      </c>
      <c r="R610" s="39" t="s">
        <v>832</v>
      </c>
      <c r="S610" s="39" t="s">
        <v>1052</v>
      </c>
      <c r="T610" s="39" t="s">
        <v>1053</v>
      </c>
      <c r="U610" s="39" t="s">
        <v>1051</v>
      </c>
      <c r="X610" s="39" t="s">
        <v>1270</v>
      </c>
      <c r="Y610" s="39" t="s">
        <v>1127</v>
      </c>
      <c r="Z610" s="39" t="s">
        <v>872</v>
      </c>
      <c r="AB610" s="39">
        <v>7.0</v>
      </c>
    </row>
    <row r="611">
      <c r="A611" s="39" t="s">
        <v>1128</v>
      </c>
      <c r="B611" s="39" t="s">
        <v>1129</v>
      </c>
      <c r="C611" s="39">
        <v>7.0</v>
      </c>
      <c r="D611" s="41">
        <v>44039.0</v>
      </c>
      <c r="E611" s="39" t="s">
        <v>1059</v>
      </c>
      <c r="F611" s="39" t="s">
        <v>1060</v>
      </c>
      <c r="G611" s="39" t="s">
        <v>1050</v>
      </c>
      <c r="H611" s="39">
        <v>720.0</v>
      </c>
      <c r="N611" s="39" t="s">
        <v>1051</v>
      </c>
      <c r="R611" s="39" t="s">
        <v>832</v>
      </c>
      <c r="S611" s="39" t="s">
        <v>1052</v>
      </c>
      <c r="T611" s="39" t="s">
        <v>1053</v>
      </c>
      <c r="U611" s="39" t="s">
        <v>1051</v>
      </c>
      <c r="X611" s="39" t="s">
        <v>1271</v>
      </c>
      <c r="Y611" s="39" t="s">
        <v>1131</v>
      </c>
      <c r="Z611" s="39" t="s">
        <v>872</v>
      </c>
      <c r="AB611" s="39">
        <v>7.0</v>
      </c>
    </row>
    <row r="612">
      <c r="A612" s="39" t="s">
        <v>1216</v>
      </c>
      <c r="B612" s="39" t="s">
        <v>1217</v>
      </c>
      <c r="C612" s="39">
        <v>3.81666666666666</v>
      </c>
      <c r="D612" s="41">
        <v>44040.0</v>
      </c>
      <c r="E612" s="39" t="s">
        <v>828</v>
      </c>
      <c r="F612" s="39" t="s">
        <v>829</v>
      </c>
      <c r="G612" s="39" t="s">
        <v>830</v>
      </c>
      <c r="H612" s="39">
        <v>720.0</v>
      </c>
      <c r="N612" s="39" t="s">
        <v>883</v>
      </c>
      <c r="R612" s="39" t="s">
        <v>832</v>
      </c>
      <c r="S612" s="39" t="s">
        <v>833</v>
      </c>
      <c r="T612" s="39" t="s">
        <v>884</v>
      </c>
      <c r="U612" s="39" t="s">
        <v>883</v>
      </c>
      <c r="W612" s="39" t="s">
        <v>253</v>
      </c>
      <c r="X612" s="39" t="s">
        <v>1218</v>
      </c>
      <c r="Z612" s="39" t="s">
        <v>872</v>
      </c>
      <c r="AB612" s="39">
        <v>3.81666666666666</v>
      </c>
      <c r="AC612" s="39">
        <v>4.0</v>
      </c>
      <c r="AD612" s="39">
        <v>0.0</v>
      </c>
    </row>
    <row r="613">
      <c r="A613" s="39" t="s">
        <v>1112</v>
      </c>
      <c r="B613" s="39" t="s">
        <v>1113</v>
      </c>
      <c r="C613" s="39">
        <v>0.533333333333333</v>
      </c>
      <c r="D613" s="41">
        <v>44040.0</v>
      </c>
      <c r="E613" s="39" t="s">
        <v>828</v>
      </c>
      <c r="F613" s="39" t="s">
        <v>829</v>
      </c>
      <c r="G613" s="39" t="s">
        <v>830</v>
      </c>
      <c r="H613" s="39">
        <v>720.0</v>
      </c>
      <c r="N613" s="39" t="s">
        <v>938</v>
      </c>
      <c r="R613" s="39" t="s">
        <v>832</v>
      </c>
      <c r="S613" s="39" t="s">
        <v>889</v>
      </c>
      <c r="T613" s="39" t="s">
        <v>741</v>
      </c>
      <c r="U613" s="39" t="s">
        <v>938</v>
      </c>
      <c r="X613" s="39" t="s">
        <v>1114</v>
      </c>
      <c r="Y613" s="39" t="s">
        <v>1115</v>
      </c>
      <c r="Z613" s="39" t="s">
        <v>872</v>
      </c>
      <c r="AB613" s="39">
        <v>0.533333333333333</v>
      </c>
    </row>
    <row r="614">
      <c r="A614" s="39" t="s">
        <v>1115</v>
      </c>
      <c r="B614" s="39" t="s">
        <v>1122</v>
      </c>
      <c r="C614" s="39">
        <v>0.55</v>
      </c>
      <c r="D614" s="41">
        <v>44040.0</v>
      </c>
      <c r="E614" s="39" t="s">
        <v>828</v>
      </c>
      <c r="F614" s="39" t="s">
        <v>829</v>
      </c>
      <c r="G614" s="39" t="s">
        <v>830</v>
      </c>
      <c r="H614" s="39">
        <v>720.0</v>
      </c>
      <c r="N614" s="39" t="s">
        <v>938</v>
      </c>
      <c r="R614" s="39" t="s">
        <v>72</v>
      </c>
      <c r="S614" s="39" t="s">
        <v>842</v>
      </c>
      <c r="T614" s="39" t="s">
        <v>741</v>
      </c>
      <c r="U614" s="39" t="s">
        <v>938</v>
      </c>
      <c r="X614" s="39" t="s">
        <v>1123</v>
      </c>
      <c r="Z614" s="39" t="s">
        <v>872</v>
      </c>
      <c r="AB614" s="39">
        <v>0.55</v>
      </c>
    </row>
    <row r="615">
      <c r="A615" s="39" t="s">
        <v>1272</v>
      </c>
      <c r="B615" s="39" t="s">
        <v>1273</v>
      </c>
      <c r="C615" s="39">
        <v>7.0</v>
      </c>
      <c r="D615" s="41">
        <v>44040.0</v>
      </c>
      <c r="E615" s="39" t="s">
        <v>1048</v>
      </c>
      <c r="F615" s="39" t="s">
        <v>1049</v>
      </c>
      <c r="G615" s="39" t="s">
        <v>1050</v>
      </c>
      <c r="H615" s="39">
        <v>720.0</v>
      </c>
      <c r="N615" s="39" t="s">
        <v>1051</v>
      </c>
      <c r="R615" s="39" t="s">
        <v>957</v>
      </c>
      <c r="S615" s="39" t="s">
        <v>1274</v>
      </c>
      <c r="T615" s="39" t="s">
        <v>1053</v>
      </c>
      <c r="U615" s="39" t="s">
        <v>1051</v>
      </c>
      <c r="X615" s="39" t="s">
        <v>1275</v>
      </c>
      <c r="Y615" s="39" t="s">
        <v>1276</v>
      </c>
      <c r="Z615" s="39" t="s">
        <v>872</v>
      </c>
      <c r="AB615" s="39">
        <v>7.0</v>
      </c>
    </row>
    <row r="616">
      <c r="A616" s="39" t="s">
        <v>1277</v>
      </c>
      <c r="B616" s="39" t="s">
        <v>1278</v>
      </c>
      <c r="C616" s="39">
        <v>7.0</v>
      </c>
      <c r="D616" s="41">
        <v>44040.0</v>
      </c>
      <c r="E616" s="39" t="s">
        <v>1059</v>
      </c>
      <c r="F616" s="39" t="s">
        <v>1060</v>
      </c>
      <c r="G616" s="39" t="s">
        <v>1050</v>
      </c>
      <c r="H616" s="39">
        <v>720.0</v>
      </c>
      <c r="N616" s="39" t="s">
        <v>1051</v>
      </c>
      <c r="R616" s="39" t="s">
        <v>832</v>
      </c>
      <c r="S616" s="39" t="s">
        <v>1052</v>
      </c>
      <c r="T616" s="39" t="s">
        <v>1053</v>
      </c>
      <c r="U616" s="39" t="s">
        <v>1051</v>
      </c>
      <c r="X616" s="39" t="s">
        <v>1279</v>
      </c>
      <c r="Y616" s="39" t="s">
        <v>1131</v>
      </c>
      <c r="Z616" s="39" t="s">
        <v>872</v>
      </c>
      <c r="AB616" s="39">
        <v>7.0</v>
      </c>
    </row>
    <row r="617">
      <c r="A617" s="39" t="s">
        <v>1009</v>
      </c>
      <c r="B617" s="39" t="s">
        <v>1010</v>
      </c>
      <c r="C617" s="39">
        <v>1.06666666666666</v>
      </c>
      <c r="D617" s="41">
        <v>44041.0</v>
      </c>
      <c r="E617" s="39" t="s">
        <v>828</v>
      </c>
      <c r="F617" s="39" t="s">
        <v>829</v>
      </c>
      <c r="G617" s="39" t="s">
        <v>830</v>
      </c>
      <c r="H617" s="39">
        <v>720.0</v>
      </c>
      <c r="N617" s="39" t="s">
        <v>883</v>
      </c>
      <c r="R617" s="39" t="s">
        <v>832</v>
      </c>
      <c r="S617" s="39" t="s">
        <v>833</v>
      </c>
      <c r="T617" s="39" t="s">
        <v>884</v>
      </c>
      <c r="U617" s="39" t="s">
        <v>883</v>
      </c>
      <c r="W617" s="39" t="s">
        <v>904</v>
      </c>
      <c r="X617" s="39" t="s">
        <v>1011</v>
      </c>
      <c r="Z617" s="39" t="s">
        <v>900</v>
      </c>
      <c r="AB617" s="39">
        <v>1.06666666666666</v>
      </c>
      <c r="AC617" s="39">
        <v>3.0</v>
      </c>
      <c r="AD617" s="39">
        <v>0.0</v>
      </c>
    </row>
    <row r="618">
      <c r="A618" s="39" t="s">
        <v>1112</v>
      </c>
      <c r="B618" s="39" t="s">
        <v>1113</v>
      </c>
      <c r="C618" s="39">
        <v>0.5</v>
      </c>
      <c r="D618" s="41">
        <v>44041.0</v>
      </c>
      <c r="E618" s="39" t="s">
        <v>828</v>
      </c>
      <c r="F618" s="39" t="s">
        <v>829</v>
      </c>
      <c r="G618" s="39" t="s">
        <v>830</v>
      </c>
      <c r="H618" s="39">
        <v>720.0</v>
      </c>
      <c r="N618" s="39" t="s">
        <v>938</v>
      </c>
      <c r="R618" s="39" t="s">
        <v>832</v>
      </c>
      <c r="S618" s="39" t="s">
        <v>889</v>
      </c>
      <c r="T618" s="39" t="s">
        <v>741</v>
      </c>
      <c r="U618" s="39" t="s">
        <v>938</v>
      </c>
      <c r="X618" s="39" t="s">
        <v>1114</v>
      </c>
      <c r="Y618" s="39" t="s">
        <v>1115</v>
      </c>
      <c r="Z618" s="39" t="s">
        <v>872</v>
      </c>
      <c r="AB618" s="39">
        <v>0.5</v>
      </c>
    </row>
    <row r="619">
      <c r="A619" s="39" t="s">
        <v>1115</v>
      </c>
      <c r="B619" s="39" t="s">
        <v>1122</v>
      </c>
      <c r="C619" s="39">
        <v>0.516666666666666</v>
      </c>
      <c r="D619" s="41">
        <v>44041.0</v>
      </c>
      <c r="E619" s="39" t="s">
        <v>828</v>
      </c>
      <c r="F619" s="39" t="s">
        <v>829</v>
      </c>
      <c r="G619" s="39" t="s">
        <v>830</v>
      </c>
      <c r="H619" s="39">
        <v>720.0</v>
      </c>
      <c r="N619" s="39" t="s">
        <v>938</v>
      </c>
      <c r="R619" s="39" t="s">
        <v>72</v>
      </c>
      <c r="S619" s="39" t="s">
        <v>842</v>
      </c>
      <c r="T619" s="39" t="s">
        <v>741</v>
      </c>
      <c r="U619" s="39" t="s">
        <v>938</v>
      </c>
      <c r="X619" s="39" t="s">
        <v>1123</v>
      </c>
      <c r="Z619" s="39" t="s">
        <v>872</v>
      </c>
      <c r="AB619" s="39">
        <v>0.516666666666666</v>
      </c>
    </row>
    <row r="620">
      <c r="A620" s="39" t="s">
        <v>1216</v>
      </c>
      <c r="B620" s="39" t="s">
        <v>1217</v>
      </c>
      <c r="C620" s="39">
        <v>4.5</v>
      </c>
      <c r="D620" s="41">
        <v>44041.0</v>
      </c>
      <c r="E620" s="39" t="s">
        <v>828</v>
      </c>
      <c r="F620" s="39" t="s">
        <v>829</v>
      </c>
      <c r="G620" s="39" t="s">
        <v>830</v>
      </c>
      <c r="H620" s="39">
        <v>720.0</v>
      </c>
      <c r="N620" s="39" t="s">
        <v>883</v>
      </c>
      <c r="R620" s="39" t="s">
        <v>832</v>
      </c>
      <c r="S620" s="39" t="s">
        <v>833</v>
      </c>
      <c r="T620" s="39" t="s">
        <v>884</v>
      </c>
      <c r="U620" s="39" t="s">
        <v>883</v>
      </c>
      <c r="W620" s="39" t="s">
        <v>253</v>
      </c>
      <c r="X620" s="39" t="s">
        <v>1218</v>
      </c>
      <c r="Z620" s="39" t="s">
        <v>872</v>
      </c>
      <c r="AB620" s="39">
        <v>4.5</v>
      </c>
      <c r="AC620" s="39">
        <v>4.0</v>
      </c>
      <c r="AD620" s="39">
        <v>0.0</v>
      </c>
    </row>
    <row r="621">
      <c r="A621" s="39" t="s">
        <v>1262</v>
      </c>
      <c r="B621" s="39" t="s">
        <v>1263</v>
      </c>
      <c r="C621" s="39">
        <v>3.0</v>
      </c>
      <c r="D621" s="41">
        <v>44041.0</v>
      </c>
      <c r="E621" s="39" t="s">
        <v>1048</v>
      </c>
      <c r="F621" s="39" t="s">
        <v>1049</v>
      </c>
      <c r="G621" s="39" t="s">
        <v>1050</v>
      </c>
      <c r="H621" s="39">
        <v>720.0</v>
      </c>
      <c r="N621" s="39" t="s">
        <v>1051</v>
      </c>
      <c r="R621" s="39" t="s">
        <v>832</v>
      </c>
      <c r="S621" s="39" t="s">
        <v>842</v>
      </c>
      <c r="T621" s="39" t="s">
        <v>1053</v>
      </c>
      <c r="U621" s="39" t="s">
        <v>1051</v>
      </c>
      <c r="X621" s="39" t="s">
        <v>1280</v>
      </c>
      <c r="Y621" s="39" t="s">
        <v>1265</v>
      </c>
      <c r="Z621" s="39" t="s">
        <v>872</v>
      </c>
      <c r="AB621" s="39">
        <v>3.0</v>
      </c>
    </row>
    <row r="622">
      <c r="A622" s="39" t="s">
        <v>1127</v>
      </c>
      <c r="B622" s="39" t="s">
        <v>1254</v>
      </c>
      <c r="C622" s="39">
        <v>4.0</v>
      </c>
      <c r="D622" s="41">
        <v>44041.0</v>
      </c>
      <c r="E622" s="39" t="s">
        <v>1048</v>
      </c>
      <c r="F622" s="39" t="s">
        <v>1049</v>
      </c>
      <c r="G622" s="39" t="s">
        <v>1050</v>
      </c>
      <c r="H622" s="39">
        <v>720.0</v>
      </c>
      <c r="N622" s="39" t="s">
        <v>1051</v>
      </c>
      <c r="R622" s="39" t="s">
        <v>72</v>
      </c>
      <c r="S622" s="39" t="s">
        <v>842</v>
      </c>
      <c r="T622" s="39" t="s">
        <v>1053</v>
      </c>
      <c r="U622" s="39" t="s">
        <v>1051</v>
      </c>
      <c r="X622" s="39" t="s">
        <v>1281</v>
      </c>
      <c r="Z622" s="39" t="s">
        <v>872</v>
      </c>
      <c r="AB622" s="39">
        <v>4.0</v>
      </c>
    </row>
    <row r="623">
      <c r="A623" s="39" t="s">
        <v>1128</v>
      </c>
      <c r="B623" s="39" t="s">
        <v>1129</v>
      </c>
      <c r="C623" s="39">
        <v>7.0</v>
      </c>
      <c r="D623" s="41">
        <v>44041.0</v>
      </c>
      <c r="E623" s="39" t="s">
        <v>1059</v>
      </c>
      <c r="F623" s="39" t="s">
        <v>1060</v>
      </c>
      <c r="G623" s="39" t="s">
        <v>1050</v>
      </c>
      <c r="H623" s="39">
        <v>720.0</v>
      </c>
      <c r="N623" s="39" t="s">
        <v>1051</v>
      </c>
      <c r="R623" s="39" t="s">
        <v>832</v>
      </c>
      <c r="S623" s="39" t="s">
        <v>1052</v>
      </c>
      <c r="T623" s="39" t="s">
        <v>1053</v>
      </c>
      <c r="U623" s="39" t="s">
        <v>1051</v>
      </c>
      <c r="X623" s="39" t="s">
        <v>1282</v>
      </c>
      <c r="Y623" s="39" t="s">
        <v>1131</v>
      </c>
      <c r="Z623" s="39" t="s">
        <v>872</v>
      </c>
      <c r="AB623" s="39">
        <v>7.0</v>
      </c>
    </row>
    <row r="624">
      <c r="A624" s="39" t="s">
        <v>1019</v>
      </c>
      <c r="B624" s="39" t="s">
        <v>1020</v>
      </c>
      <c r="C624" s="39">
        <v>1.1</v>
      </c>
      <c r="D624" s="41">
        <v>44042.0</v>
      </c>
      <c r="E624" s="39" t="s">
        <v>828</v>
      </c>
      <c r="F624" s="39" t="s">
        <v>829</v>
      </c>
      <c r="G624" s="39" t="s">
        <v>830</v>
      </c>
      <c r="H624" s="39">
        <v>720.0</v>
      </c>
      <c r="N624" s="39" t="s">
        <v>883</v>
      </c>
      <c r="R624" s="39" t="s">
        <v>1021</v>
      </c>
      <c r="S624" s="39" t="s">
        <v>833</v>
      </c>
      <c r="T624" s="39" t="s">
        <v>884</v>
      </c>
      <c r="U624" s="39" t="s">
        <v>883</v>
      </c>
      <c r="W624" s="39" t="s">
        <v>835</v>
      </c>
      <c r="X624" s="39" t="s">
        <v>1022</v>
      </c>
      <c r="Z624" s="39" t="s">
        <v>1023</v>
      </c>
      <c r="AB624" s="39">
        <v>1.1</v>
      </c>
      <c r="AC624" s="39">
        <v>0.0</v>
      </c>
      <c r="AD624" s="39">
        <v>0.0</v>
      </c>
    </row>
    <row r="625">
      <c r="A625" s="39" t="s">
        <v>1216</v>
      </c>
      <c r="B625" s="39" t="s">
        <v>1217</v>
      </c>
      <c r="C625" s="39">
        <v>1.53333333333333</v>
      </c>
      <c r="D625" s="41">
        <v>44042.0</v>
      </c>
      <c r="E625" s="39" t="s">
        <v>828</v>
      </c>
      <c r="F625" s="39" t="s">
        <v>829</v>
      </c>
      <c r="G625" s="39" t="s">
        <v>830</v>
      </c>
      <c r="H625" s="39">
        <v>720.0</v>
      </c>
      <c r="N625" s="39" t="s">
        <v>883</v>
      </c>
      <c r="R625" s="39" t="s">
        <v>832</v>
      </c>
      <c r="S625" s="39" t="s">
        <v>833</v>
      </c>
      <c r="T625" s="39" t="s">
        <v>884</v>
      </c>
      <c r="U625" s="39" t="s">
        <v>883</v>
      </c>
      <c r="W625" s="39" t="s">
        <v>253</v>
      </c>
      <c r="X625" s="39" t="s">
        <v>1218</v>
      </c>
      <c r="Z625" s="39" t="s">
        <v>872</v>
      </c>
      <c r="AB625" s="39">
        <v>1.53333333333333</v>
      </c>
      <c r="AC625" s="39">
        <v>4.0</v>
      </c>
      <c r="AD625" s="39">
        <v>0.0</v>
      </c>
    </row>
    <row r="626">
      <c r="A626" s="39" t="s">
        <v>1112</v>
      </c>
      <c r="B626" s="39" t="s">
        <v>1113</v>
      </c>
      <c r="C626" s="39">
        <v>1.0</v>
      </c>
      <c r="D626" s="41">
        <v>44042.0</v>
      </c>
      <c r="E626" s="39" t="s">
        <v>828</v>
      </c>
      <c r="F626" s="39" t="s">
        <v>829</v>
      </c>
      <c r="G626" s="39" t="s">
        <v>830</v>
      </c>
      <c r="H626" s="39">
        <v>720.0</v>
      </c>
      <c r="N626" s="39" t="s">
        <v>938</v>
      </c>
      <c r="R626" s="39" t="s">
        <v>832</v>
      </c>
      <c r="S626" s="39" t="s">
        <v>889</v>
      </c>
      <c r="T626" s="39" t="s">
        <v>741</v>
      </c>
      <c r="U626" s="39" t="s">
        <v>938</v>
      </c>
      <c r="X626" s="39" t="s">
        <v>1114</v>
      </c>
      <c r="Y626" s="39" t="s">
        <v>1115</v>
      </c>
      <c r="Z626" s="39" t="s">
        <v>872</v>
      </c>
      <c r="AB626" s="39">
        <v>1.0</v>
      </c>
    </row>
    <row r="627">
      <c r="A627" s="39" t="s">
        <v>1009</v>
      </c>
      <c r="B627" s="39" t="s">
        <v>1010</v>
      </c>
      <c r="C627" s="39">
        <v>3.23333333333333</v>
      </c>
      <c r="D627" s="41">
        <v>44042.0</v>
      </c>
      <c r="E627" s="39" t="s">
        <v>828</v>
      </c>
      <c r="F627" s="39" t="s">
        <v>829</v>
      </c>
      <c r="G627" s="39" t="s">
        <v>830</v>
      </c>
      <c r="H627" s="39">
        <v>720.0</v>
      </c>
      <c r="N627" s="39" t="s">
        <v>883</v>
      </c>
      <c r="R627" s="39" t="s">
        <v>832</v>
      </c>
      <c r="S627" s="39" t="s">
        <v>833</v>
      </c>
      <c r="T627" s="39" t="s">
        <v>884</v>
      </c>
      <c r="U627" s="39" t="s">
        <v>883</v>
      </c>
      <c r="W627" s="39" t="s">
        <v>904</v>
      </c>
      <c r="X627" s="39" t="s">
        <v>1011</v>
      </c>
      <c r="Z627" s="39" t="s">
        <v>900</v>
      </c>
      <c r="AB627" s="39">
        <v>3.23333333333333</v>
      </c>
      <c r="AC627" s="39">
        <v>3.0</v>
      </c>
      <c r="AD627" s="39">
        <v>0.0</v>
      </c>
    </row>
    <row r="628">
      <c r="A628" s="39" t="s">
        <v>1115</v>
      </c>
      <c r="B628" s="39" t="s">
        <v>1122</v>
      </c>
      <c r="C628" s="39">
        <v>0.283333333333333</v>
      </c>
      <c r="D628" s="41">
        <v>44042.0</v>
      </c>
      <c r="E628" s="39" t="s">
        <v>828</v>
      </c>
      <c r="F628" s="39" t="s">
        <v>829</v>
      </c>
      <c r="G628" s="39" t="s">
        <v>830</v>
      </c>
      <c r="H628" s="39">
        <v>720.0</v>
      </c>
      <c r="N628" s="39" t="s">
        <v>938</v>
      </c>
      <c r="R628" s="39" t="s">
        <v>72</v>
      </c>
      <c r="S628" s="39" t="s">
        <v>842</v>
      </c>
      <c r="T628" s="39" t="s">
        <v>741</v>
      </c>
      <c r="U628" s="39" t="s">
        <v>938</v>
      </c>
      <c r="X628" s="39" t="s">
        <v>1123</v>
      </c>
      <c r="Z628" s="39" t="s">
        <v>872</v>
      </c>
      <c r="AB628" s="39">
        <v>0.283333333333333</v>
      </c>
    </row>
    <row r="629">
      <c r="A629" s="39" t="s">
        <v>1283</v>
      </c>
      <c r="B629" s="39" t="s">
        <v>1284</v>
      </c>
      <c r="C629" s="39">
        <v>0.2</v>
      </c>
      <c r="D629" s="41">
        <v>44042.0</v>
      </c>
      <c r="E629" s="39" t="s">
        <v>828</v>
      </c>
      <c r="F629" s="39" t="s">
        <v>829</v>
      </c>
      <c r="G629" s="39" t="s">
        <v>830</v>
      </c>
      <c r="H629" s="39">
        <v>720.0</v>
      </c>
      <c r="N629" s="39" t="s">
        <v>938</v>
      </c>
      <c r="R629" s="39" t="s">
        <v>832</v>
      </c>
      <c r="S629" s="39" t="s">
        <v>966</v>
      </c>
      <c r="T629" s="39" t="s">
        <v>741</v>
      </c>
      <c r="U629" s="39" t="s">
        <v>938</v>
      </c>
      <c r="X629" s="39" t="s">
        <v>1285</v>
      </c>
      <c r="Y629" s="39" t="s">
        <v>1115</v>
      </c>
      <c r="Z629" s="39" t="s">
        <v>872</v>
      </c>
      <c r="AB629" s="39">
        <v>0.2</v>
      </c>
    </row>
    <row r="630">
      <c r="A630" s="39" t="s">
        <v>1127</v>
      </c>
      <c r="B630" s="39" t="s">
        <v>1254</v>
      </c>
      <c r="C630" s="39">
        <v>7.0</v>
      </c>
      <c r="D630" s="41">
        <v>44042.0</v>
      </c>
      <c r="E630" s="39" t="s">
        <v>1048</v>
      </c>
      <c r="F630" s="39" t="s">
        <v>1049</v>
      </c>
      <c r="G630" s="39" t="s">
        <v>1050</v>
      </c>
      <c r="H630" s="39">
        <v>720.0</v>
      </c>
      <c r="N630" s="39" t="s">
        <v>1051</v>
      </c>
      <c r="R630" s="39" t="s">
        <v>72</v>
      </c>
      <c r="S630" s="39" t="s">
        <v>842</v>
      </c>
      <c r="T630" s="39" t="s">
        <v>1053</v>
      </c>
      <c r="U630" s="39" t="s">
        <v>1051</v>
      </c>
      <c r="X630" s="39" t="s">
        <v>1286</v>
      </c>
      <c r="Z630" s="39" t="s">
        <v>872</v>
      </c>
      <c r="AB630" s="39">
        <v>7.0</v>
      </c>
    </row>
    <row r="631">
      <c r="A631" s="39" t="s">
        <v>1262</v>
      </c>
      <c r="B631" s="39" t="s">
        <v>1263</v>
      </c>
      <c r="C631" s="39">
        <v>4.0</v>
      </c>
      <c r="D631" s="41">
        <v>44043.0</v>
      </c>
      <c r="E631" s="39" t="s">
        <v>1048</v>
      </c>
      <c r="F631" s="39" t="s">
        <v>1049</v>
      </c>
      <c r="G631" s="39" t="s">
        <v>1050</v>
      </c>
      <c r="H631" s="39">
        <v>720.0</v>
      </c>
      <c r="N631" s="39" t="s">
        <v>1051</v>
      </c>
      <c r="R631" s="39" t="s">
        <v>832</v>
      </c>
      <c r="S631" s="39" t="s">
        <v>842</v>
      </c>
      <c r="T631" s="39" t="s">
        <v>1053</v>
      </c>
      <c r="U631" s="39" t="s">
        <v>1051</v>
      </c>
      <c r="X631" s="39" t="s">
        <v>1287</v>
      </c>
      <c r="Y631" s="39" t="s">
        <v>1265</v>
      </c>
      <c r="Z631" s="39" t="s">
        <v>872</v>
      </c>
      <c r="AB631" s="39">
        <v>4.0</v>
      </c>
    </row>
    <row r="632">
      <c r="A632" s="39" t="s">
        <v>1127</v>
      </c>
      <c r="B632" s="39" t="s">
        <v>1254</v>
      </c>
      <c r="C632" s="39">
        <v>3.0</v>
      </c>
      <c r="D632" s="41">
        <v>44043.0</v>
      </c>
      <c r="E632" s="39" t="s">
        <v>1048</v>
      </c>
      <c r="F632" s="39" t="s">
        <v>1049</v>
      </c>
      <c r="G632" s="39" t="s">
        <v>1050</v>
      </c>
      <c r="H632" s="39">
        <v>720.0</v>
      </c>
      <c r="N632" s="39" t="s">
        <v>1051</v>
      </c>
      <c r="R632" s="39" t="s">
        <v>72</v>
      </c>
      <c r="S632" s="39" t="s">
        <v>842</v>
      </c>
      <c r="T632" s="39" t="s">
        <v>1053</v>
      </c>
      <c r="U632" s="39" t="s">
        <v>1051</v>
      </c>
      <c r="X632" s="39" t="s">
        <v>1255</v>
      </c>
      <c r="Z632" s="39" t="s">
        <v>872</v>
      </c>
      <c r="AB632" s="39">
        <v>3.0</v>
      </c>
    </row>
    <row r="633">
      <c r="A633" s="39" t="s">
        <v>1288</v>
      </c>
      <c r="B633" s="39" t="s">
        <v>1289</v>
      </c>
      <c r="C633" s="39">
        <v>7.0</v>
      </c>
      <c r="D633" s="41">
        <v>44043.0</v>
      </c>
      <c r="E633" s="39" t="s">
        <v>1059</v>
      </c>
      <c r="F633" s="39" t="s">
        <v>1060</v>
      </c>
      <c r="G633" s="39" t="s">
        <v>1050</v>
      </c>
      <c r="H633" s="39">
        <v>720.0</v>
      </c>
      <c r="N633" s="39" t="s">
        <v>1051</v>
      </c>
      <c r="R633" s="39" t="s">
        <v>832</v>
      </c>
      <c r="S633" s="39" t="s">
        <v>1052</v>
      </c>
      <c r="T633" s="39" t="s">
        <v>1053</v>
      </c>
      <c r="U633" s="39" t="s">
        <v>1051</v>
      </c>
      <c r="X633" s="39" t="s">
        <v>1290</v>
      </c>
      <c r="Y633" s="39" t="s">
        <v>1131</v>
      </c>
      <c r="Z633" s="39" t="s">
        <v>872</v>
      </c>
      <c r="AB633" s="39">
        <v>7.0</v>
      </c>
    </row>
    <row r="634">
      <c r="A634" s="39" t="s">
        <v>1283</v>
      </c>
      <c r="B634" s="39" t="s">
        <v>1284</v>
      </c>
      <c r="C634" s="39">
        <v>4.0</v>
      </c>
      <c r="D634" s="41">
        <v>44046.333333333336</v>
      </c>
      <c r="E634" s="39" t="s">
        <v>1291</v>
      </c>
      <c r="F634" s="39" t="s">
        <v>1292</v>
      </c>
      <c r="G634" s="39" t="s">
        <v>1050</v>
      </c>
      <c r="H634" s="39">
        <v>820.0</v>
      </c>
      <c r="N634" s="39" t="s">
        <v>938</v>
      </c>
      <c r="R634" s="39" t="s">
        <v>832</v>
      </c>
      <c r="S634" s="39" t="s">
        <v>966</v>
      </c>
      <c r="T634" s="39" t="s">
        <v>741</v>
      </c>
      <c r="U634" s="39" t="s">
        <v>938</v>
      </c>
      <c r="X634" s="39" t="s">
        <v>1285</v>
      </c>
      <c r="Y634" s="39" t="s">
        <v>1115</v>
      </c>
      <c r="Z634" s="39" t="s">
        <v>872</v>
      </c>
      <c r="AB634" s="39">
        <v>4.0</v>
      </c>
    </row>
    <row r="635">
      <c r="A635" s="39" t="s">
        <v>1283</v>
      </c>
      <c r="B635" s="39" t="s">
        <v>1284</v>
      </c>
      <c r="C635" s="39">
        <v>4.0</v>
      </c>
      <c r="D635" s="41">
        <v>44046.541666666664</v>
      </c>
      <c r="E635" s="39" t="s">
        <v>1291</v>
      </c>
      <c r="F635" s="39" t="s">
        <v>1292</v>
      </c>
      <c r="G635" s="39" t="s">
        <v>1050</v>
      </c>
      <c r="H635" s="39">
        <v>820.0</v>
      </c>
      <c r="N635" s="39" t="s">
        <v>938</v>
      </c>
      <c r="R635" s="39" t="s">
        <v>832</v>
      </c>
      <c r="S635" s="39" t="s">
        <v>966</v>
      </c>
      <c r="T635" s="39" t="s">
        <v>741</v>
      </c>
      <c r="U635" s="39" t="s">
        <v>938</v>
      </c>
      <c r="X635" s="39" t="s">
        <v>1285</v>
      </c>
      <c r="Y635" s="39" t="s">
        <v>1115</v>
      </c>
      <c r="Z635" s="39" t="s">
        <v>872</v>
      </c>
      <c r="AB635" s="39">
        <v>4.0</v>
      </c>
    </row>
    <row r="636">
      <c r="A636" s="39" t="s">
        <v>1019</v>
      </c>
      <c r="B636" s="39" t="s">
        <v>1020</v>
      </c>
      <c r="C636" s="39">
        <v>2.11666666666666</v>
      </c>
      <c r="D636" s="41">
        <v>44047.0</v>
      </c>
      <c r="E636" s="39" t="s">
        <v>828</v>
      </c>
      <c r="F636" s="39" t="s">
        <v>829</v>
      </c>
      <c r="G636" s="39" t="s">
        <v>830</v>
      </c>
      <c r="H636" s="39">
        <v>820.0</v>
      </c>
      <c r="N636" s="39" t="s">
        <v>883</v>
      </c>
      <c r="R636" s="39" t="s">
        <v>1021</v>
      </c>
      <c r="S636" s="39" t="s">
        <v>833</v>
      </c>
      <c r="T636" s="39" t="s">
        <v>884</v>
      </c>
      <c r="U636" s="39" t="s">
        <v>883</v>
      </c>
      <c r="W636" s="39" t="s">
        <v>835</v>
      </c>
      <c r="X636" s="39" t="s">
        <v>1022</v>
      </c>
      <c r="Z636" s="39" t="s">
        <v>1023</v>
      </c>
      <c r="AB636" s="39">
        <v>2.11666666666666</v>
      </c>
      <c r="AC636" s="39">
        <v>0.0</v>
      </c>
      <c r="AD636" s="39">
        <v>0.0</v>
      </c>
    </row>
    <row r="637">
      <c r="A637" s="39" t="s">
        <v>1293</v>
      </c>
      <c r="B637" s="39" t="s">
        <v>1294</v>
      </c>
      <c r="C637" s="39">
        <v>0.55</v>
      </c>
      <c r="D637" s="41">
        <v>44047.0</v>
      </c>
      <c r="E637" s="39" t="s">
        <v>828</v>
      </c>
      <c r="F637" s="39" t="s">
        <v>829</v>
      </c>
      <c r="G637" s="39" t="s">
        <v>830</v>
      </c>
      <c r="H637" s="39">
        <v>820.0</v>
      </c>
      <c r="N637" s="39" t="s">
        <v>938</v>
      </c>
      <c r="R637" s="39" t="s">
        <v>832</v>
      </c>
      <c r="S637" s="39" t="s">
        <v>842</v>
      </c>
      <c r="T637" s="39" t="s">
        <v>741</v>
      </c>
      <c r="U637" s="39" t="s">
        <v>938</v>
      </c>
      <c r="X637" s="39" t="s">
        <v>1295</v>
      </c>
      <c r="Y637" s="39" t="s">
        <v>1074</v>
      </c>
      <c r="Z637" s="39" t="s">
        <v>828</v>
      </c>
      <c r="AB637" s="39">
        <v>0.55</v>
      </c>
    </row>
    <row r="638">
      <c r="A638" s="39" t="s">
        <v>1115</v>
      </c>
      <c r="B638" s="39" t="s">
        <v>1122</v>
      </c>
      <c r="C638" s="39">
        <v>0.583333333333333</v>
      </c>
      <c r="D638" s="41">
        <v>44047.0</v>
      </c>
      <c r="E638" s="39" t="s">
        <v>828</v>
      </c>
      <c r="F638" s="39" t="s">
        <v>829</v>
      </c>
      <c r="G638" s="39" t="s">
        <v>830</v>
      </c>
      <c r="H638" s="39">
        <v>820.0</v>
      </c>
      <c r="N638" s="39" t="s">
        <v>938</v>
      </c>
      <c r="R638" s="39" t="s">
        <v>72</v>
      </c>
      <c r="S638" s="39" t="s">
        <v>842</v>
      </c>
      <c r="T638" s="39" t="s">
        <v>741</v>
      </c>
      <c r="U638" s="39" t="s">
        <v>938</v>
      </c>
      <c r="X638" s="39" t="s">
        <v>1123</v>
      </c>
      <c r="Z638" s="39" t="s">
        <v>872</v>
      </c>
      <c r="AB638" s="39">
        <v>0.583333333333333</v>
      </c>
    </row>
    <row r="639">
      <c r="A639" s="39" t="s">
        <v>1262</v>
      </c>
      <c r="B639" s="39" t="s">
        <v>1263</v>
      </c>
      <c r="C639" s="39">
        <v>7.0</v>
      </c>
      <c r="D639" s="41">
        <v>44047.0</v>
      </c>
      <c r="E639" s="39" t="s">
        <v>1048</v>
      </c>
      <c r="F639" s="39" t="s">
        <v>1049</v>
      </c>
      <c r="G639" s="39" t="s">
        <v>1050</v>
      </c>
      <c r="H639" s="39">
        <v>820.0</v>
      </c>
      <c r="N639" s="39" t="s">
        <v>1051</v>
      </c>
      <c r="R639" s="39" t="s">
        <v>832</v>
      </c>
      <c r="S639" s="39" t="s">
        <v>842</v>
      </c>
      <c r="T639" s="39" t="s">
        <v>1053</v>
      </c>
      <c r="U639" s="39" t="s">
        <v>1051</v>
      </c>
      <c r="X639" s="39" t="s">
        <v>1296</v>
      </c>
      <c r="Y639" s="39" t="s">
        <v>1265</v>
      </c>
      <c r="Z639" s="39" t="s">
        <v>872</v>
      </c>
      <c r="AB639" s="39">
        <v>7.0</v>
      </c>
    </row>
    <row r="640">
      <c r="A640" s="39" t="s">
        <v>1297</v>
      </c>
      <c r="B640" s="39" t="s">
        <v>1298</v>
      </c>
      <c r="C640" s="39">
        <v>7.0</v>
      </c>
      <c r="D640" s="41">
        <v>44047.0</v>
      </c>
      <c r="E640" s="39" t="s">
        <v>1059</v>
      </c>
      <c r="F640" s="39" t="s">
        <v>1060</v>
      </c>
      <c r="G640" s="39" t="s">
        <v>1050</v>
      </c>
      <c r="H640" s="39">
        <v>820.0</v>
      </c>
      <c r="N640" s="39" t="s">
        <v>1051</v>
      </c>
      <c r="R640" s="39" t="s">
        <v>957</v>
      </c>
      <c r="S640" s="39" t="s">
        <v>1052</v>
      </c>
      <c r="T640" s="39" t="s">
        <v>1053</v>
      </c>
      <c r="U640" s="39" t="s">
        <v>1051</v>
      </c>
      <c r="X640" s="39" t="s">
        <v>1299</v>
      </c>
      <c r="Y640" s="39" t="s">
        <v>1300</v>
      </c>
      <c r="Z640" s="39" t="s">
        <v>872</v>
      </c>
      <c r="AB640" s="39">
        <v>7.0</v>
      </c>
    </row>
    <row r="641">
      <c r="A641" s="39" t="s">
        <v>1283</v>
      </c>
      <c r="B641" s="39" t="s">
        <v>1284</v>
      </c>
      <c r="C641" s="39">
        <v>4.0</v>
      </c>
      <c r="D641" s="41">
        <v>44047.333333333336</v>
      </c>
      <c r="E641" s="39" t="s">
        <v>1291</v>
      </c>
      <c r="F641" s="39" t="s">
        <v>1292</v>
      </c>
      <c r="G641" s="39" t="s">
        <v>1050</v>
      </c>
      <c r="H641" s="39">
        <v>820.0</v>
      </c>
      <c r="N641" s="39" t="s">
        <v>938</v>
      </c>
      <c r="R641" s="39" t="s">
        <v>832</v>
      </c>
      <c r="S641" s="39" t="s">
        <v>966</v>
      </c>
      <c r="T641" s="39" t="s">
        <v>741</v>
      </c>
      <c r="U641" s="39" t="s">
        <v>938</v>
      </c>
      <c r="X641" s="39" t="s">
        <v>1285</v>
      </c>
      <c r="Y641" s="39" t="s">
        <v>1115</v>
      </c>
      <c r="Z641" s="39" t="s">
        <v>872</v>
      </c>
      <c r="AB641" s="39">
        <v>4.0</v>
      </c>
    </row>
    <row r="642">
      <c r="A642" s="39" t="s">
        <v>1283</v>
      </c>
      <c r="B642" s="39" t="s">
        <v>1284</v>
      </c>
      <c r="C642" s="39">
        <v>4.0</v>
      </c>
      <c r="D642" s="41">
        <v>44047.541666666664</v>
      </c>
      <c r="E642" s="39" t="s">
        <v>1291</v>
      </c>
      <c r="F642" s="39" t="s">
        <v>1292</v>
      </c>
      <c r="G642" s="39" t="s">
        <v>1050</v>
      </c>
      <c r="H642" s="39">
        <v>820.0</v>
      </c>
      <c r="N642" s="39" t="s">
        <v>938</v>
      </c>
      <c r="R642" s="39" t="s">
        <v>832</v>
      </c>
      <c r="S642" s="39" t="s">
        <v>966</v>
      </c>
      <c r="T642" s="39" t="s">
        <v>741</v>
      </c>
      <c r="U642" s="39" t="s">
        <v>938</v>
      </c>
      <c r="X642" s="39" t="s">
        <v>1285</v>
      </c>
      <c r="Y642" s="39" t="s">
        <v>1115</v>
      </c>
      <c r="Z642" s="39" t="s">
        <v>872</v>
      </c>
      <c r="AB642" s="39">
        <v>4.0</v>
      </c>
    </row>
    <row r="643">
      <c r="A643" s="39" t="s">
        <v>933</v>
      </c>
      <c r="B643" s="39" t="s">
        <v>934</v>
      </c>
      <c r="C643" s="39">
        <v>0.333333333333333</v>
      </c>
      <c r="D643" s="41">
        <v>44048.0</v>
      </c>
      <c r="E643" s="39" t="s">
        <v>828</v>
      </c>
      <c r="F643" s="39" t="s">
        <v>829</v>
      </c>
      <c r="G643" s="39" t="s">
        <v>830</v>
      </c>
      <c r="H643" s="39">
        <v>820.0</v>
      </c>
      <c r="N643" s="39" t="s">
        <v>883</v>
      </c>
      <c r="R643" s="39" t="s">
        <v>832</v>
      </c>
      <c r="S643" s="39" t="s">
        <v>833</v>
      </c>
      <c r="T643" s="39" t="s">
        <v>884</v>
      </c>
      <c r="U643" s="39" t="s">
        <v>883</v>
      </c>
      <c r="W643" s="39" t="s">
        <v>96</v>
      </c>
      <c r="X643" s="39" t="s">
        <v>935</v>
      </c>
      <c r="Z643" s="39" t="s">
        <v>876</v>
      </c>
      <c r="AB643" s="39">
        <v>0.333333333333333</v>
      </c>
      <c r="AC643" s="39">
        <v>16.0</v>
      </c>
      <c r="AD643" s="39">
        <v>0.0</v>
      </c>
    </row>
    <row r="644">
      <c r="A644" s="39" t="s">
        <v>1301</v>
      </c>
      <c r="B644" s="39" t="s">
        <v>1302</v>
      </c>
      <c r="C644" s="39">
        <v>0.283333333333333</v>
      </c>
      <c r="D644" s="41">
        <v>44048.0</v>
      </c>
      <c r="E644" s="39" t="s">
        <v>828</v>
      </c>
      <c r="F644" s="39" t="s">
        <v>829</v>
      </c>
      <c r="G644" s="39" t="s">
        <v>830</v>
      </c>
      <c r="H644" s="39">
        <v>820.0</v>
      </c>
      <c r="N644" s="39" t="s">
        <v>938</v>
      </c>
      <c r="R644" s="39" t="s">
        <v>957</v>
      </c>
      <c r="S644" s="39" t="s">
        <v>966</v>
      </c>
      <c r="T644" s="39" t="s">
        <v>741</v>
      </c>
      <c r="U644" s="39" t="s">
        <v>938</v>
      </c>
      <c r="X644" s="39" t="s">
        <v>1303</v>
      </c>
      <c r="Y644" s="39" t="s">
        <v>1042</v>
      </c>
      <c r="Z644" s="39" t="s">
        <v>872</v>
      </c>
      <c r="AB644" s="39">
        <v>0.283333333333333</v>
      </c>
    </row>
    <row r="645">
      <c r="A645" s="39" t="s">
        <v>1019</v>
      </c>
      <c r="B645" s="39" t="s">
        <v>1020</v>
      </c>
      <c r="C645" s="39">
        <v>4.16666666666666</v>
      </c>
      <c r="D645" s="41">
        <v>44048.0</v>
      </c>
      <c r="E645" s="39" t="s">
        <v>828</v>
      </c>
      <c r="F645" s="39" t="s">
        <v>829</v>
      </c>
      <c r="G645" s="39" t="s">
        <v>830</v>
      </c>
      <c r="H645" s="39">
        <v>820.0</v>
      </c>
      <c r="N645" s="39" t="s">
        <v>883</v>
      </c>
      <c r="R645" s="39" t="s">
        <v>1021</v>
      </c>
      <c r="S645" s="39" t="s">
        <v>833</v>
      </c>
      <c r="T645" s="39" t="s">
        <v>884</v>
      </c>
      <c r="U645" s="39" t="s">
        <v>883</v>
      </c>
      <c r="W645" s="39" t="s">
        <v>835</v>
      </c>
      <c r="X645" s="39" t="s">
        <v>1022</v>
      </c>
      <c r="Z645" s="39" t="s">
        <v>1023</v>
      </c>
      <c r="AB645" s="39">
        <v>4.16666666666666</v>
      </c>
      <c r="AC645" s="39">
        <v>0.0</v>
      </c>
      <c r="AD645" s="39">
        <v>0.0</v>
      </c>
    </row>
    <row r="646">
      <c r="A646" s="39" t="s">
        <v>1016</v>
      </c>
      <c r="B646" s="39" t="s">
        <v>1017</v>
      </c>
      <c r="C646" s="39">
        <v>0.0833333333333333</v>
      </c>
      <c r="D646" s="41">
        <v>44048.0</v>
      </c>
      <c r="E646" s="39" t="s">
        <v>828</v>
      </c>
      <c r="F646" s="39" t="s">
        <v>829</v>
      </c>
      <c r="G646" s="39" t="s">
        <v>830</v>
      </c>
      <c r="H646" s="39">
        <v>820.0</v>
      </c>
      <c r="N646" s="39" t="s">
        <v>883</v>
      </c>
      <c r="R646" s="39" t="s">
        <v>832</v>
      </c>
      <c r="S646" s="39" t="s">
        <v>833</v>
      </c>
      <c r="T646" s="39" t="s">
        <v>884</v>
      </c>
      <c r="U646" s="39" t="s">
        <v>883</v>
      </c>
      <c r="W646" s="39" t="s">
        <v>928</v>
      </c>
      <c r="X646" s="39" t="s">
        <v>1018</v>
      </c>
      <c r="Z646" s="39" t="s">
        <v>876</v>
      </c>
      <c r="AB646" s="39">
        <v>0.0833333333333333</v>
      </c>
      <c r="AC646" s="39">
        <v>8.0</v>
      </c>
      <c r="AD646" s="39">
        <v>0.0</v>
      </c>
    </row>
    <row r="647">
      <c r="A647" s="39" t="s">
        <v>1112</v>
      </c>
      <c r="B647" s="39" t="s">
        <v>1113</v>
      </c>
      <c r="C647" s="39">
        <v>0.2</v>
      </c>
      <c r="D647" s="41">
        <v>44048.0</v>
      </c>
      <c r="E647" s="39" t="s">
        <v>828</v>
      </c>
      <c r="F647" s="39" t="s">
        <v>829</v>
      </c>
      <c r="G647" s="39" t="s">
        <v>830</v>
      </c>
      <c r="H647" s="39">
        <v>820.0</v>
      </c>
      <c r="N647" s="39" t="s">
        <v>938</v>
      </c>
      <c r="R647" s="39" t="s">
        <v>832</v>
      </c>
      <c r="S647" s="39" t="s">
        <v>889</v>
      </c>
      <c r="T647" s="39" t="s">
        <v>741</v>
      </c>
      <c r="U647" s="39" t="s">
        <v>938</v>
      </c>
      <c r="X647" s="39" t="s">
        <v>1114</v>
      </c>
      <c r="Y647" s="39" t="s">
        <v>1115</v>
      </c>
      <c r="Z647" s="39" t="s">
        <v>872</v>
      </c>
      <c r="AB647" s="39">
        <v>0.2</v>
      </c>
    </row>
    <row r="648">
      <c r="A648" s="39" t="s">
        <v>1115</v>
      </c>
      <c r="B648" s="39" t="s">
        <v>1122</v>
      </c>
      <c r="C648" s="39">
        <v>0.283333333333333</v>
      </c>
      <c r="D648" s="41">
        <v>44048.0</v>
      </c>
      <c r="E648" s="39" t="s">
        <v>828</v>
      </c>
      <c r="F648" s="39" t="s">
        <v>829</v>
      </c>
      <c r="G648" s="39" t="s">
        <v>830</v>
      </c>
      <c r="H648" s="39">
        <v>820.0</v>
      </c>
      <c r="N648" s="39" t="s">
        <v>938</v>
      </c>
      <c r="R648" s="39" t="s">
        <v>72</v>
      </c>
      <c r="S648" s="39" t="s">
        <v>842</v>
      </c>
      <c r="T648" s="39" t="s">
        <v>741</v>
      </c>
      <c r="U648" s="39" t="s">
        <v>938</v>
      </c>
      <c r="X648" s="39" t="s">
        <v>1123</v>
      </c>
      <c r="Z648" s="39" t="s">
        <v>872</v>
      </c>
      <c r="AB648" s="39">
        <v>0.283333333333333</v>
      </c>
    </row>
    <row r="649">
      <c r="A649" s="39" t="s">
        <v>933</v>
      </c>
      <c r="B649" s="39" t="s">
        <v>934</v>
      </c>
      <c r="C649" s="39">
        <v>1.0</v>
      </c>
      <c r="D649" s="41">
        <v>44048.0</v>
      </c>
      <c r="E649" s="39" t="s">
        <v>837</v>
      </c>
      <c r="F649" s="39" t="s">
        <v>886</v>
      </c>
      <c r="G649" s="39" t="s">
        <v>849</v>
      </c>
      <c r="H649" s="39">
        <v>820.0</v>
      </c>
      <c r="N649" s="39" t="s">
        <v>883</v>
      </c>
      <c r="R649" s="39" t="s">
        <v>832</v>
      </c>
      <c r="S649" s="39" t="s">
        <v>833</v>
      </c>
      <c r="T649" s="39" t="s">
        <v>884</v>
      </c>
      <c r="U649" s="39" t="s">
        <v>883</v>
      </c>
      <c r="W649" s="39" t="s">
        <v>96</v>
      </c>
      <c r="X649" s="39" t="s">
        <v>935</v>
      </c>
      <c r="Z649" s="39" t="s">
        <v>876</v>
      </c>
      <c r="AB649" s="39">
        <v>1.0</v>
      </c>
      <c r="AC649" s="39">
        <v>16.0</v>
      </c>
      <c r="AD649" s="39">
        <v>0.0</v>
      </c>
    </row>
    <row r="650">
      <c r="A650" s="39" t="s">
        <v>1304</v>
      </c>
      <c r="B650" s="39" t="s">
        <v>1305</v>
      </c>
      <c r="C650" s="39">
        <v>7.0</v>
      </c>
      <c r="D650" s="41">
        <v>44048.0</v>
      </c>
      <c r="E650" s="39" t="s">
        <v>1048</v>
      </c>
      <c r="F650" s="39" t="s">
        <v>1049</v>
      </c>
      <c r="G650" s="39" t="s">
        <v>1050</v>
      </c>
      <c r="H650" s="39">
        <v>820.0</v>
      </c>
      <c r="N650" s="39" t="s">
        <v>1051</v>
      </c>
      <c r="R650" s="39" t="s">
        <v>957</v>
      </c>
      <c r="S650" s="39" t="s">
        <v>1274</v>
      </c>
      <c r="T650" s="39" t="s">
        <v>1053</v>
      </c>
      <c r="U650" s="39" t="s">
        <v>1051</v>
      </c>
      <c r="X650" s="39" t="s">
        <v>1306</v>
      </c>
      <c r="Y650" s="39" t="s">
        <v>1276</v>
      </c>
      <c r="Z650" s="39" t="s">
        <v>872</v>
      </c>
      <c r="AB650" s="39">
        <v>7.0</v>
      </c>
    </row>
    <row r="651">
      <c r="A651" s="39" t="s">
        <v>1307</v>
      </c>
      <c r="B651" s="39" t="s">
        <v>1308</v>
      </c>
      <c r="C651" s="39">
        <v>8.0</v>
      </c>
      <c r="D651" s="41">
        <v>44048.0</v>
      </c>
      <c r="E651" s="39" t="s">
        <v>1059</v>
      </c>
      <c r="F651" s="39" t="s">
        <v>1060</v>
      </c>
      <c r="G651" s="39" t="s">
        <v>1050</v>
      </c>
      <c r="H651" s="39">
        <v>820.0</v>
      </c>
      <c r="N651" s="39" t="s">
        <v>1051</v>
      </c>
      <c r="R651" s="39" t="s">
        <v>957</v>
      </c>
      <c r="S651" s="39" t="s">
        <v>1052</v>
      </c>
      <c r="T651" s="39" t="s">
        <v>1053</v>
      </c>
      <c r="U651" s="39" t="s">
        <v>1051</v>
      </c>
      <c r="X651" s="39" t="s">
        <v>1309</v>
      </c>
      <c r="Y651" s="39" t="s">
        <v>1128</v>
      </c>
      <c r="Z651" s="39" t="s">
        <v>872</v>
      </c>
      <c r="AB651" s="39">
        <v>8.0</v>
      </c>
    </row>
    <row r="652">
      <c r="A652" s="39" t="s">
        <v>1283</v>
      </c>
      <c r="B652" s="39" t="s">
        <v>1284</v>
      </c>
      <c r="C652" s="39">
        <v>4.0</v>
      </c>
      <c r="D652" s="41">
        <v>44048.333333333336</v>
      </c>
      <c r="E652" s="39" t="s">
        <v>1291</v>
      </c>
      <c r="F652" s="39" t="s">
        <v>1292</v>
      </c>
      <c r="G652" s="39" t="s">
        <v>1050</v>
      </c>
      <c r="H652" s="39">
        <v>820.0</v>
      </c>
      <c r="N652" s="39" t="s">
        <v>938</v>
      </c>
      <c r="R652" s="39" t="s">
        <v>832</v>
      </c>
      <c r="S652" s="39" t="s">
        <v>966</v>
      </c>
      <c r="T652" s="39" t="s">
        <v>741</v>
      </c>
      <c r="U652" s="39" t="s">
        <v>938</v>
      </c>
      <c r="X652" s="39" t="s">
        <v>1285</v>
      </c>
      <c r="Y652" s="39" t="s">
        <v>1115</v>
      </c>
      <c r="Z652" s="39" t="s">
        <v>872</v>
      </c>
      <c r="AB652" s="39">
        <v>4.0</v>
      </c>
    </row>
    <row r="653">
      <c r="A653" s="39" t="s">
        <v>1283</v>
      </c>
      <c r="B653" s="39" t="s">
        <v>1284</v>
      </c>
      <c r="C653" s="39">
        <v>4.0</v>
      </c>
      <c r="D653" s="41">
        <v>44048.541666666664</v>
      </c>
      <c r="E653" s="39" t="s">
        <v>1291</v>
      </c>
      <c r="F653" s="39" t="s">
        <v>1292</v>
      </c>
      <c r="G653" s="39" t="s">
        <v>1050</v>
      </c>
      <c r="H653" s="39">
        <v>820.0</v>
      </c>
      <c r="N653" s="39" t="s">
        <v>938</v>
      </c>
      <c r="R653" s="39" t="s">
        <v>832</v>
      </c>
      <c r="S653" s="39" t="s">
        <v>966</v>
      </c>
      <c r="T653" s="39" t="s">
        <v>741</v>
      </c>
      <c r="U653" s="39" t="s">
        <v>938</v>
      </c>
      <c r="X653" s="39" t="s">
        <v>1285</v>
      </c>
      <c r="Y653" s="39" t="s">
        <v>1115</v>
      </c>
      <c r="Z653" s="39" t="s">
        <v>872</v>
      </c>
      <c r="AB653" s="39">
        <v>4.0</v>
      </c>
    </row>
    <row r="654">
      <c r="A654" s="39" t="s">
        <v>933</v>
      </c>
      <c r="B654" s="39" t="s">
        <v>934</v>
      </c>
      <c r="C654" s="39">
        <v>0.416666666666666</v>
      </c>
      <c r="D654" s="41">
        <v>44048.686111111114</v>
      </c>
      <c r="E654" s="39" t="s">
        <v>847</v>
      </c>
      <c r="F654" s="39" t="s">
        <v>848</v>
      </c>
      <c r="G654" s="39" t="s">
        <v>849</v>
      </c>
      <c r="H654" s="39">
        <v>820.0</v>
      </c>
      <c r="N654" s="39" t="s">
        <v>883</v>
      </c>
      <c r="R654" s="39" t="s">
        <v>832</v>
      </c>
      <c r="S654" s="39" t="s">
        <v>833</v>
      </c>
      <c r="T654" s="39" t="s">
        <v>884</v>
      </c>
      <c r="U654" s="39" t="s">
        <v>883</v>
      </c>
      <c r="W654" s="39" t="s">
        <v>96</v>
      </c>
      <c r="X654" s="39" t="s">
        <v>935</v>
      </c>
      <c r="Z654" s="39" t="s">
        <v>876</v>
      </c>
      <c r="AB654" s="39">
        <v>0.416666666666666</v>
      </c>
      <c r="AC654" s="39">
        <v>16.0</v>
      </c>
      <c r="AD654" s="39">
        <v>0.0</v>
      </c>
    </row>
    <row r="655">
      <c r="A655" s="39" t="s">
        <v>933</v>
      </c>
      <c r="B655" s="39" t="s">
        <v>934</v>
      </c>
      <c r="C655" s="39">
        <v>0.65</v>
      </c>
      <c r="D655" s="41">
        <v>44049.0</v>
      </c>
      <c r="E655" s="39" t="s">
        <v>828</v>
      </c>
      <c r="F655" s="39" t="s">
        <v>829</v>
      </c>
      <c r="G655" s="39" t="s">
        <v>830</v>
      </c>
      <c r="H655" s="39">
        <v>820.0</v>
      </c>
      <c r="N655" s="39" t="s">
        <v>883</v>
      </c>
      <c r="R655" s="39" t="s">
        <v>832</v>
      </c>
      <c r="S655" s="39" t="s">
        <v>833</v>
      </c>
      <c r="T655" s="39" t="s">
        <v>884</v>
      </c>
      <c r="U655" s="39" t="s">
        <v>883</v>
      </c>
      <c r="W655" s="39" t="s">
        <v>96</v>
      </c>
      <c r="X655" s="39" t="s">
        <v>935</v>
      </c>
      <c r="Z655" s="39" t="s">
        <v>876</v>
      </c>
      <c r="AB655" s="39">
        <v>0.65</v>
      </c>
      <c r="AC655" s="39">
        <v>16.0</v>
      </c>
      <c r="AD655" s="39">
        <v>0.0</v>
      </c>
    </row>
    <row r="656">
      <c r="A656" s="39" t="s">
        <v>1115</v>
      </c>
      <c r="B656" s="39" t="s">
        <v>1122</v>
      </c>
      <c r="C656" s="39">
        <v>0.4</v>
      </c>
      <c r="D656" s="41">
        <v>44049.0</v>
      </c>
      <c r="E656" s="39" t="s">
        <v>828</v>
      </c>
      <c r="F656" s="39" t="s">
        <v>829</v>
      </c>
      <c r="G656" s="39" t="s">
        <v>830</v>
      </c>
      <c r="H656" s="39">
        <v>820.0</v>
      </c>
      <c r="N656" s="39" t="s">
        <v>938</v>
      </c>
      <c r="R656" s="39" t="s">
        <v>72</v>
      </c>
      <c r="S656" s="39" t="s">
        <v>842</v>
      </c>
      <c r="T656" s="39" t="s">
        <v>741</v>
      </c>
      <c r="U656" s="39" t="s">
        <v>938</v>
      </c>
      <c r="X656" s="39" t="s">
        <v>1123</v>
      </c>
      <c r="Z656" s="39" t="s">
        <v>872</v>
      </c>
      <c r="AB656" s="39">
        <v>0.4</v>
      </c>
    </row>
    <row r="657">
      <c r="A657" s="39" t="s">
        <v>1310</v>
      </c>
      <c r="B657" s="39" t="s">
        <v>1311</v>
      </c>
      <c r="C657" s="39">
        <v>5.0</v>
      </c>
      <c r="D657" s="41">
        <v>44049.0</v>
      </c>
      <c r="E657" s="39" t="s">
        <v>1048</v>
      </c>
      <c r="F657" s="39" t="s">
        <v>1049</v>
      </c>
      <c r="G657" s="39" t="s">
        <v>1050</v>
      </c>
      <c r="H657" s="39">
        <v>820.0</v>
      </c>
      <c r="N657" s="39" t="s">
        <v>1051</v>
      </c>
      <c r="R657" s="39" t="s">
        <v>957</v>
      </c>
      <c r="S657" s="39" t="s">
        <v>1274</v>
      </c>
      <c r="T657" s="39" t="s">
        <v>1053</v>
      </c>
      <c r="U657" s="39" t="s">
        <v>1051</v>
      </c>
      <c r="X657" s="39" t="s">
        <v>1312</v>
      </c>
      <c r="Y657" s="39" t="s">
        <v>1313</v>
      </c>
      <c r="Z657" s="39" t="s">
        <v>1048</v>
      </c>
      <c r="AB657" s="39">
        <v>5.0</v>
      </c>
    </row>
    <row r="658">
      <c r="A658" s="39" t="s">
        <v>1314</v>
      </c>
      <c r="B658" s="39" t="s">
        <v>1315</v>
      </c>
      <c r="C658" s="39">
        <v>2.0</v>
      </c>
      <c r="D658" s="41">
        <v>44049.0</v>
      </c>
      <c r="E658" s="39" t="s">
        <v>1048</v>
      </c>
      <c r="F658" s="39" t="s">
        <v>1049</v>
      </c>
      <c r="G658" s="39" t="s">
        <v>1050</v>
      </c>
      <c r="H658" s="39">
        <v>820.0</v>
      </c>
      <c r="N658" s="39" t="s">
        <v>1051</v>
      </c>
      <c r="R658" s="39" t="s">
        <v>957</v>
      </c>
      <c r="S658" s="39" t="s">
        <v>1274</v>
      </c>
      <c r="T658" s="39" t="s">
        <v>1053</v>
      </c>
      <c r="U658" s="39" t="s">
        <v>1051</v>
      </c>
      <c r="X658" s="39" t="s">
        <v>1316</v>
      </c>
      <c r="Y658" s="39" t="s">
        <v>1276</v>
      </c>
      <c r="Z658" s="39" t="s">
        <v>1048</v>
      </c>
      <c r="AB658" s="39">
        <v>2.0</v>
      </c>
    </row>
    <row r="659">
      <c r="A659" s="39" t="s">
        <v>1317</v>
      </c>
      <c r="B659" s="39" t="s">
        <v>1318</v>
      </c>
      <c r="C659" s="39">
        <v>8.0</v>
      </c>
      <c r="D659" s="41">
        <v>44049.0</v>
      </c>
      <c r="E659" s="39" t="s">
        <v>1059</v>
      </c>
      <c r="F659" s="39" t="s">
        <v>1060</v>
      </c>
      <c r="G659" s="39" t="s">
        <v>1050</v>
      </c>
      <c r="H659" s="39">
        <v>820.0</v>
      </c>
      <c r="N659" s="39" t="s">
        <v>1051</v>
      </c>
      <c r="R659" s="39" t="s">
        <v>832</v>
      </c>
      <c r="S659" s="39" t="s">
        <v>1052</v>
      </c>
      <c r="T659" s="39" t="s">
        <v>1053</v>
      </c>
      <c r="U659" s="39" t="s">
        <v>1051</v>
      </c>
      <c r="X659" s="39" t="s">
        <v>1319</v>
      </c>
      <c r="Y659" s="39" t="s">
        <v>1131</v>
      </c>
      <c r="Z659" s="39" t="s">
        <v>872</v>
      </c>
      <c r="AB659" s="39">
        <v>8.0</v>
      </c>
    </row>
    <row r="660">
      <c r="A660" s="39" t="s">
        <v>1283</v>
      </c>
      <c r="B660" s="39" t="s">
        <v>1284</v>
      </c>
      <c r="C660" s="39">
        <v>4.0</v>
      </c>
      <c r="D660" s="41">
        <v>44049.333333333336</v>
      </c>
      <c r="E660" s="39" t="s">
        <v>1291</v>
      </c>
      <c r="F660" s="39" t="s">
        <v>1292</v>
      </c>
      <c r="G660" s="39" t="s">
        <v>1050</v>
      </c>
      <c r="H660" s="39">
        <v>820.0</v>
      </c>
      <c r="N660" s="39" t="s">
        <v>938</v>
      </c>
      <c r="R660" s="39" t="s">
        <v>832</v>
      </c>
      <c r="S660" s="39" t="s">
        <v>966</v>
      </c>
      <c r="T660" s="39" t="s">
        <v>741</v>
      </c>
      <c r="U660" s="39" t="s">
        <v>938</v>
      </c>
      <c r="X660" s="39" t="s">
        <v>1285</v>
      </c>
      <c r="Y660" s="39" t="s">
        <v>1115</v>
      </c>
      <c r="Z660" s="39" t="s">
        <v>872</v>
      </c>
      <c r="AB660" s="39">
        <v>4.0</v>
      </c>
    </row>
    <row r="661">
      <c r="A661" s="39" t="s">
        <v>1283</v>
      </c>
      <c r="B661" s="39" t="s">
        <v>1284</v>
      </c>
      <c r="C661" s="39">
        <v>4.0</v>
      </c>
      <c r="D661" s="41">
        <v>44049.541666666664</v>
      </c>
      <c r="E661" s="39" t="s">
        <v>1291</v>
      </c>
      <c r="F661" s="39" t="s">
        <v>1292</v>
      </c>
      <c r="G661" s="39" t="s">
        <v>1050</v>
      </c>
      <c r="H661" s="39">
        <v>820.0</v>
      </c>
      <c r="N661" s="39" t="s">
        <v>938</v>
      </c>
      <c r="R661" s="39" t="s">
        <v>832</v>
      </c>
      <c r="S661" s="39" t="s">
        <v>966</v>
      </c>
      <c r="T661" s="39" t="s">
        <v>741</v>
      </c>
      <c r="U661" s="39" t="s">
        <v>938</v>
      </c>
      <c r="X661" s="39" t="s">
        <v>1285</v>
      </c>
      <c r="Y661" s="39" t="s">
        <v>1115</v>
      </c>
      <c r="Z661" s="39" t="s">
        <v>872</v>
      </c>
      <c r="AB661" s="39">
        <v>4.0</v>
      </c>
    </row>
    <row r="662">
      <c r="A662" s="39" t="s">
        <v>1009</v>
      </c>
      <c r="B662" s="39" t="s">
        <v>1010</v>
      </c>
      <c r="C662" s="39">
        <v>0.0833333333333333</v>
      </c>
      <c r="D662" s="41">
        <v>44050.0</v>
      </c>
      <c r="E662" s="39" t="s">
        <v>828</v>
      </c>
      <c r="F662" s="39" t="s">
        <v>829</v>
      </c>
      <c r="G662" s="39" t="s">
        <v>830</v>
      </c>
      <c r="H662" s="39">
        <v>820.0</v>
      </c>
      <c r="N662" s="39" t="s">
        <v>883</v>
      </c>
      <c r="R662" s="39" t="s">
        <v>832</v>
      </c>
      <c r="S662" s="39" t="s">
        <v>833</v>
      </c>
      <c r="T662" s="39" t="s">
        <v>884</v>
      </c>
      <c r="U662" s="39" t="s">
        <v>883</v>
      </c>
      <c r="W662" s="39" t="s">
        <v>904</v>
      </c>
      <c r="X662" s="39" t="s">
        <v>1011</v>
      </c>
      <c r="Z662" s="39" t="s">
        <v>900</v>
      </c>
      <c r="AB662" s="39">
        <v>0.0833333333333333</v>
      </c>
      <c r="AC662" s="39">
        <v>3.0</v>
      </c>
      <c r="AD662" s="39">
        <v>0.0</v>
      </c>
    </row>
    <row r="663">
      <c r="A663" s="39" t="s">
        <v>933</v>
      </c>
      <c r="B663" s="39" t="s">
        <v>934</v>
      </c>
      <c r="C663" s="39">
        <v>0.333333333333333</v>
      </c>
      <c r="D663" s="41">
        <v>44050.0</v>
      </c>
      <c r="E663" s="39" t="s">
        <v>837</v>
      </c>
      <c r="F663" s="39" t="s">
        <v>886</v>
      </c>
      <c r="G663" s="39" t="s">
        <v>849</v>
      </c>
      <c r="H663" s="39">
        <v>820.0</v>
      </c>
      <c r="N663" s="39" t="s">
        <v>883</v>
      </c>
      <c r="R663" s="39" t="s">
        <v>832</v>
      </c>
      <c r="S663" s="39" t="s">
        <v>833</v>
      </c>
      <c r="T663" s="39" t="s">
        <v>884</v>
      </c>
      <c r="U663" s="39" t="s">
        <v>883</v>
      </c>
      <c r="W663" s="39" t="s">
        <v>96</v>
      </c>
      <c r="X663" s="39" t="s">
        <v>935</v>
      </c>
      <c r="Z663" s="39" t="s">
        <v>876</v>
      </c>
      <c r="AB663" s="39">
        <v>0.333333333333333</v>
      </c>
      <c r="AC663" s="39">
        <v>16.0</v>
      </c>
      <c r="AD663" s="39">
        <v>0.0</v>
      </c>
    </row>
    <row r="664">
      <c r="A664" s="39" t="s">
        <v>1009</v>
      </c>
      <c r="B664" s="39" t="s">
        <v>1010</v>
      </c>
      <c r="C664" s="39">
        <v>0.833333333333333</v>
      </c>
      <c r="D664" s="41">
        <v>44050.0</v>
      </c>
      <c r="E664" s="39" t="s">
        <v>837</v>
      </c>
      <c r="F664" s="39" t="s">
        <v>886</v>
      </c>
      <c r="G664" s="39" t="s">
        <v>849</v>
      </c>
      <c r="H664" s="39">
        <v>820.0</v>
      </c>
      <c r="N664" s="39" t="s">
        <v>883</v>
      </c>
      <c r="R664" s="39" t="s">
        <v>832</v>
      </c>
      <c r="S664" s="39" t="s">
        <v>833</v>
      </c>
      <c r="T664" s="39" t="s">
        <v>884</v>
      </c>
      <c r="U664" s="39" t="s">
        <v>883</v>
      </c>
      <c r="W664" s="39" t="s">
        <v>904</v>
      </c>
      <c r="X664" s="39" t="s">
        <v>1011</v>
      </c>
      <c r="Z664" s="39" t="s">
        <v>900</v>
      </c>
      <c r="AB664" s="39">
        <v>0.833333333333333</v>
      </c>
      <c r="AC664" s="39">
        <v>3.0</v>
      </c>
      <c r="AD664" s="39">
        <v>0.0</v>
      </c>
    </row>
    <row r="665">
      <c r="A665" s="39" t="s">
        <v>1320</v>
      </c>
      <c r="B665" s="39" t="s">
        <v>1321</v>
      </c>
      <c r="C665" s="39">
        <v>5.0</v>
      </c>
      <c r="D665" s="41">
        <v>44050.0</v>
      </c>
      <c r="E665" s="39" t="s">
        <v>1048</v>
      </c>
      <c r="F665" s="39" t="s">
        <v>1049</v>
      </c>
      <c r="G665" s="39" t="s">
        <v>1050</v>
      </c>
      <c r="H665" s="39">
        <v>820.0</v>
      </c>
      <c r="N665" s="39" t="s">
        <v>1051</v>
      </c>
      <c r="R665" s="39" t="s">
        <v>957</v>
      </c>
      <c r="S665" s="39" t="s">
        <v>1274</v>
      </c>
      <c r="T665" s="39" t="s">
        <v>1053</v>
      </c>
      <c r="U665" s="39" t="s">
        <v>1051</v>
      </c>
      <c r="X665" s="39" t="s">
        <v>1322</v>
      </c>
      <c r="Y665" s="39" t="s">
        <v>1313</v>
      </c>
      <c r="Z665" s="39" t="s">
        <v>1048</v>
      </c>
      <c r="AB665" s="39">
        <v>5.0</v>
      </c>
    </row>
    <row r="666">
      <c r="A666" s="39" t="s">
        <v>1310</v>
      </c>
      <c r="B666" s="39" t="s">
        <v>1311</v>
      </c>
      <c r="C666" s="39">
        <v>2.0</v>
      </c>
      <c r="D666" s="41">
        <v>44050.0</v>
      </c>
      <c r="E666" s="39" t="s">
        <v>1048</v>
      </c>
      <c r="F666" s="39" t="s">
        <v>1049</v>
      </c>
      <c r="G666" s="39" t="s">
        <v>1050</v>
      </c>
      <c r="H666" s="39">
        <v>820.0</v>
      </c>
      <c r="N666" s="39" t="s">
        <v>1051</v>
      </c>
      <c r="R666" s="39" t="s">
        <v>957</v>
      </c>
      <c r="S666" s="39" t="s">
        <v>1274</v>
      </c>
      <c r="T666" s="39" t="s">
        <v>1053</v>
      </c>
      <c r="U666" s="39" t="s">
        <v>1051</v>
      </c>
      <c r="X666" s="39" t="s">
        <v>1323</v>
      </c>
      <c r="Y666" s="39" t="s">
        <v>1313</v>
      </c>
      <c r="Z666" s="39" t="s">
        <v>1048</v>
      </c>
      <c r="AB666" s="39">
        <v>2.0</v>
      </c>
    </row>
    <row r="667">
      <c r="A667" s="39" t="s">
        <v>1317</v>
      </c>
      <c r="B667" s="39" t="s">
        <v>1318</v>
      </c>
      <c r="C667" s="39">
        <v>7.0</v>
      </c>
      <c r="D667" s="41">
        <v>44050.0</v>
      </c>
      <c r="E667" s="39" t="s">
        <v>1059</v>
      </c>
      <c r="F667" s="39" t="s">
        <v>1060</v>
      </c>
      <c r="G667" s="39" t="s">
        <v>1050</v>
      </c>
      <c r="H667" s="39">
        <v>820.0</v>
      </c>
      <c r="N667" s="39" t="s">
        <v>1051</v>
      </c>
      <c r="R667" s="39" t="s">
        <v>832</v>
      </c>
      <c r="S667" s="39" t="s">
        <v>1052</v>
      </c>
      <c r="T667" s="39" t="s">
        <v>1053</v>
      </c>
      <c r="U667" s="39" t="s">
        <v>1051</v>
      </c>
      <c r="X667" s="39" t="s">
        <v>1324</v>
      </c>
      <c r="Y667" s="39" t="s">
        <v>1131</v>
      </c>
      <c r="Z667" s="39" t="s">
        <v>872</v>
      </c>
      <c r="AB667" s="39">
        <v>7.0</v>
      </c>
    </row>
    <row r="668">
      <c r="A668" s="39" t="s">
        <v>1283</v>
      </c>
      <c r="B668" s="39" t="s">
        <v>1284</v>
      </c>
      <c r="C668" s="39">
        <v>4.0</v>
      </c>
      <c r="D668" s="41">
        <v>44050.333333333336</v>
      </c>
      <c r="E668" s="39" t="s">
        <v>1291</v>
      </c>
      <c r="F668" s="39" t="s">
        <v>1292</v>
      </c>
      <c r="G668" s="39" t="s">
        <v>1050</v>
      </c>
      <c r="H668" s="39">
        <v>820.0</v>
      </c>
      <c r="N668" s="39" t="s">
        <v>938</v>
      </c>
      <c r="R668" s="39" t="s">
        <v>832</v>
      </c>
      <c r="S668" s="39" t="s">
        <v>966</v>
      </c>
      <c r="T668" s="39" t="s">
        <v>741</v>
      </c>
      <c r="U668" s="39" t="s">
        <v>938</v>
      </c>
      <c r="X668" s="39" t="s">
        <v>1285</v>
      </c>
      <c r="Y668" s="39" t="s">
        <v>1115</v>
      </c>
      <c r="Z668" s="39" t="s">
        <v>872</v>
      </c>
      <c r="AB668" s="39">
        <v>4.0</v>
      </c>
    </row>
    <row r="669">
      <c r="A669" s="39" t="s">
        <v>1283</v>
      </c>
      <c r="B669" s="39" t="s">
        <v>1284</v>
      </c>
      <c r="C669" s="39">
        <v>4.0</v>
      </c>
      <c r="D669" s="41">
        <v>44050.541666666664</v>
      </c>
      <c r="E669" s="39" t="s">
        <v>1291</v>
      </c>
      <c r="F669" s="39" t="s">
        <v>1292</v>
      </c>
      <c r="G669" s="39" t="s">
        <v>1050</v>
      </c>
      <c r="H669" s="39">
        <v>820.0</v>
      </c>
      <c r="N669" s="39" t="s">
        <v>938</v>
      </c>
      <c r="R669" s="39" t="s">
        <v>832</v>
      </c>
      <c r="S669" s="39" t="s">
        <v>966</v>
      </c>
      <c r="T669" s="39" t="s">
        <v>741</v>
      </c>
      <c r="U669" s="39" t="s">
        <v>938</v>
      </c>
      <c r="X669" s="39" t="s">
        <v>1285</v>
      </c>
      <c r="Y669" s="39" t="s">
        <v>1115</v>
      </c>
      <c r="Z669" s="39" t="s">
        <v>872</v>
      </c>
      <c r="AB669" s="39">
        <v>4.0</v>
      </c>
    </row>
    <row r="670">
      <c r="A670" s="39" t="s">
        <v>1283</v>
      </c>
      <c r="B670" s="39" t="s">
        <v>1284</v>
      </c>
      <c r="C670" s="39">
        <v>0.266666666666666</v>
      </c>
      <c r="D670" s="41">
        <v>44053.0</v>
      </c>
      <c r="E670" s="39" t="s">
        <v>828</v>
      </c>
      <c r="F670" s="39" t="s">
        <v>829</v>
      </c>
      <c r="G670" s="39" t="s">
        <v>830</v>
      </c>
      <c r="H670" s="39">
        <v>820.0</v>
      </c>
      <c r="N670" s="39" t="s">
        <v>938</v>
      </c>
      <c r="R670" s="39" t="s">
        <v>832</v>
      </c>
      <c r="S670" s="39" t="s">
        <v>966</v>
      </c>
      <c r="T670" s="39" t="s">
        <v>741</v>
      </c>
      <c r="U670" s="39" t="s">
        <v>938</v>
      </c>
      <c r="X670" s="39" t="s">
        <v>1285</v>
      </c>
      <c r="Y670" s="39" t="s">
        <v>1115</v>
      </c>
      <c r="Z670" s="39" t="s">
        <v>872</v>
      </c>
      <c r="AB670" s="39">
        <v>0.266666666666666</v>
      </c>
    </row>
    <row r="671">
      <c r="A671" s="39" t="s">
        <v>1009</v>
      </c>
      <c r="B671" s="39" t="s">
        <v>1010</v>
      </c>
      <c r="C671" s="39">
        <v>0.5</v>
      </c>
      <c r="D671" s="41">
        <v>44053.0</v>
      </c>
      <c r="E671" s="39" t="s">
        <v>828</v>
      </c>
      <c r="F671" s="39" t="s">
        <v>829</v>
      </c>
      <c r="G671" s="39" t="s">
        <v>830</v>
      </c>
      <c r="H671" s="39">
        <v>820.0</v>
      </c>
      <c r="N671" s="39" t="s">
        <v>883</v>
      </c>
      <c r="R671" s="39" t="s">
        <v>832</v>
      </c>
      <c r="S671" s="39" t="s">
        <v>833</v>
      </c>
      <c r="T671" s="39" t="s">
        <v>884</v>
      </c>
      <c r="U671" s="39" t="s">
        <v>883</v>
      </c>
      <c r="W671" s="39" t="s">
        <v>904</v>
      </c>
      <c r="X671" s="39" t="s">
        <v>1011</v>
      </c>
      <c r="Z671" s="39" t="s">
        <v>900</v>
      </c>
      <c r="AB671" s="39">
        <v>0.5</v>
      </c>
      <c r="AC671" s="39">
        <v>3.0</v>
      </c>
      <c r="AD671" s="39">
        <v>0.0</v>
      </c>
    </row>
    <row r="672">
      <c r="A672" s="39" t="s">
        <v>1115</v>
      </c>
      <c r="B672" s="39" t="s">
        <v>1122</v>
      </c>
      <c r="C672" s="39">
        <v>0.5</v>
      </c>
      <c r="D672" s="41">
        <v>44053.0</v>
      </c>
      <c r="E672" s="39" t="s">
        <v>828</v>
      </c>
      <c r="F672" s="39" t="s">
        <v>829</v>
      </c>
      <c r="G672" s="39" t="s">
        <v>830</v>
      </c>
      <c r="H672" s="39">
        <v>820.0</v>
      </c>
      <c r="N672" s="39" t="s">
        <v>938</v>
      </c>
      <c r="R672" s="39" t="s">
        <v>72</v>
      </c>
      <c r="S672" s="39" t="s">
        <v>842</v>
      </c>
      <c r="T672" s="39" t="s">
        <v>741</v>
      </c>
      <c r="U672" s="39" t="s">
        <v>938</v>
      </c>
      <c r="X672" s="39" t="s">
        <v>1123</v>
      </c>
      <c r="Z672" s="39" t="s">
        <v>872</v>
      </c>
      <c r="AB672" s="39">
        <v>0.5</v>
      </c>
    </row>
    <row r="673">
      <c r="A673" s="39" t="s">
        <v>1313</v>
      </c>
      <c r="B673" s="39" t="s">
        <v>1325</v>
      </c>
      <c r="C673" s="39">
        <v>7.0</v>
      </c>
      <c r="D673" s="41">
        <v>44053.0</v>
      </c>
      <c r="E673" s="39" t="s">
        <v>1048</v>
      </c>
      <c r="F673" s="39" t="s">
        <v>1049</v>
      </c>
      <c r="G673" s="39" t="s">
        <v>1050</v>
      </c>
      <c r="H673" s="39">
        <v>820.0</v>
      </c>
      <c r="N673" s="39" t="s">
        <v>1051</v>
      </c>
      <c r="R673" s="39" t="s">
        <v>832</v>
      </c>
      <c r="S673" s="39" t="s">
        <v>1274</v>
      </c>
      <c r="T673" s="39" t="s">
        <v>1053</v>
      </c>
      <c r="U673" s="39" t="s">
        <v>1051</v>
      </c>
      <c r="X673" s="39" t="s">
        <v>1326</v>
      </c>
      <c r="Y673" s="39" t="s">
        <v>1127</v>
      </c>
      <c r="Z673" s="39" t="s">
        <v>1048</v>
      </c>
      <c r="AB673" s="39">
        <v>7.0</v>
      </c>
    </row>
    <row r="674">
      <c r="A674" s="39" t="s">
        <v>1317</v>
      </c>
      <c r="B674" s="39" t="s">
        <v>1318</v>
      </c>
      <c r="C674" s="39">
        <v>7.0</v>
      </c>
      <c r="D674" s="41">
        <v>44053.0</v>
      </c>
      <c r="E674" s="39" t="s">
        <v>1059</v>
      </c>
      <c r="F674" s="39" t="s">
        <v>1060</v>
      </c>
      <c r="G674" s="39" t="s">
        <v>1050</v>
      </c>
      <c r="H674" s="39">
        <v>820.0</v>
      </c>
      <c r="N674" s="39" t="s">
        <v>1051</v>
      </c>
      <c r="R674" s="39" t="s">
        <v>832</v>
      </c>
      <c r="S674" s="39" t="s">
        <v>1052</v>
      </c>
      <c r="T674" s="39" t="s">
        <v>1053</v>
      </c>
      <c r="U674" s="39" t="s">
        <v>1051</v>
      </c>
      <c r="X674" s="39" t="s">
        <v>1327</v>
      </c>
      <c r="Y674" s="39" t="s">
        <v>1131</v>
      </c>
      <c r="Z674" s="39" t="s">
        <v>872</v>
      </c>
      <c r="AB674" s="39">
        <v>7.0</v>
      </c>
    </row>
    <row r="675">
      <c r="A675" s="39" t="s">
        <v>1042</v>
      </c>
      <c r="B675" s="39" t="s">
        <v>1328</v>
      </c>
      <c r="C675" s="39">
        <v>4.0</v>
      </c>
      <c r="D675" s="41">
        <v>44053.333333333336</v>
      </c>
      <c r="E675" s="39" t="s">
        <v>1291</v>
      </c>
      <c r="F675" s="39" t="s">
        <v>1292</v>
      </c>
      <c r="G675" s="39" t="s">
        <v>1050</v>
      </c>
      <c r="H675" s="39">
        <v>820.0</v>
      </c>
      <c r="N675" s="39" t="s">
        <v>938</v>
      </c>
      <c r="R675" s="39" t="s">
        <v>832</v>
      </c>
      <c r="S675" s="39" t="s">
        <v>889</v>
      </c>
      <c r="T675" s="39" t="s">
        <v>741</v>
      </c>
      <c r="U675" s="39" t="s">
        <v>938</v>
      </c>
      <c r="X675" s="39" t="s">
        <v>1329</v>
      </c>
      <c r="Y675" s="39" t="s">
        <v>1115</v>
      </c>
      <c r="Z675" s="39" t="s">
        <v>872</v>
      </c>
      <c r="AB675" s="39">
        <v>4.0</v>
      </c>
    </row>
    <row r="676">
      <c r="A676" s="39" t="s">
        <v>1042</v>
      </c>
      <c r="B676" s="39" t="s">
        <v>1328</v>
      </c>
      <c r="C676" s="39">
        <v>4.0</v>
      </c>
      <c r="D676" s="41">
        <v>44053.541666666664</v>
      </c>
      <c r="E676" s="39" t="s">
        <v>1291</v>
      </c>
      <c r="F676" s="39" t="s">
        <v>1292</v>
      </c>
      <c r="G676" s="39" t="s">
        <v>1050</v>
      </c>
      <c r="H676" s="39">
        <v>820.0</v>
      </c>
      <c r="N676" s="39" t="s">
        <v>938</v>
      </c>
      <c r="R676" s="39" t="s">
        <v>832</v>
      </c>
      <c r="S676" s="39" t="s">
        <v>889</v>
      </c>
      <c r="T676" s="39" t="s">
        <v>741</v>
      </c>
      <c r="U676" s="39" t="s">
        <v>938</v>
      </c>
      <c r="X676" s="39" t="s">
        <v>1329</v>
      </c>
      <c r="Y676" s="39" t="s">
        <v>1115</v>
      </c>
      <c r="Z676" s="39" t="s">
        <v>872</v>
      </c>
      <c r="AB676" s="39">
        <v>4.0</v>
      </c>
    </row>
    <row r="677">
      <c r="A677" s="39" t="s">
        <v>1313</v>
      </c>
      <c r="B677" s="39" t="s">
        <v>1325</v>
      </c>
      <c r="C677" s="39">
        <v>7.0</v>
      </c>
      <c r="D677" s="41">
        <v>44054.0</v>
      </c>
      <c r="E677" s="39" t="s">
        <v>1048</v>
      </c>
      <c r="F677" s="39" t="s">
        <v>1049</v>
      </c>
      <c r="G677" s="39" t="s">
        <v>1050</v>
      </c>
      <c r="H677" s="39">
        <v>820.0</v>
      </c>
      <c r="N677" s="39" t="s">
        <v>1051</v>
      </c>
      <c r="R677" s="39" t="s">
        <v>832</v>
      </c>
      <c r="S677" s="39" t="s">
        <v>1274</v>
      </c>
      <c r="T677" s="39" t="s">
        <v>1053</v>
      </c>
      <c r="U677" s="39" t="s">
        <v>1051</v>
      </c>
      <c r="X677" s="39" t="s">
        <v>1330</v>
      </c>
      <c r="Y677" s="39" t="s">
        <v>1127</v>
      </c>
      <c r="Z677" s="39" t="s">
        <v>1048</v>
      </c>
      <c r="AB677" s="39">
        <v>7.0</v>
      </c>
    </row>
    <row r="678">
      <c r="A678" s="39" t="s">
        <v>1331</v>
      </c>
      <c r="B678" s="39" t="s">
        <v>1332</v>
      </c>
      <c r="C678" s="39">
        <v>5.0</v>
      </c>
      <c r="D678" s="41">
        <v>44054.0</v>
      </c>
      <c r="E678" s="39" t="s">
        <v>1059</v>
      </c>
      <c r="F678" s="39" t="s">
        <v>1060</v>
      </c>
      <c r="G678" s="39" t="s">
        <v>1050</v>
      </c>
      <c r="H678" s="39">
        <v>820.0</v>
      </c>
      <c r="N678" s="39" t="s">
        <v>1051</v>
      </c>
      <c r="R678" s="39" t="s">
        <v>832</v>
      </c>
      <c r="S678" s="39" t="s">
        <v>1052</v>
      </c>
      <c r="T678" s="39" t="s">
        <v>1053</v>
      </c>
      <c r="U678" s="39" t="s">
        <v>1051</v>
      </c>
      <c r="X678" s="39" t="s">
        <v>1333</v>
      </c>
      <c r="Y678" s="39" t="s">
        <v>1131</v>
      </c>
      <c r="Z678" s="39" t="s">
        <v>872</v>
      </c>
      <c r="AB678" s="39">
        <v>5.0</v>
      </c>
    </row>
    <row r="679">
      <c r="A679" s="39" t="s">
        <v>1042</v>
      </c>
      <c r="B679" s="39" t="s">
        <v>1328</v>
      </c>
      <c r="C679" s="39">
        <v>4.0</v>
      </c>
      <c r="D679" s="41">
        <v>44054.333333333336</v>
      </c>
      <c r="E679" s="39" t="s">
        <v>1291</v>
      </c>
      <c r="F679" s="39" t="s">
        <v>1292</v>
      </c>
      <c r="G679" s="39" t="s">
        <v>1050</v>
      </c>
      <c r="H679" s="39">
        <v>820.0</v>
      </c>
      <c r="N679" s="39" t="s">
        <v>938</v>
      </c>
      <c r="R679" s="39" t="s">
        <v>832</v>
      </c>
      <c r="S679" s="39" t="s">
        <v>889</v>
      </c>
      <c r="T679" s="39" t="s">
        <v>741</v>
      </c>
      <c r="U679" s="39" t="s">
        <v>938</v>
      </c>
      <c r="X679" s="39" t="s">
        <v>1329</v>
      </c>
      <c r="Y679" s="39" t="s">
        <v>1115</v>
      </c>
      <c r="Z679" s="39" t="s">
        <v>872</v>
      </c>
      <c r="AB679" s="39">
        <v>4.0</v>
      </c>
    </row>
    <row r="680">
      <c r="A680" s="39" t="s">
        <v>933</v>
      </c>
      <c r="B680" s="39" t="s">
        <v>934</v>
      </c>
      <c r="C680" s="39">
        <v>0.25</v>
      </c>
      <c r="D680" s="41">
        <v>44054.395833333336</v>
      </c>
      <c r="E680" s="39" t="s">
        <v>1023</v>
      </c>
      <c r="F680" s="39" t="s">
        <v>1179</v>
      </c>
      <c r="G680" s="39" t="s">
        <v>849</v>
      </c>
      <c r="H680" s="39">
        <v>820.0</v>
      </c>
      <c r="N680" s="39" t="s">
        <v>883</v>
      </c>
      <c r="R680" s="39" t="s">
        <v>832</v>
      </c>
      <c r="S680" s="39" t="s">
        <v>833</v>
      </c>
      <c r="T680" s="39" t="s">
        <v>884</v>
      </c>
      <c r="U680" s="39" t="s">
        <v>883</v>
      </c>
      <c r="W680" s="39" t="s">
        <v>96</v>
      </c>
      <c r="X680" s="39" t="s">
        <v>935</v>
      </c>
      <c r="Z680" s="39" t="s">
        <v>876</v>
      </c>
      <c r="AB680" s="39">
        <v>0.25</v>
      </c>
      <c r="AC680" s="39">
        <v>16.0</v>
      </c>
      <c r="AD680" s="39">
        <v>0.0</v>
      </c>
    </row>
    <row r="681">
      <c r="A681" s="39" t="s">
        <v>1042</v>
      </c>
      <c r="B681" s="39" t="s">
        <v>1328</v>
      </c>
      <c r="C681" s="39">
        <v>4.0</v>
      </c>
      <c r="D681" s="41">
        <v>44054.541666666664</v>
      </c>
      <c r="E681" s="39" t="s">
        <v>1291</v>
      </c>
      <c r="F681" s="39" t="s">
        <v>1292</v>
      </c>
      <c r="G681" s="39" t="s">
        <v>1050</v>
      </c>
      <c r="H681" s="39">
        <v>820.0</v>
      </c>
      <c r="N681" s="39" t="s">
        <v>938</v>
      </c>
      <c r="R681" s="39" t="s">
        <v>832</v>
      </c>
      <c r="S681" s="39" t="s">
        <v>889</v>
      </c>
      <c r="T681" s="39" t="s">
        <v>741</v>
      </c>
      <c r="U681" s="39" t="s">
        <v>938</v>
      </c>
      <c r="X681" s="39" t="s">
        <v>1329</v>
      </c>
      <c r="Y681" s="39" t="s">
        <v>1115</v>
      </c>
      <c r="Z681" s="39" t="s">
        <v>872</v>
      </c>
      <c r="AB681" s="39">
        <v>4.0</v>
      </c>
    </row>
    <row r="682">
      <c r="A682" s="39" t="s">
        <v>933</v>
      </c>
      <c r="B682" s="39" t="s">
        <v>934</v>
      </c>
      <c r="C682" s="39">
        <v>0.55</v>
      </c>
      <c r="D682" s="41">
        <v>44055.0</v>
      </c>
      <c r="E682" s="39" t="s">
        <v>828</v>
      </c>
      <c r="F682" s="39" t="s">
        <v>829</v>
      </c>
      <c r="G682" s="39" t="s">
        <v>830</v>
      </c>
      <c r="H682" s="39">
        <v>820.0</v>
      </c>
      <c r="N682" s="39" t="s">
        <v>883</v>
      </c>
      <c r="R682" s="39" t="s">
        <v>832</v>
      </c>
      <c r="S682" s="39" t="s">
        <v>833</v>
      </c>
      <c r="T682" s="39" t="s">
        <v>884</v>
      </c>
      <c r="U682" s="39" t="s">
        <v>883</v>
      </c>
      <c r="W682" s="39" t="s">
        <v>96</v>
      </c>
      <c r="X682" s="39" t="s">
        <v>935</v>
      </c>
      <c r="Z682" s="39" t="s">
        <v>876</v>
      </c>
      <c r="AB682" s="39">
        <v>0.55</v>
      </c>
      <c r="AC682" s="39">
        <v>16.0</v>
      </c>
      <c r="AD682" s="39">
        <v>0.0</v>
      </c>
    </row>
    <row r="683">
      <c r="A683" s="39" t="s">
        <v>1115</v>
      </c>
      <c r="B683" s="39" t="s">
        <v>1122</v>
      </c>
      <c r="C683" s="39">
        <v>0.816666666666666</v>
      </c>
      <c r="D683" s="41">
        <v>44055.0</v>
      </c>
      <c r="E683" s="39" t="s">
        <v>828</v>
      </c>
      <c r="F683" s="39" t="s">
        <v>829</v>
      </c>
      <c r="G683" s="39" t="s">
        <v>830</v>
      </c>
      <c r="H683" s="39">
        <v>820.0</v>
      </c>
      <c r="N683" s="39" t="s">
        <v>938</v>
      </c>
      <c r="R683" s="39" t="s">
        <v>72</v>
      </c>
      <c r="S683" s="39" t="s">
        <v>842</v>
      </c>
      <c r="T683" s="39" t="s">
        <v>741</v>
      </c>
      <c r="U683" s="39" t="s">
        <v>938</v>
      </c>
      <c r="X683" s="39" t="s">
        <v>1123</v>
      </c>
      <c r="Z683" s="39" t="s">
        <v>872</v>
      </c>
      <c r="AB683" s="39">
        <v>0.816666666666666</v>
      </c>
    </row>
    <row r="684">
      <c r="A684" s="39" t="s">
        <v>1313</v>
      </c>
      <c r="B684" s="39" t="s">
        <v>1325</v>
      </c>
      <c r="C684" s="39">
        <v>7.0</v>
      </c>
      <c r="D684" s="41">
        <v>44055.0</v>
      </c>
      <c r="E684" s="39" t="s">
        <v>1048</v>
      </c>
      <c r="F684" s="39" t="s">
        <v>1049</v>
      </c>
      <c r="G684" s="39" t="s">
        <v>1050</v>
      </c>
      <c r="H684" s="39">
        <v>820.0</v>
      </c>
      <c r="N684" s="39" t="s">
        <v>1051</v>
      </c>
      <c r="R684" s="39" t="s">
        <v>832</v>
      </c>
      <c r="S684" s="39" t="s">
        <v>1274</v>
      </c>
      <c r="T684" s="39" t="s">
        <v>1053</v>
      </c>
      <c r="U684" s="39" t="s">
        <v>1051</v>
      </c>
      <c r="X684" s="39" t="s">
        <v>1334</v>
      </c>
      <c r="Y684" s="39" t="s">
        <v>1127</v>
      </c>
      <c r="Z684" s="39" t="s">
        <v>1048</v>
      </c>
      <c r="AB684" s="39">
        <v>7.0</v>
      </c>
    </row>
    <row r="685">
      <c r="A685" s="39" t="s">
        <v>1335</v>
      </c>
      <c r="B685" s="39" t="s">
        <v>1336</v>
      </c>
      <c r="C685" s="39">
        <v>6.0</v>
      </c>
      <c r="D685" s="41">
        <v>44055.0</v>
      </c>
      <c r="E685" s="39" t="s">
        <v>1059</v>
      </c>
      <c r="F685" s="39" t="s">
        <v>1060</v>
      </c>
      <c r="G685" s="39" t="s">
        <v>1050</v>
      </c>
      <c r="H685" s="39">
        <v>820.0</v>
      </c>
      <c r="N685" s="39" t="s">
        <v>1051</v>
      </c>
      <c r="R685" s="39" t="s">
        <v>957</v>
      </c>
      <c r="S685" s="39" t="s">
        <v>1052</v>
      </c>
      <c r="T685" s="39" t="s">
        <v>1053</v>
      </c>
      <c r="U685" s="39" t="s">
        <v>1051</v>
      </c>
      <c r="X685" s="39" t="s">
        <v>1337</v>
      </c>
      <c r="Y685" s="39" t="s">
        <v>1128</v>
      </c>
      <c r="Z685" s="39" t="s">
        <v>1059</v>
      </c>
      <c r="AB685" s="39">
        <v>6.0</v>
      </c>
    </row>
    <row r="686">
      <c r="A686" s="39" t="s">
        <v>1019</v>
      </c>
      <c r="B686" s="39" t="s">
        <v>1020</v>
      </c>
      <c r="C686" s="39">
        <v>0.25</v>
      </c>
      <c r="D686" s="41">
        <v>44055.302083333336</v>
      </c>
      <c r="E686" s="39" t="s">
        <v>1023</v>
      </c>
      <c r="F686" s="39" t="s">
        <v>1179</v>
      </c>
      <c r="G686" s="39" t="s">
        <v>849</v>
      </c>
      <c r="H686" s="39">
        <v>820.0</v>
      </c>
      <c r="N686" s="39" t="s">
        <v>883</v>
      </c>
      <c r="R686" s="39" t="s">
        <v>1021</v>
      </c>
      <c r="S686" s="39" t="s">
        <v>833</v>
      </c>
      <c r="T686" s="39" t="s">
        <v>884</v>
      </c>
      <c r="U686" s="39" t="s">
        <v>883</v>
      </c>
      <c r="W686" s="39" t="s">
        <v>835</v>
      </c>
      <c r="X686" s="39" t="s">
        <v>1022</v>
      </c>
      <c r="Z686" s="39" t="s">
        <v>1023</v>
      </c>
      <c r="AB686" s="39">
        <v>0.25</v>
      </c>
      <c r="AC686" s="39">
        <v>0.0</v>
      </c>
      <c r="AD686" s="39">
        <v>0.0</v>
      </c>
    </row>
    <row r="687">
      <c r="A687" s="39" t="s">
        <v>1042</v>
      </c>
      <c r="B687" s="39" t="s">
        <v>1328</v>
      </c>
      <c r="C687" s="39">
        <v>4.0</v>
      </c>
      <c r="D687" s="41">
        <v>44055.333333333336</v>
      </c>
      <c r="E687" s="39" t="s">
        <v>1291</v>
      </c>
      <c r="F687" s="39" t="s">
        <v>1292</v>
      </c>
      <c r="G687" s="39" t="s">
        <v>1050</v>
      </c>
      <c r="H687" s="39">
        <v>820.0</v>
      </c>
      <c r="N687" s="39" t="s">
        <v>938</v>
      </c>
      <c r="R687" s="39" t="s">
        <v>832</v>
      </c>
      <c r="S687" s="39" t="s">
        <v>889</v>
      </c>
      <c r="T687" s="39" t="s">
        <v>741</v>
      </c>
      <c r="U687" s="39" t="s">
        <v>938</v>
      </c>
      <c r="X687" s="39" t="s">
        <v>1329</v>
      </c>
      <c r="Y687" s="39" t="s">
        <v>1115</v>
      </c>
      <c r="Z687" s="39" t="s">
        <v>872</v>
      </c>
      <c r="AB687" s="39">
        <v>4.0</v>
      </c>
    </row>
    <row r="688">
      <c r="A688" s="39" t="s">
        <v>933</v>
      </c>
      <c r="B688" s="39" t="s">
        <v>934</v>
      </c>
      <c r="C688" s="39">
        <v>0.5</v>
      </c>
      <c r="D688" s="41">
        <v>44055.46875</v>
      </c>
      <c r="E688" s="39" t="s">
        <v>900</v>
      </c>
      <c r="F688" s="39" t="s">
        <v>901</v>
      </c>
      <c r="G688" s="39" t="s">
        <v>902</v>
      </c>
      <c r="H688" s="39">
        <v>820.0</v>
      </c>
      <c r="N688" s="39" t="s">
        <v>883</v>
      </c>
      <c r="R688" s="39" t="s">
        <v>832</v>
      </c>
      <c r="S688" s="39" t="s">
        <v>833</v>
      </c>
      <c r="T688" s="39" t="s">
        <v>884</v>
      </c>
      <c r="U688" s="39" t="s">
        <v>883</v>
      </c>
      <c r="W688" s="39" t="s">
        <v>96</v>
      </c>
      <c r="X688" s="39" t="s">
        <v>935</v>
      </c>
      <c r="Z688" s="39" t="s">
        <v>876</v>
      </c>
      <c r="AB688" s="39">
        <v>0.5</v>
      </c>
      <c r="AC688" s="39">
        <v>16.0</v>
      </c>
      <c r="AD688" s="39">
        <v>0.0</v>
      </c>
    </row>
    <row r="689">
      <c r="A689" s="39" t="s">
        <v>1042</v>
      </c>
      <c r="B689" s="39" t="s">
        <v>1328</v>
      </c>
      <c r="C689" s="39">
        <v>4.0</v>
      </c>
      <c r="D689" s="41">
        <v>44055.541666666664</v>
      </c>
      <c r="E689" s="39" t="s">
        <v>1291</v>
      </c>
      <c r="F689" s="39" t="s">
        <v>1292</v>
      </c>
      <c r="G689" s="39" t="s">
        <v>1050</v>
      </c>
      <c r="H689" s="39">
        <v>820.0</v>
      </c>
      <c r="N689" s="39" t="s">
        <v>938</v>
      </c>
      <c r="R689" s="39" t="s">
        <v>832</v>
      </c>
      <c r="S689" s="39" t="s">
        <v>889</v>
      </c>
      <c r="T689" s="39" t="s">
        <v>741</v>
      </c>
      <c r="U689" s="39" t="s">
        <v>938</v>
      </c>
      <c r="X689" s="39" t="s">
        <v>1329</v>
      </c>
      <c r="Y689" s="39" t="s">
        <v>1115</v>
      </c>
      <c r="Z689" s="39" t="s">
        <v>872</v>
      </c>
      <c r="AB689" s="39">
        <v>4.0</v>
      </c>
    </row>
    <row r="690">
      <c r="A690" s="39" t="s">
        <v>1338</v>
      </c>
      <c r="B690" s="39" t="s">
        <v>1339</v>
      </c>
      <c r="C690" s="39">
        <v>1.65</v>
      </c>
      <c r="D690" s="41">
        <v>44056.0</v>
      </c>
      <c r="E690" s="39" t="s">
        <v>828</v>
      </c>
      <c r="F690" s="39" t="s">
        <v>829</v>
      </c>
      <c r="G690" s="39" t="s">
        <v>830</v>
      </c>
      <c r="H690" s="39">
        <v>820.0</v>
      </c>
      <c r="N690" s="39" t="s">
        <v>883</v>
      </c>
      <c r="R690" s="39" t="s">
        <v>832</v>
      </c>
      <c r="S690" s="39" t="s">
        <v>842</v>
      </c>
      <c r="T690" s="39" t="s">
        <v>884</v>
      </c>
      <c r="U690" s="39" t="s">
        <v>883</v>
      </c>
      <c r="X690" s="39" t="s">
        <v>1340</v>
      </c>
      <c r="Z690" s="39" t="s">
        <v>951</v>
      </c>
      <c r="AB690" s="39">
        <v>1.65</v>
      </c>
      <c r="AC690" s="39">
        <v>4.0</v>
      </c>
      <c r="AD690" s="39">
        <v>1.61666666666666</v>
      </c>
    </row>
    <row r="691">
      <c r="A691" s="39" t="s">
        <v>1174</v>
      </c>
      <c r="B691" s="39" t="s">
        <v>1175</v>
      </c>
      <c r="C691" s="39">
        <v>1.01666666666666</v>
      </c>
      <c r="D691" s="41">
        <v>44056.0</v>
      </c>
      <c r="E691" s="39" t="s">
        <v>828</v>
      </c>
      <c r="F691" s="39" t="s">
        <v>829</v>
      </c>
      <c r="G691" s="39" t="s">
        <v>830</v>
      </c>
      <c r="H691" s="39">
        <v>820.0</v>
      </c>
      <c r="N691" s="39" t="s">
        <v>947</v>
      </c>
      <c r="R691" s="39" t="s">
        <v>832</v>
      </c>
      <c r="S691" s="39" t="s">
        <v>833</v>
      </c>
      <c r="T691" s="39" t="s">
        <v>949</v>
      </c>
      <c r="U691" s="39" t="s">
        <v>947</v>
      </c>
      <c r="X691" s="39" t="s">
        <v>1245</v>
      </c>
      <c r="Z691" s="39" t="s">
        <v>828</v>
      </c>
      <c r="AB691" s="39">
        <v>1.01666666666666</v>
      </c>
    </row>
    <row r="692">
      <c r="A692" s="39" t="s">
        <v>1341</v>
      </c>
      <c r="B692" s="39" t="s">
        <v>1342</v>
      </c>
      <c r="C692" s="39">
        <v>5.0</v>
      </c>
      <c r="D692" s="41">
        <v>44056.0</v>
      </c>
      <c r="E692" s="39" t="s">
        <v>1048</v>
      </c>
      <c r="F692" s="39" t="s">
        <v>1049</v>
      </c>
      <c r="G692" s="39" t="s">
        <v>1050</v>
      </c>
      <c r="H692" s="39">
        <v>820.0</v>
      </c>
      <c r="N692" s="39" t="s">
        <v>1051</v>
      </c>
      <c r="R692" s="39" t="s">
        <v>957</v>
      </c>
      <c r="S692" s="39" t="s">
        <v>1274</v>
      </c>
      <c r="T692" s="39" t="s">
        <v>1053</v>
      </c>
      <c r="U692" s="39" t="s">
        <v>1051</v>
      </c>
      <c r="X692" s="39" t="s">
        <v>1343</v>
      </c>
      <c r="Y692" s="39" t="s">
        <v>1313</v>
      </c>
      <c r="Z692" s="39" t="s">
        <v>1048</v>
      </c>
      <c r="AB692" s="39">
        <v>5.0</v>
      </c>
    </row>
    <row r="693">
      <c r="A693" s="39" t="s">
        <v>1344</v>
      </c>
      <c r="B693" s="39" t="s">
        <v>1345</v>
      </c>
      <c r="C693" s="39">
        <v>2.0</v>
      </c>
      <c r="D693" s="41">
        <v>44056.0</v>
      </c>
      <c r="E693" s="39" t="s">
        <v>1048</v>
      </c>
      <c r="F693" s="39" t="s">
        <v>1049</v>
      </c>
      <c r="G693" s="39" t="s">
        <v>1050</v>
      </c>
      <c r="H693" s="39">
        <v>820.0</v>
      </c>
      <c r="N693" s="39" t="s">
        <v>1051</v>
      </c>
      <c r="R693" s="39" t="s">
        <v>957</v>
      </c>
      <c r="S693" s="39" t="s">
        <v>1052</v>
      </c>
      <c r="T693" s="39" t="s">
        <v>1053</v>
      </c>
      <c r="U693" s="39" t="s">
        <v>1051</v>
      </c>
      <c r="X693" s="39" t="s">
        <v>1346</v>
      </c>
      <c r="Y693" s="39" t="s">
        <v>1347</v>
      </c>
      <c r="Z693" s="39" t="s">
        <v>872</v>
      </c>
      <c r="AB693" s="39">
        <v>2.0</v>
      </c>
    </row>
    <row r="694">
      <c r="A694" s="39" t="s">
        <v>1348</v>
      </c>
      <c r="B694" s="39" t="s">
        <v>1349</v>
      </c>
      <c r="C694" s="39">
        <v>8.0</v>
      </c>
      <c r="D694" s="41">
        <v>44056.0</v>
      </c>
      <c r="E694" s="39" t="s">
        <v>1059</v>
      </c>
      <c r="F694" s="39" t="s">
        <v>1060</v>
      </c>
      <c r="G694" s="39" t="s">
        <v>1050</v>
      </c>
      <c r="H694" s="39">
        <v>820.0</v>
      </c>
      <c r="N694" s="39" t="s">
        <v>1051</v>
      </c>
      <c r="R694" s="39" t="s">
        <v>957</v>
      </c>
      <c r="S694" s="39" t="s">
        <v>1052</v>
      </c>
      <c r="T694" s="39" t="s">
        <v>1053</v>
      </c>
      <c r="U694" s="39" t="s">
        <v>1051</v>
      </c>
      <c r="X694" s="39" t="s">
        <v>1350</v>
      </c>
      <c r="Y694" s="39" t="s">
        <v>1128</v>
      </c>
      <c r="Z694" s="39" t="s">
        <v>872</v>
      </c>
      <c r="AB694" s="39">
        <v>8.0</v>
      </c>
    </row>
    <row r="695">
      <c r="A695" s="39" t="s">
        <v>1313</v>
      </c>
      <c r="B695" s="39" t="s">
        <v>1325</v>
      </c>
      <c r="C695" s="39">
        <v>7.0</v>
      </c>
      <c r="D695" s="41">
        <v>44057.0</v>
      </c>
      <c r="E695" s="39" t="s">
        <v>1048</v>
      </c>
      <c r="F695" s="39" t="s">
        <v>1049</v>
      </c>
      <c r="G695" s="39" t="s">
        <v>1050</v>
      </c>
      <c r="H695" s="39">
        <v>820.0</v>
      </c>
      <c r="N695" s="39" t="s">
        <v>1051</v>
      </c>
      <c r="R695" s="39" t="s">
        <v>832</v>
      </c>
      <c r="S695" s="39" t="s">
        <v>1274</v>
      </c>
      <c r="T695" s="39" t="s">
        <v>1053</v>
      </c>
      <c r="U695" s="39" t="s">
        <v>1051</v>
      </c>
      <c r="X695" s="39" t="s">
        <v>1351</v>
      </c>
      <c r="Y695" s="39" t="s">
        <v>1127</v>
      </c>
      <c r="Z695" s="39" t="s">
        <v>1048</v>
      </c>
      <c r="AB695" s="39">
        <v>7.0</v>
      </c>
    </row>
    <row r="696">
      <c r="A696" s="39" t="s">
        <v>1352</v>
      </c>
      <c r="B696" s="39" t="s">
        <v>1353</v>
      </c>
      <c r="C696" s="39">
        <v>7.0</v>
      </c>
      <c r="D696" s="41">
        <v>44057.0</v>
      </c>
      <c r="E696" s="39" t="s">
        <v>1059</v>
      </c>
      <c r="F696" s="39" t="s">
        <v>1060</v>
      </c>
      <c r="G696" s="39" t="s">
        <v>1050</v>
      </c>
      <c r="H696" s="39">
        <v>820.0</v>
      </c>
      <c r="N696" s="39" t="s">
        <v>1051</v>
      </c>
      <c r="R696" s="39" t="s">
        <v>957</v>
      </c>
      <c r="S696" s="39" t="s">
        <v>1052</v>
      </c>
      <c r="T696" s="39" t="s">
        <v>1053</v>
      </c>
      <c r="U696" s="39" t="s">
        <v>1051</v>
      </c>
      <c r="X696" s="39" t="s">
        <v>1354</v>
      </c>
      <c r="Y696" s="39" t="s">
        <v>1128</v>
      </c>
      <c r="Z696" s="39" t="s">
        <v>872</v>
      </c>
      <c r="AB696" s="39">
        <v>7.0</v>
      </c>
    </row>
    <row r="697">
      <c r="A697" s="39" t="s">
        <v>1313</v>
      </c>
      <c r="B697" s="39" t="s">
        <v>1325</v>
      </c>
      <c r="C697" s="39">
        <v>7.0</v>
      </c>
      <c r="D697" s="41">
        <v>44060.0</v>
      </c>
      <c r="E697" s="39" t="s">
        <v>1048</v>
      </c>
      <c r="F697" s="39" t="s">
        <v>1049</v>
      </c>
      <c r="G697" s="39" t="s">
        <v>1050</v>
      </c>
      <c r="H697" s="39">
        <v>820.0</v>
      </c>
      <c r="N697" s="39" t="s">
        <v>1051</v>
      </c>
      <c r="R697" s="39" t="s">
        <v>832</v>
      </c>
      <c r="S697" s="39" t="s">
        <v>1274</v>
      </c>
      <c r="T697" s="39" t="s">
        <v>1053</v>
      </c>
      <c r="U697" s="39" t="s">
        <v>1051</v>
      </c>
      <c r="X697" s="39" t="s">
        <v>1355</v>
      </c>
      <c r="Y697" s="39" t="s">
        <v>1127</v>
      </c>
      <c r="Z697" s="39" t="s">
        <v>1048</v>
      </c>
      <c r="AB697" s="39">
        <v>7.0</v>
      </c>
    </row>
    <row r="698">
      <c r="A698" s="39" t="s">
        <v>1356</v>
      </c>
      <c r="B698" s="39" t="s">
        <v>1357</v>
      </c>
      <c r="C698" s="39">
        <v>7.0</v>
      </c>
      <c r="D698" s="41">
        <v>44060.0</v>
      </c>
      <c r="E698" s="39" t="s">
        <v>1059</v>
      </c>
      <c r="F698" s="39" t="s">
        <v>1060</v>
      </c>
      <c r="G698" s="39" t="s">
        <v>1050</v>
      </c>
      <c r="H698" s="39">
        <v>820.0</v>
      </c>
      <c r="N698" s="39" t="s">
        <v>1051</v>
      </c>
      <c r="R698" s="39" t="s">
        <v>832</v>
      </c>
      <c r="S698" s="39" t="s">
        <v>1052</v>
      </c>
      <c r="T698" s="39" t="s">
        <v>1053</v>
      </c>
      <c r="U698" s="39" t="s">
        <v>1051</v>
      </c>
      <c r="X698" s="39" t="s">
        <v>1358</v>
      </c>
      <c r="Y698" s="39" t="s">
        <v>1131</v>
      </c>
      <c r="Z698" s="39" t="s">
        <v>1153</v>
      </c>
      <c r="AB698" s="39">
        <v>7.0</v>
      </c>
    </row>
    <row r="699">
      <c r="A699" s="39" t="s">
        <v>1042</v>
      </c>
      <c r="B699" s="39" t="s">
        <v>1328</v>
      </c>
      <c r="C699" s="39">
        <v>4.0</v>
      </c>
      <c r="D699" s="41">
        <v>44060.333333333336</v>
      </c>
      <c r="E699" s="39" t="s">
        <v>1291</v>
      </c>
      <c r="F699" s="39" t="s">
        <v>1292</v>
      </c>
      <c r="G699" s="39" t="s">
        <v>1050</v>
      </c>
      <c r="H699" s="39">
        <v>820.0</v>
      </c>
      <c r="N699" s="39" t="s">
        <v>938</v>
      </c>
      <c r="R699" s="39" t="s">
        <v>832</v>
      </c>
      <c r="S699" s="39" t="s">
        <v>889</v>
      </c>
      <c r="T699" s="39" t="s">
        <v>741</v>
      </c>
      <c r="U699" s="39" t="s">
        <v>938</v>
      </c>
      <c r="X699" s="39" t="s">
        <v>1329</v>
      </c>
      <c r="Y699" s="39" t="s">
        <v>1115</v>
      </c>
      <c r="Z699" s="39" t="s">
        <v>872</v>
      </c>
      <c r="AB699" s="39">
        <v>4.0</v>
      </c>
    </row>
    <row r="700">
      <c r="A700" s="39" t="s">
        <v>1042</v>
      </c>
      <c r="B700" s="39" t="s">
        <v>1328</v>
      </c>
      <c r="C700" s="39">
        <v>4.0</v>
      </c>
      <c r="D700" s="41">
        <v>44060.541666666664</v>
      </c>
      <c r="E700" s="39" t="s">
        <v>1291</v>
      </c>
      <c r="F700" s="39" t="s">
        <v>1292</v>
      </c>
      <c r="G700" s="39" t="s">
        <v>1050</v>
      </c>
      <c r="H700" s="39">
        <v>820.0</v>
      </c>
      <c r="N700" s="39" t="s">
        <v>938</v>
      </c>
      <c r="R700" s="39" t="s">
        <v>832</v>
      </c>
      <c r="S700" s="39" t="s">
        <v>889</v>
      </c>
      <c r="T700" s="39" t="s">
        <v>741</v>
      </c>
      <c r="U700" s="39" t="s">
        <v>938</v>
      </c>
      <c r="X700" s="39" t="s">
        <v>1329</v>
      </c>
      <c r="Y700" s="39" t="s">
        <v>1115</v>
      </c>
      <c r="Z700" s="39" t="s">
        <v>872</v>
      </c>
      <c r="AB700" s="39">
        <v>4.0</v>
      </c>
    </row>
    <row r="701">
      <c r="A701" s="39" t="s">
        <v>1127</v>
      </c>
      <c r="B701" s="39" t="s">
        <v>1254</v>
      </c>
      <c r="C701" s="39">
        <v>7.0</v>
      </c>
      <c r="D701" s="41">
        <v>44061.0</v>
      </c>
      <c r="E701" s="39" t="s">
        <v>1048</v>
      </c>
      <c r="F701" s="39" t="s">
        <v>1049</v>
      </c>
      <c r="G701" s="39" t="s">
        <v>1050</v>
      </c>
      <c r="H701" s="39">
        <v>820.0</v>
      </c>
      <c r="N701" s="39" t="s">
        <v>1051</v>
      </c>
      <c r="R701" s="39" t="s">
        <v>72</v>
      </c>
      <c r="S701" s="39" t="s">
        <v>842</v>
      </c>
      <c r="T701" s="39" t="s">
        <v>1053</v>
      </c>
      <c r="U701" s="39" t="s">
        <v>1051</v>
      </c>
      <c r="X701" s="39" t="s">
        <v>1359</v>
      </c>
      <c r="Z701" s="39" t="s">
        <v>872</v>
      </c>
      <c r="AB701" s="39">
        <v>7.0</v>
      </c>
    </row>
    <row r="702">
      <c r="A702" s="39" t="s">
        <v>1360</v>
      </c>
      <c r="B702" s="39" t="s">
        <v>1361</v>
      </c>
      <c r="C702" s="39">
        <v>7.0</v>
      </c>
      <c r="D702" s="41">
        <v>44061.0</v>
      </c>
      <c r="E702" s="39" t="s">
        <v>1059</v>
      </c>
      <c r="F702" s="39" t="s">
        <v>1060</v>
      </c>
      <c r="G702" s="39" t="s">
        <v>1050</v>
      </c>
      <c r="H702" s="39">
        <v>820.0</v>
      </c>
      <c r="N702" s="39" t="s">
        <v>1051</v>
      </c>
      <c r="R702" s="39" t="s">
        <v>957</v>
      </c>
      <c r="S702" s="39" t="s">
        <v>889</v>
      </c>
      <c r="T702" s="39" t="s">
        <v>1053</v>
      </c>
      <c r="U702" s="39" t="s">
        <v>1051</v>
      </c>
      <c r="X702" s="39" t="s">
        <v>1362</v>
      </c>
      <c r="Y702" s="39" t="s">
        <v>1363</v>
      </c>
      <c r="Z702" s="39" t="s">
        <v>872</v>
      </c>
      <c r="AB702" s="39">
        <v>7.0</v>
      </c>
    </row>
    <row r="703">
      <c r="A703" s="39" t="s">
        <v>1127</v>
      </c>
      <c r="B703" s="39" t="s">
        <v>1254</v>
      </c>
      <c r="C703" s="39">
        <v>7.0</v>
      </c>
      <c r="D703" s="41">
        <v>44062.0</v>
      </c>
      <c r="E703" s="39" t="s">
        <v>1048</v>
      </c>
      <c r="F703" s="39" t="s">
        <v>1049</v>
      </c>
      <c r="G703" s="39" t="s">
        <v>1050</v>
      </c>
      <c r="H703" s="39">
        <v>820.0</v>
      </c>
      <c r="N703" s="39" t="s">
        <v>1051</v>
      </c>
      <c r="R703" s="39" t="s">
        <v>72</v>
      </c>
      <c r="S703" s="39" t="s">
        <v>842</v>
      </c>
      <c r="T703" s="39" t="s">
        <v>1053</v>
      </c>
      <c r="U703" s="39" t="s">
        <v>1051</v>
      </c>
      <c r="X703" s="39" t="s">
        <v>1364</v>
      </c>
      <c r="Z703" s="39" t="s">
        <v>872</v>
      </c>
      <c r="AB703" s="39">
        <v>7.0</v>
      </c>
    </row>
    <row r="704">
      <c r="A704" s="39" t="s">
        <v>1365</v>
      </c>
      <c r="B704" s="39" t="s">
        <v>1366</v>
      </c>
      <c r="C704" s="39">
        <v>7.0</v>
      </c>
      <c r="D704" s="41">
        <v>44062.0</v>
      </c>
      <c r="E704" s="39" t="s">
        <v>1059</v>
      </c>
      <c r="F704" s="39" t="s">
        <v>1060</v>
      </c>
      <c r="G704" s="39" t="s">
        <v>1050</v>
      </c>
      <c r="H704" s="39">
        <v>820.0</v>
      </c>
      <c r="N704" s="39" t="s">
        <v>1051</v>
      </c>
      <c r="R704" s="39" t="s">
        <v>957</v>
      </c>
      <c r="S704" s="39" t="s">
        <v>1052</v>
      </c>
      <c r="T704" s="39" t="s">
        <v>1053</v>
      </c>
      <c r="U704" s="39" t="s">
        <v>1051</v>
      </c>
      <c r="X704" s="39" t="s">
        <v>1367</v>
      </c>
      <c r="Y704" s="39" t="s">
        <v>1128</v>
      </c>
      <c r="Z704" s="39" t="s">
        <v>872</v>
      </c>
      <c r="AB704" s="39">
        <v>7.0</v>
      </c>
    </row>
    <row r="705">
      <c r="A705" s="39" t="s">
        <v>1042</v>
      </c>
      <c r="B705" s="39" t="s">
        <v>1328</v>
      </c>
      <c r="C705" s="39">
        <v>4.0</v>
      </c>
      <c r="D705" s="41">
        <v>44062.333333333336</v>
      </c>
      <c r="E705" s="39" t="s">
        <v>1291</v>
      </c>
      <c r="F705" s="39" t="s">
        <v>1292</v>
      </c>
      <c r="G705" s="39" t="s">
        <v>1050</v>
      </c>
      <c r="H705" s="39">
        <v>820.0</v>
      </c>
      <c r="N705" s="39" t="s">
        <v>938</v>
      </c>
      <c r="R705" s="39" t="s">
        <v>832</v>
      </c>
      <c r="S705" s="39" t="s">
        <v>889</v>
      </c>
      <c r="T705" s="39" t="s">
        <v>741</v>
      </c>
      <c r="U705" s="39" t="s">
        <v>938</v>
      </c>
      <c r="X705" s="39" t="s">
        <v>1329</v>
      </c>
      <c r="Y705" s="39" t="s">
        <v>1115</v>
      </c>
      <c r="Z705" s="39" t="s">
        <v>872</v>
      </c>
      <c r="AB705" s="39">
        <v>4.0</v>
      </c>
    </row>
    <row r="706">
      <c r="A706" s="39" t="s">
        <v>1042</v>
      </c>
      <c r="B706" s="39" t="s">
        <v>1328</v>
      </c>
      <c r="C706" s="39">
        <v>4.0</v>
      </c>
      <c r="D706" s="41">
        <v>44062.541666666664</v>
      </c>
      <c r="E706" s="39" t="s">
        <v>1291</v>
      </c>
      <c r="F706" s="39" t="s">
        <v>1292</v>
      </c>
      <c r="G706" s="39" t="s">
        <v>1050</v>
      </c>
      <c r="H706" s="39">
        <v>820.0</v>
      </c>
      <c r="N706" s="39" t="s">
        <v>938</v>
      </c>
      <c r="R706" s="39" t="s">
        <v>832</v>
      </c>
      <c r="S706" s="39" t="s">
        <v>889</v>
      </c>
      <c r="T706" s="39" t="s">
        <v>741</v>
      </c>
      <c r="U706" s="39" t="s">
        <v>938</v>
      </c>
      <c r="X706" s="39" t="s">
        <v>1329</v>
      </c>
      <c r="Y706" s="39" t="s">
        <v>1115</v>
      </c>
      <c r="Z706" s="39" t="s">
        <v>872</v>
      </c>
      <c r="AB706" s="39">
        <v>4.0</v>
      </c>
    </row>
    <row r="707">
      <c r="A707" s="39" t="s">
        <v>1272</v>
      </c>
      <c r="B707" s="39" t="s">
        <v>1273</v>
      </c>
      <c r="C707" s="39">
        <v>7.0</v>
      </c>
      <c r="D707" s="41">
        <v>44063.0</v>
      </c>
      <c r="E707" s="39" t="s">
        <v>1048</v>
      </c>
      <c r="F707" s="39" t="s">
        <v>1049</v>
      </c>
      <c r="G707" s="39" t="s">
        <v>1050</v>
      </c>
      <c r="H707" s="39">
        <v>820.0</v>
      </c>
      <c r="N707" s="39" t="s">
        <v>1051</v>
      </c>
      <c r="R707" s="39" t="s">
        <v>957</v>
      </c>
      <c r="S707" s="39" t="s">
        <v>1274</v>
      </c>
      <c r="T707" s="39" t="s">
        <v>1053</v>
      </c>
      <c r="U707" s="39" t="s">
        <v>1051</v>
      </c>
      <c r="X707" s="39" t="s">
        <v>1368</v>
      </c>
      <c r="Y707" s="39" t="s">
        <v>1276</v>
      </c>
      <c r="Z707" s="39" t="s">
        <v>872</v>
      </c>
      <c r="AB707" s="39">
        <v>7.0</v>
      </c>
    </row>
    <row r="708">
      <c r="A708" s="39" t="s">
        <v>1369</v>
      </c>
      <c r="B708" s="39" t="s">
        <v>1370</v>
      </c>
      <c r="C708" s="39">
        <v>8.0</v>
      </c>
      <c r="D708" s="41">
        <v>44063.0</v>
      </c>
      <c r="E708" s="39" t="s">
        <v>1059</v>
      </c>
      <c r="F708" s="39" t="s">
        <v>1060</v>
      </c>
      <c r="G708" s="39" t="s">
        <v>1050</v>
      </c>
      <c r="H708" s="39">
        <v>820.0</v>
      </c>
      <c r="N708" s="39" t="s">
        <v>1051</v>
      </c>
      <c r="R708" s="39" t="s">
        <v>957</v>
      </c>
      <c r="S708" s="39" t="s">
        <v>1052</v>
      </c>
      <c r="T708" s="39" t="s">
        <v>1053</v>
      </c>
      <c r="U708" s="39" t="s">
        <v>1051</v>
      </c>
      <c r="X708" s="39" t="s">
        <v>1371</v>
      </c>
      <c r="Y708" s="39" t="s">
        <v>1372</v>
      </c>
      <c r="Z708" s="39" t="s">
        <v>872</v>
      </c>
      <c r="AB708" s="39">
        <v>8.0</v>
      </c>
    </row>
    <row r="709">
      <c r="A709" s="39" t="s">
        <v>1272</v>
      </c>
      <c r="B709" s="39" t="s">
        <v>1273</v>
      </c>
      <c r="C709" s="39">
        <v>7.0</v>
      </c>
      <c r="D709" s="41">
        <v>44064.0</v>
      </c>
      <c r="E709" s="39" t="s">
        <v>1048</v>
      </c>
      <c r="F709" s="39" t="s">
        <v>1049</v>
      </c>
      <c r="G709" s="39" t="s">
        <v>1050</v>
      </c>
      <c r="H709" s="39">
        <v>820.0</v>
      </c>
      <c r="N709" s="39" t="s">
        <v>1051</v>
      </c>
      <c r="R709" s="39" t="s">
        <v>957</v>
      </c>
      <c r="S709" s="39" t="s">
        <v>1274</v>
      </c>
      <c r="T709" s="39" t="s">
        <v>1053</v>
      </c>
      <c r="U709" s="39" t="s">
        <v>1051</v>
      </c>
      <c r="X709" s="39" t="s">
        <v>1373</v>
      </c>
      <c r="Y709" s="39" t="s">
        <v>1276</v>
      </c>
      <c r="Z709" s="39" t="s">
        <v>872</v>
      </c>
      <c r="AB709" s="39">
        <v>7.0</v>
      </c>
    </row>
    <row r="710">
      <c r="A710" s="39" t="s">
        <v>1369</v>
      </c>
      <c r="B710" s="39" t="s">
        <v>1370</v>
      </c>
      <c r="C710" s="39">
        <v>7.0</v>
      </c>
      <c r="D710" s="41">
        <v>44064.0</v>
      </c>
      <c r="E710" s="39" t="s">
        <v>1059</v>
      </c>
      <c r="F710" s="39" t="s">
        <v>1060</v>
      </c>
      <c r="G710" s="39" t="s">
        <v>1050</v>
      </c>
      <c r="H710" s="39">
        <v>820.0</v>
      </c>
      <c r="N710" s="39" t="s">
        <v>1051</v>
      </c>
      <c r="R710" s="39" t="s">
        <v>957</v>
      </c>
      <c r="S710" s="39" t="s">
        <v>1052</v>
      </c>
      <c r="T710" s="39" t="s">
        <v>1053</v>
      </c>
      <c r="U710" s="39" t="s">
        <v>1051</v>
      </c>
      <c r="X710" s="39" t="s">
        <v>1374</v>
      </c>
      <c r="Y710" s="39" t="s">
        <v>1372</v>
      </c>
      <c r="Z710" s="39" t="s">
        <v>872</v>
      </c>
      <c r="AB710" s="39">
        <v>7.0</v>
      </c>
    </row>
    <row r="711">
      <c r="A711" s="39" t="s">
        <v>1375</v>
      </c>
      <c r="B711" s="39" t="s">
        <v>1376</v>
      </c>
      <c r="C711" s="39">
        <v>0.5</v>
      </c>
      <c r="D711" s="41">
        <v>44067.0</v>
      </c>
      <c r="E711" s="39" t="s">
        <v>828</v>
      </c>
      <c r="F711" s="39" t="s">
        <v>829</v>
      </c>
      <c r="G711" s="39" t="s">
        <v>830</v>
      </c>
      <c r="H711" s="39">
        <v>820.0</v>
      </c>
      <c r="N711" s="39" t="s">
        <v>938</v>
      </c>
      <c r="R711" s="39" t="s">
        <v>832</v>
      </c>
      <c r="S711" s="39" t="s">
        <v>939</v>
      </c>
      <c r="T711" s="39" t="s">
        <v>741</v>
      </c>
      <c r="U711" s="39" t="s">
        <v>938</v>
      </c>
      <c r="X711" s="39" t="s">
        <v>1377</v>
      </c>
      <c r="Y711" s="39" t="s">
        <v>1115</v>
      </c>
      <c r="Z711" s="39" t="s">
        <v>872</v>
      </c>
      <c r="AB711" s="39">
        <v>0.5</v>
      </c>
    </row>
    <row r="712">
      <c r="A712" s="39" t="s">
        <v>571</v>
      </c>
      <c r="B712" s="39" t="s">
        <v>572</v>
      </c>
      <c r="C712" s="39">
        <v>0.333333333333333</v>
      </c>
      <c r="D712" s="41">
        <v>44067.0</v>
      </c>
      <c r="E712" s="39" t="s">
        <v>828</v>
      </c>
      <c r="F712" s="39" t="s">
        <v>829</v>
      </c>
      <c r="G712" s="39" t="s">
        <v>830</v>
      </c>
      <c r="H712" s="39">
        <v>820.0</v>
      </c>
      <c r="N712" s="39" t="s">
        <v>831</v>
      </c>
      <c r="R712" s="39" t="s">
        <v>832</v>
      </c>
      <c r="S712" s="39" t="s">
        <v>842</v>
      </c>
      <c r="T712" s="39" t="s">
        <v>834</v>
      </c>
      <c r="U712" s="39" t="s">
        <v>831</v>
      </c>
      <c r="W712" s="39" t="s">
        <v>302</v>
      </c>
      <c r="X712" s="39" t="s">
        <v>843</v>
      </c>
      <c r="Z712" s="39" t="s">
        <v>828</v>
      </c>
      <c r="AB712" s="39">
        <v>0.333333333333333</v>
      </c>
    </row>
    <row r="713">
      <c r="A713" s="39" t="s">
        <v>1115</v>
      </c>
      <c r="B713" s="39" t="s">
        <v>1122</v>
      </c>
      <c r="C713" s="39">
        <v>1.0</v>
      </c>
      <c r="D713" s="41">
        <v>44067.0</v>
      </c>
      <c r="E713" s="39" t="s">
        <v>828</v>
      </c>
      <c r="F713" s="39" t="s">
        <v>829</v>
      </c>
      <c r="G713" s="39" t="s">
        <v>830</v>
      </c>
      <c r="H713" s="39">
        <v>820.0</v>
      </c>
      <c r="N713" s="39" t="s">
        <v>938</v>
      </c>
      <c r="R713" s="39" t="s">
        <v>72</v>
      </c>
      <c r="S713" s="39" t="s">
        <v>842</v>
      </c>
      <c r="T713" s="39" t="s">
        <v>741</v>
      </c>
      <c r="U713" s="39" t="s">
        <v>938</v>
      </c>
      <c r="X713" s="39" t="s">
        <v>1123</v>
      </c>
      <c r="Z713" s="39" t="s">
        <v>872</v>
      </c>
      <c r="AB713" s="39">
        <v>1.0</v>
      </c>
    </row>
    <row r="714">
      <c r="A714" s="39" t="s">
        <v>1347</v>
      </c>
      <c r="B714" s="39" t="s">
        <v>1378</v>
      </c>
      <c r="C714" s="39">
        <v>7.0</v>
      </c>
      <c r="D714" s="41">
        <v>44067.0</v>
      </c>
      <c r="E714" s="39" t="s">
        <v>1048</v>
      </c>
      <c r="F714" s="39" t="s">
        <v>1049</v>
      </c>
      <c r="G714" s="39" t="s">
        <v>1050</v>
      </c>
      <c r="H714" s="39">
        <v>820.0</v>
      </c>
      <c r="N714" s="39" t="s">
        <v>1051</v>
      </c>
      <c r="R714" s="39" t="s">
        <v>832</v>
      </c>
      <c r="S714" s="39" t="s">
        <v>1052</v>
      </c>
      <c r="T714" s="39" t="s">
        <v>1053</v>
      </c>
      <c r="U714" s="39" t="s">
        <v>1051</v>
      </c>
      <c r="X714" s="39" t="s">
        <v>1379</v>
      </c>
      <c r="Z714" s="39" t="s">
        <v>872</v>
      </c>
      <c r="AB714" s="39">
        <v>7.0</v>
      </c>
    </row>
    <row r="715">
      <c r="A715" s="39" t="s">
        <v>1380</v>
      </c>
      <c r="B715" s="39" t="s">
        <v>1381</v>
      </c>
      <c r="C715" s="39">
        <v>8.0</v>
      </c>
      <c r="D715" s="41">
        <v>44067.0</v>
      </c>
      <c r="E715" s="39" t="s">
        <v>1059</v>
      </c>
      <c r="F715" s="39" t="s">
        <v>1060</v>
      </c>
      <c r="G715" s="39" t="s">
        <v>1050</v>
      </c>
      <c r="H715" s="39">
        <v>820.0</v>
      </c>
      <c r="N715" s="39" t="s">
        <v>1051</v>
      </c>
      <c r="R715" s="39" t="s">
        <v>832</v>
      </c>
      <c r="S715" s="39" t="s">
        <v>889</v>
      </c>
      <c r="T715" s="39" t="s">
        <v>1053</v>
      </c>
      <c r="U715" s="39" t="s">
        <v>1051</v>
      </c>
      <c r="X715" s="39" t="s">
        <v>1382</v>
      </c>
      <c r="Y715" s="39" t="s">
        <v>1131</v>
      </c>
      <c r="Z715" s="39" t="s">
        <v>872</v>
      </c>
      <c r="AB715" s="39">
        <v>8.0</v>
      </c>
    </row>
    <row r="716">
      <c r="A716" s="39" t="s">
        <v>1042</v>
      </c>
      <c r="B716" s="39" t="s">
        <v>1328</v>
      </c>
      <c r="C716" s="39">
        <v>4.0</v>
      </c>
      <c r="D716" s="41">
        <v>44067.333333333336</v>
      </c>
      <c r="E716" s="39" t="s">
        <v>1291</v>
      </c>
      <c r="F716" s="39" t="s">
        <v>1292</v>
      </c>
      <c r="G716" s="39" t="s">
        <v>1050</v>
      </c>
      <c r="H716" s="39">
        <v>820.0</v>
      </c>
      <c r="N716" s="39" t="s">
        <v>938</v>
      </c>
      <c r="R716" s="39" t="s">
        <v>832</v>
      </c>
      <c r="S716" s="39" t="s">
        <v>889</v>
      </c>
      <c r="T716" s="39" t="s">
        <v>741</v>
      </c>
      <c r="U716" s="39" t="s">
        <v>938</v>
      </c>
      <c r="X716" s="39" t="s">
        <v>1329</v>
      </c>
      <c r="Y716" s="39" t="s">
        <v>1115</v>
      </c>
      <c r="Z716" s="39" t="s">
        <v>872</v>
      </c>
      <c r="AB716" s="39">
        <v>4.0</v>
      </c>
    </row>
    <row r="717">
      <c r="A717" s="39" t="s">
        <v>1042</v>
      </c>
      <c r="B717" s="39" t="s">
        <v>1328</v>
      </c>
      <c r="C717" s="39">
        <v>4.0</v>
      </c>
      <c r="D717" s="41">
        <v>44067.541666666664</v>
      </c>
      <c r="E717" s="39" t="s">
        <v>1291</v>
      </c>
      <c r="F717" s="39" t="s">
        <v>1292</v>
      </c>
      <c r="G717" s="39" t="s">
        <v>1050</v>
      </c>
      <c r="H717" s="39">
        <v>820.0</v>
      </c>
      <c r="N717" s="39" t="s">
        <v>938</v>
      </c>
      <c r="R717" s="39" t="s">
        <v>832</v>
      </c>
      <c r="S717" s="39" t="s">
        <v>889</v>
      </c>
      <c r="T717" s="39" t="s">
        <v>741</v>
      </c>
      <c r="U717" s="39" t="s">
        <v>938</v>
      </c>
      <c r="X717" s="39" t="s">
        <v>1329</v>
      </c>
      <c r="Y717" s="39" t="s">
        <v>1115</v>
      </c>
      <c r="Z717" s="39" t="s">
        <v>872</v>
      </c>
      <c r="AB717" s="39">
        <v>4.0</v>
      </c>
    </row>
    <row r="718">
      <c r="A718" s="39" t="s">
        <v>1338</v>
      </c>
      <c r="B718" s="39" t="s">
        <v>1339</v>
      </c>
      <c r="C718" s="39">
        <v>0.283333333333333</v>
      </c>
      <c r="D718" s="41">
        <v>44068.0</v>
      </c>
      <c r="E718" s="39" t="s">
        <v>828</v>
      </c>
      <c r="F718" s="39" t="s">
        <v>829</v>
      </c>
      <c r="G718" s="39" t="s">
        <v>830</v>
      </c>
      <c r="H718" s="39">
        <v>820.0</v>
      </c>
      <c r="N718" s="39" t="s">
        <v>883</v>
      </c>
      <c r="R718" s="39" t="s">
        <v>832</v>
      </c>
      <c r="S718" s="39" t="s">
        <v>842</v>
      </c>
      <c r="T718" s="39" t="s">
        <v>884</v>
      </c>
      <c r="U718" s="39" t="s">
        <v>883</v>
      </c>
      <c r="X718" s="39" t="s">
        <v>1340</v>
      </c>
      <c r="Z718" s="39" t="s">
        <v>951</v>
      </c>
      <c r="AB718" s="39">
        <v>0.283333333333333</v>
      </c>
      <c r="AC718" s="39">
        <v>4.0</v>
      </c>
      <c r="AD718" s="39">
        <v>1.61666666666666</v>
      </c>
    </row>
    <row r="719">
      <c r="A719" s="39" t="s">
        <v>1119</v>
      </c>
      <c r="B719" s="39" t="s">
        <v>1120</v>
      </c>
      <c r="C719" s="39">
        <v>0.0333333333333333</v>
      </c>
      <c r="D719" s="41">
        <v>44068.0</v>
      </c>
      <c r="E719" s="39" t="s">
        <v>828</v>
      </c>
      <c r="F719" s="39" t="s">
        <v>829</v>
      </c>
      <c r="G719" s="39" t="s">
        <v>830</v>
      </c>
      <c r="H719" s="39">
        <v>820.0</v>
      </c>
      <c r="N719" s="39" t="s">
        <v>938</v>
      </c>
      <c r="R719" s="39" t="s">
        <v>832</v>
      </c>
      <c r="S719" s="39" t="s">
        <v>939</v>
      </c>
      <c r="T719" s="39" t="s">
        <v>741</v>
      </c>
      <c r="U719" s="39" t="s">
        <v>938</v>
      </c>
      <c r="X719" s="39" t="s">
        <v>1121</v>
      </c>
      <c r="Y719" s="39" t="s">
        <v>1027</v>
      </c>
      <c r="Z719" s="39" t="s">
        <v>828</v>
      </c>
      <c r="AB719" s="39">
        <v>0.0333333333333333</v>
      </c>
    </row>
    <row r="720">
      <c r="A720" s="39" t="s">
        <v>1115</v>
      </c>
      <c r="B720" s="39" t="s">
        <v>1122</v>
      </c>
      <c r="C720" s="39">
        <v>0.45</v>
      </c>
      <c r="D720" s="41">
        <v>44068.0</v>
      </c>
      <c r="E720" s="39" t="s">
        <v>828</v>
      </c>
      <c r="F720" s="39" t="s">
        <v>829</v>
      </c>
      <c r="G720" s="39" t="s">
        <v>830</v>
      </c>
      <c r="H720" s="39">
        <v>820.0</v>
      </c>
      <c r="N720" s="39" t="s">
        <v>938</v>
      </c>
      <c r="R720" s="39" t="s">
        <v>72</v>
      </c>
      <c r="S720" s="39" t="s">
        <v>842</v>
      </c>
      <c r="T720" s="39" t="s">
        <v>741</v>
      </c>
      <c r="U720" s="39" t="s">
        <v>938</v>
      </c>
      <c r="X720" s="39" t="s">
        <v>1123</v>
      </c>
      <c r="Z720" s="39" t="s">
        <v>872</v>
      </c>
      <c r="AB720" s="39">
        <v>0.45</v>
      </c>
    </row>
    <row r="721">
      <c r="A721" s="39" t="s">
        <v>1383</v>
      </c>
      <c r="B721" s="39" t="s">
        <v>1384</v>
      </c>
      <c r="C721" s="39">
        <v>7.0</v>
      </c>
      <c r="D721" s="41">
        <v>44068.0</v>
      </c>
      <c r="E721" s="39" t="s">
        <v>1048</v>
      </c>
      <c r="F721" s="39" t="s">
        <v>1049</v>
      </c>
      <c r="G721" s="39" t="s">
        <v>1050</v>
      </c>
      <c r="H721" s="39">
        <v>820.0</v>
      </c>
      <c r="N721" s="39" t="s">
        <v>1051</v>
      </c>
      <c r="R721" s="39" t="s">
        <v>832</v>
      </c>
      <c r="S721" s="39" t="s">
        <v>842</v>
      </c>
      <c r="T721" s="39" t="s">
        <v>1053</v>
      </c>
      <c r="U721" s="39" t="s">
        <v>1051</v>
      </c>
      <c r="X721" s="39" t="s">
        <v>1385</v>
      </c>
      <c r="Y721" s="39" t="s">
        <v>1386</v>
      </c>
      <c r="Z721" s="39" t="s">
        <v>872</v>
      </c>
      <c r="AB721" s="39">
        <v>7.0</v>
      </c>
    </row>
    <row r="722">
      <c r="A722" s="39" t="s">
        <v>1387</v>
      </c>
      <c r="B722" s="39" t="s">
        <v>1388</v>
      </c>
      <c r="C722" s="39">
        <v>7.0</v>
      </c>
      <c r="D722" s="41">
        <v>44068.0</v>
      </c>
      <c r="E722" s="39" t="s">
        <v>1059</v>
      </c>
      <c r="F722" s="39" t="s">
        <v>1060</v>
      </c>
      <c r="G722" s="39" t="s">
        <v>1050</v>
      </c>
      <c r="H722" s="39">
        <v>820.0</v>
      </c>
      <c r="N722" s="39" t="s">
        <v>1051</v>
      </c>
      <c r="R722" s="39" t="s">
        <v>832</v>
      </c>
      <c r="S722" s="39" t="s">
        <v>1274</v>
      </c>
      <c r="T722" s="39" t="s">
        <v>1053</v>
      </c>
      <c r="U722" s="39" t="s">
        <v>1051</v>
      </c>
      <c r="X722" s="39" t="s">
        <v>1389</v>
      </c>
      <c r="Y722" s="39" t="s">
        <v>1390</v>
      </c>
      <c r="Z722" s="39" t="s">
        <v>872</v>
      </c>
      <c r="AB722" s="39">
        <v>7.0</v>
      </c>
    </row>
    <row r="723">
      <c r="A723" s="39" t="s">
        <v>1042</v>
      </c>
      <c r="B723" s="39" t="s">
        <v>1328</v>
      </c>
      <c r="C723" s="39">
        <v>4.0</v>
      </c>
      <c r="D723" s="41">
        <v>44068.333333333336</v>
      </c>
      <c r="E723" s="39" t="s">
        <v>1291</v>
      </c>
      <c r="F723" s="39" t="s">
        <v>1292</v>
      </c>
      <c r="G723" s="39" t="s">
        <v>1050</v>
      </c>
      <c r="H723" s="39">
        <v>820.0</v>
      </c>
      <c r="N723" s="39" t="s">
        <v>938</v>
      </c>
      <c r="R723" s="39" t="s">
        <v>832</v>
      </c>
      <c r="S723" s="39" t="s">
        <v>889</v>
      </c>
      <c r="T723" s="39" t="s">
        <v>741</v>
      </c>
      <c r="U723" s="39" t="s">
        <v>938</v>
      </c>
      <c r="X723" s="39" t="s">
        <v>1329</v>
      </c>
      <c r="Y723" s="39" t="s">
        <v>1115</v>
      </c>
      <c r="Z723" s="39" t="s">
        <v>872</v>
      </c>
      <c r="AB723" s="39">
        <v>4.0</v>
      </c>
    </row>
    <row r="724">
      <c r="A724" s="39" t="s">
        <v>1042</v>
      </c>
      <c r="B724" s="39" t="s">
        <v>1328</v>
      </c>
      <c r="C724" s="39">
        <v>4.0</v>
      </c>
      <c r="D724" s="41">
        <v>44068.541666666664</v>
      </c>
      <c r="E724" s="39" t="s">
        <v>1291</v>
      </c>
      <c r="F724" s="39" t="s">
        <v>1292</v>
      </c>
      <c r="G724" s="39" t="s">
        <v>1050</v>
      </c>
      <c r="H724" s="39">
        <v>820.0</v>
      </c>
      <c r="N724" s="39" t="s">
        <v>938</v>
      </c>
      <c r="R724" s="39" t="s">
        <v>832</v>
      </c>
      <c r="S724" s="39" t="s">
        <v>889</v>
      </c>
      <c r="T724" s="39" t="s">
        <v>741</v>
      </c>
      <c r="U724" s="39" t="s">
        <v>938</v>
      </c>
      <c r="X724" s="39" t="s">
        <v>1329</v>
      </c>
      <c r="Y724" s="39" t="s">
        <v>1115</v>
      </c>
      <c r="Z724" s="39" t="s">
        <v>872</v>
      </c>
      <c r="AB724" s="39">
        <v>4.0</v>
      </c>
    </row>
    <row r="725">
      <c r="A725" s="39" t="s">
        <v>1391</v>
      </c>
      <c r="B725" s="39" t="s">
        <v>1392</v>
      </c>
      <c r="C725" s="39">
        <v>0.216666666666666</v>
      </c>
      <c r="D725" s="41">
        <v>44069.0</v>
      </c>
      <c r="E725" s="39" t="s">
        <v>828</v>
      </c>
      <c r="F725" s="39" t="s">
        <v>829</v>
      </c>
      <c r="G725" s="39" t="s">
        <v>830</v>
      </c>
      <c r="H725" s="39">
        <v>820.0</v>
      </c>
      <c r="N725" s="39" t="s">
        <v>938</v>
      </c>
      <c r="R725" s="39" t="s">
        <v>957</v>
      </c>
      <c r="S725" s="39" t="s">
        <v>966</v>
      </c>
      <c r="T725" s="39" t="s">
        <v>741</v>
      </c>
      <c r="U725" s="39" t="s">
        <v>938</v>
      </c>
      <c r="X725" s="39" t="s">
        <v>1393</v>
      </c>
      <c r="Y725" s="39" t="s">
        <v>1192</v>
      </c>
      <c r="Z725" s="39" t="s">
        <v>872</v>
      </c>
      <c r="AB725" s="39">
        <v>0.216666666666666</v>
      </c>
    </row>
    <row r="726">
      <c r="A726" s="39" t="s">
        <v>1189</v>
      </c>
      <c r="B726" s="39" t="s">
        <v>1190</v>
      </c>
      <c r="C726" s="39">
        <v>0.0333333333333333</v>
      </c>
      <c r="D726" s="41">
        <v>44069.0</v>
      </c>
      <c r="E726" s="39" t="s">
        <v>828</v>
      </c>
      <c r="F726" s="39" t="s">
        <v>829</v>
      </c>
      <c r="G726" s="39" t="s">
        <v>830</v>
      </c>
      <c r="H726" s="39">
        <v>820.0</v>
      </c>
      <c r="N726" s="39" t="s">
        <v>938</v>
      </c>
      <c r="R726" s="39" t="s">
        <v>957</v>
      </c>
      <c r="S726" s="39" t="s">
        <v>966</v>
      </c>
      <c r="T726" s="39" t="s">
        <v>741</v>
      </c>
      <c r="U726" s="39" t="s">
        <v>938</v>
      </c>
      <c r="X726" s="39" t="s">
        <v>1191</v>
      </c>
      <c r="Y726" s="39" t="s">
        <v>1192</v>
      </c>
      <c r="Z726" s="39" t="s">
        <v>872</v>
      </c>
      <c r="AB726" s="39">
        <v>0.0333333333333333</v>
      </c>
    </row>
    <row r="727">
      <c r="A727" s="39" t="s">
        <v>1228</v>
      </c>
      <c r="B727" s="39" t="s">
        <v>1229</v>
      </c>
      <c r="C727" s="39">
        <v>0.183333333333333</v>
      </c>
      <c r="D727" s="41">
        <v>44069.0</v>
      </c>
      <c r="E727" s="39" t="s">
        <v>828</v>
      </c>
      <c r="F727" s="39" t="s">
        <v>829</v>
      </c>
      <c r="G727" s="39" t="s">
        <v>830</v>
      </c>
      <c r="H727" s="39">
        <v>820.0</v>
      </c>
      <c r="N727" s="39" t="s">
        <v>938</v>
      </c>
      <c r="R727" s="39" t="s">
        <v>957</v>
      </c>
      <c r="S727" s="39" t="s">
        <v>966</v>
      </c>
      <c r="T727" s="39" t="s">
        <v>741</v>
      </c>
      <c r="U727" s="39" t="s">
        <v>938</v>
      </c>
      <c r="X727" s="39" t="s">
        <v>1230</v>
      </c>
      <c r="Y727" s="39" t="s">
        <v>1192</v>
      </c>
      <c r="Z727" s="39" t="s">
        <v>872</v>
      </c>
      <c r="AB727" s="39">
        <v>0.183333333333333</v>
      </c>
    </row>
    <row r="728">
      <c r="A728" s="39" t="s">
        <v>1112</v>
      </c>
      <c r="B728" s="39" t="s">
        <v>1113</v>
      </c>
      <c r="C728" s="39">
        <v>0.0833333333333333</v>
      </c>
      <c r="D728" s="41">
        <v>44069.0</v>
      </c>
      <c r="E728" s="39" t="s">
        <v>828</v>
      </c>
      <c r="F728" s="39" t="s">
        <v>829</v>
      </c>
      <c r="G728" s="39" t="s">
        <v>830</v>
      </c>
      <c r="H728" s="39">
        <v>820.0</v>
      </c>
      <c r="N728" s="39" t="s">
        <v>938</v>
      </c>
      <c r="R728" s="39" t="s">
        <v>832</v>
      </c>
      <c r="S728" s="39" t="s">
        <v>889</v>
      </c>
      <c r="T728" s="39" t="s">
        <v>741</v>
      </c>
      <c r="U728" s="39" t="s">
        <v>938</v>
      </c>
      <c r="X728" s="39" t="s">
        <v>1114</v>
      </c>
      <c r="Y728" s="39" t="s">
        <v>1115</v>
      </c>
      <c r="Z728" s="39" t="s">
        <v>872</v>
      </c>
      <c r="AB728" s="39">
        <v>0.0833333333333333</v>
      </c>
    </row>
    <row r="729">
      <c r="A729" s="39" t="s">
        <v>1375</v>
      </c>
      <c r="B729" s="39" t="s">
        <v>1376</v>
      </c>
      <c r="C729" s="39">
        <v>1.88333333333333</v>
      </c>
      <c r="D729" s="41">
        <v>44069.0</v>
      </c>
      <c r="E729" s="39" t="s">
        <v>828</v>
      </c>
      <c r="F729" s="39" t="s">
        <v>829</v>
      </c>
      <c r="G729" s="39" t="s">
        <v>830</v>
      </c>
      <c r="H729" s="39">
        <v>820.0</v>
      </c>
      <c r="N729" s="39" t="s">
        <v>938</v>
      </c>
      <c r="R729" s="39" t="s">
        <v>832</v>
      </c>
      <c r="S729" s="39" t="s">
        <v>939</v>
      </c>
      <c r="T729" s="39" t="s">
        <v>741</v>
      </c>
      <c r="U729" s="39" t="s">
        <v>938</v>
      </c>
      <c r="X729" s="39" t="s">
        <v>1377</v>
      </c>
      <c r="Y729" s="39" t="s">
        <v>1115</v>
      </c>
      <c r="Z729" s="39" t="s">
        <v>872</v>
      </c>
      <c r="AB729" s="39">
        <v>1.88333333333333</v>
      </c>
    </row>
    <row r="730">
      <c r="A730" s="39" t="s">
        <v>1293</v>
      </c>
      <c r="B730" s="39" t="s">
        <v>1294</v>
      </c>
      <c r="C730" s="39">
        <v>0.183333333333333</v>
      </c>
      <c r="D730" s="41">
        <v>44069.0</v>
      </c>
      <c r="E730" s="39" t="s">
        <v>828</v>
      </c>
      <c r="F730" s="39" t="s">
        <v>829</v>
      </c>
      <c r="G730" s="39" t="s">
        <v>830</v>
      </c>
      <c r="H730" s="39">
        <v>820.0</v>
      </c>
      <c r="N730" s="39" t="s">
        <v>938</v>
      </c>
      <c r="R730" s="39" t="s">
        <v>832</v>
      </c>
      <c r="S730" s="39" t="s">
        <v>842</v>
      </c>
      <c r="T730" s="39" t="s">
        <v>741</v>
      </c>
      <c r="U730" s="39" t="s">
        <v>938</v>
      </c>
      <c r="X730" s="39" t="s">
        <v>1295</v>
      </c>
      <c r="Y730" s="39" t="s">
        <v>1074</v>
      </c>
      <c r="Z730" s="39" t="s">
        <v>828</v>
      </c>
      <c r="AB730" s="39">
        <v>0.183333333333333</v>
      </c>
    </row>
    <row r="731">
      <c r="A731" s="39" t="s">
        <v>1115</v>
      </c>
      <c r="B731" s="39" t="s">
        <v>1122</v>
      </c>
      <c r="C731" s="39">
        <v>0.65</v>
      </c>
      <c r="D731" s="41">
        <v>44069.0</v>
      </c>
      <c r="E731" s="39" t="s">
        <v>828</v>
      </c>
      <c r="F731" s="39" t="s">
        <v>829</v>
      </c>
      <c r="G731" s="39" t="s">
        <v>830</v>
      </c>
      <c r="H731" s="39">
        <v>820.0</v>
      </c>
      <c r="N731" s="39" t="s">
        <v>938</v>
      </c>
      <c r="R731" s="39" t="s">
        <v>72</v>
      </c>
      <c r="S731" s="39" t="s">
        <v>842</v>
      </c>
      <c r="T731" s="39" t="s">
        <v>741</v>
      </c>
      <c r="U731" s="39" t="s">
        <v>938</v>
      </c>
      <c r="X731" s="39" t="s">
        <v>1123</v>
      </c>
      <c r="Z731" s="39" t="s">
        <v>872</v>
      </c>
      <c r="AB731" s="39">
        <v>0.65</v>
      </c>
    </row>
    <row r="732">
      <c r="A732" s="39" t="s">
        <v>1394</v>
      </c>
      <c r="B732" s="39" t="s">
        <v>1395</v>
      </c>
      <c r="C732" s="39">
        <v>7.0</v>
      </c>
      <c r="D732" s="41">
        <v>44069.0</v>
      </c>
      <c r="E732" s="39" t="s">
        <v>1048</v>
      </c>
      <c r="F732" s="39" t="s">
        <v>1049</v>
      </c>
      <c r="G732" s="39" t="s">
        <v>1050</v>
      </c>
      <c r="H732" s="39">
        <v>820.0</v>
      </c>
      <c r="N732" s="39" t="s">
        <v>1051</v>
      </c>
      <c r="R732" s="39" t="s">
        <v>957</v>
      </c>
      <c r="S732" s="39" t="s">
        <v>1052</v>
      </c>
      <c r="T732" s="39" t="s">
        <v>1053</v>
      </c>
      <c r="U732" s="39" t="s">
        <v>1051</v>
      </c>
      <c r="X732" s="39" t="s">
        <v>1396</v>
      </c>
      <c r="Y732" s="39" t="s">
        <v>1347</v>
      </c>
      <c r="Z732" s="39" t="s">
        <v>1048</v>
      </c>
      <c r="AB732" s="39">
        <v>7.0</v>
      </c>
    </row>
    <row r="733">
      <c r="A733" s="39" t="s">
        <v>1397</v>
      </c>
      <c r="B733" s="39" t="s">
        <v>1398</v>
      </c>
      <c r="C733" s="39">
        <v>7.0</v>
      </c>
      <c r="D733" s="41">
        <v>44069.0</v>
      </c>
      <c r="E733" s="39" t="s">
        <v>1059</v>
      </c>
      <c r="F733" s="39" t="s">
        <v>1060</v>
      </c>
      <c r="G733" s="39" t="s">
        <v>1050</v>
      </c>
      <c r="H733" s="39">
        <v>820.0</v>
      </c>
      <c r="N733" s="39" t="s">
        <v>1051</v>
      </c>
      <c r="R733" s="39" t="s">
        <v>957</v>
      </c>
      <c r="S733" s="39" t="s">
        <v>842</v>
      </c>
      <c r="T733" s="39" t="s">
        <v>1053</v>
      </c>
      <c r="U733" s="39" t="s">
        <v>1051</v>
      </c>
      <c r="X733" s="39" t="s">
        <v>1399</v>
      </c>
      <c r="Y733" s="39" t="s">
        <v>1400</v>
      </c>
      <c r="Z733" s="39" t="s">
        <v>1059</v>
      </c>
      <c r="AB733" s="39">
        <v>7.0</v>
      </c>
    </row>
    <row r="734">
      <c r="A734" s="39" t="s">
        <v>1027</v>
      </c>
      <c r="B734" s="39" t="s">
        <v>1028</v>
      </c>
      <c r="C734" s="39">
        <v>4.0</v>
      </c>
      <c r="D734" s="41">
        <v>44069.333333333336</v>
      </c>
      <c r="E734" s="39" t="s">
        <v>1291</v>
      </c>
      <c r="F734" s="39" t="s">
        <v>1292</v>
      </c>
      <c r="G734" s="39" t="s">
        <v>1050</v>
      </c>
      <c r="H734" s="39">
        <v>820.0</v>
      </c>
      <c r="N734" s="39" t="s">
        <v>938</v>
      </c>
      <c r="R734" s="39" t="s">
        <v>72</v>
      </c>
      <c r="S734" s="39" t="s">
        <v>939</v>
      </c>
      <c r="T734" s="39" t="s">
        <v>741</v>
      </c>
      <c r="U734" s="39" t="s">
        <v>938</v>
      </c>
      <c r="X734" s="39" t="s">
        <v>1029</v>
      </c>
      <c r="Z734" s="39" t="s">
        <v>872</v>
      </c>
      <c r="AB734" s="39">
        <v>4.0</v>
      </c>
    </row>
    <row r="735">
      <c r="A735" s="39" t="s">
        <v>1192</v>
      </c>
      <c r="B735" s="39" t="s">
        <v>1401</v>
      </c>
      <c r="C735" s="39">
        <v>4.0</v>
      </c>
      <c r="D735" s="41">
        <v>44069.541666666664</v>
      </c>
      <c r="E735" s="39" t="s">
        <v>1291</v>
      </c>
      <c r="F735" s="39" t="s">
        <v>1292</v>
      </c>
      <c r="G735" s="39" t="s">
        <v>1050</v>
      </c>
      <c r="H735" s="39">
        <v>820.0</v>
      </c>
      <c r="N735" s="39" t="s">
        <v>938</v>
      </c>
      <c r="R735" s="39" t="s">
        <v>832</v>
      </c>
      <c r="S735" s="39" t="s">
        <v>939</v>
      </c>
      <c r="T735" s="39" t="s">
        <v>741</v>
      </c>
      <c r="U735" s="39" t="s">
        <v>938</v>
      </c>
      <c r="X735" s="39" t="s">
        <v>1402</v>
      </c>
      <c r="Y735" s="39" t="s">
        <v>1115</v>
      </c>
      <c r="Z735" s="39" t="s">
        <v>872</v>
      </c>
      <c r="AB735" s="39">
        <v>4.0</v>
      </c>
    </row>
    <row r="736">
      <c r="A736" s="39" t="s">
        <v>1115</v>
      </c>
      <c r="B736" s="39" t="s">
        <v>1122</v>
      </c>
      <c r="C736" s="39">
        <v>0.45</v>
      </c>
      <c r="D736" s="41">
        <v>44070.0</v>
      </c>
      <c r="E736" s="39" t="s">
        <v>828</v>
      </c>
      <c r="F736" s="39" t="s">
        <v>829</v>
      </c>
      <c r="G736" s="39" t="s">
        <v>830</v>
      </c>
      <c r="H736" s="39">
        <v>820.0</v>
      </c>
      <c r="N736" s="39" t="s">
        <v>938</v>
      </c>
      <c r="R736" s="39" t="s">
        <v>72</v>
      </c>
      <c r="S736" s="39" t="s">
        <v>842</v>
      </c>
      <c r="T736" s="39" t="s">
        <v>741</v>
      </c>
      <c r="U736" s="39" t="s">
        <v>938</v>
      </c>
      <c r="X736" s="39" t="s">
        <v>1123</v>
      </c>
      <c r="Z736" s="39" t="s">
        <v>872</v>
      </c>
      <c r="AB736" s="39">
        <v>0.45</v>
      </c>
    </row>
    <row r="737">
      <c r="A737" s="39" t="s">
        <v>1386</v>
      </c>
      <c r="B737" s="39" t="s">
        <v>1403</v>
      </c>
      <c r="C737" s="39">
        <v>7.0</v>
      </c>
      <c r="D737" s="41">
        <v>44070.0</v>
      </c>
      <c r="E737" s="39" t="s">
        <v>1048</v>
      </c>
      <c r="F737" s="39" t="s">
        <v>1049</v>
      </c>
      <c r="G737" s="39" t="s">
        <v>1050</v>
      </c>
      <c r="H737" s="39">
        <v>820.0</v>
      </c>
      <c r="N737" s="39" t="s">
        <v>1051</v>
      </c>
      <c r="R737" s="39" t="s">
        <v>72</v>
      </c>
      <c r="S737" s="39" t="s">
        <v>842</v>
      </c>
      <c r="T737" s="39" t="s">
        <v>1053</v>
      </c>
      <c r="U737" s="39" t="s">
        <v>1051</v>
      </c>
      <c r="X737" s="39" t="s">
        <v>1404</v>
      </c>
      <c r="Z737" s="39" t="s">
        <v>872</v>
      </c>
      <c r="AB737" s="39">
        <v>7.0</v>
      </c>
    </row>
    <row r="738">
      <c r="A738" s="39" t="s">
        <v>1405</v>
      </c>
      <c r="B738" s="39" t="s">
        <v>1406</v>
      </c>
      <c r="C738" s="39">
        <v>7.0</v>
      </c>
      <c r="D738" s="41">
        <v>44070.0</v>
      </c>
      <c r="E738" s="39" t="s">
        <v>1059</v>
      </c>
      <c r="F738" s="39" t="s">
        <v>1060</v>
      </c>
      <c r="G738" s="39" t="s">
        <v>1050</v>
      </c>
      <c r="H738" s="39">
        <v>820.0</v>
      </c>
      <c r="N738" s="39" t="s">
        <v>1051</v>
      </c>
      <c r="R738" s="39" t="s">
        <v>832</v>
      </c>
      <c r="S738" s="39" t="s">
        <v>889</v>
      </c>
      <c r="T738" s="39" t="s">
        <v>1053</v>
      </c>
      <c r="U738" s="39" t="s">
        <v>1051</v>
      </c>
      <c r="X738" s="39" t="s">
        <v>1407</v>
      </c>
      <c r="Y738" s="39" t="s">
        <v>1207</v>
      </c>
      <c r="Z738" s="39" t="s">
        <v>872</v>
      </c>
      <c r="AB738" s="39">
        <v>7.0</v>
      </c>
    </row>
    <row r="739">
      <c r="A739" s="39" t="s">
        <v>1112</v>
      </c>
      <c r="B739" s="39" t="s">
        <v>1113</v>
      </c>
      <c r="C739" s="39">
        <v>4.0</v>
      </c>
      <c r="D739" s="41">
        <v>44070.333333333336</v>
      </c>
      <c r="E739" s="39" t="s">
        <v>1291</v>
      </c>
      <c r="F739" s="39" t="s">
        <v>1292</v>
      </c>
      <c r="G739" s="39" t="s">
        <v>1050</v>
      </c>
      <c r="H739" s="39">
        <v>820.0</v>
      </c>
      <c r="N739" s="39" t="s">
        <v>938</v>
      </c>
      <c r="R739" s="39" t="s">
        <v>832</v>
      </c>
      <c r="S739" s="39" t="s">
        <v>889</v>
      </c>
      <c r="T739" s="39" t="s">
        <v>741</v>
      </c>
      <c r="U739" s="39" t="s">
        <v>938</v>
      </c>
      <c r="X739" s="39" t="s">
        <v>1408</v>
      </c>
      <c r="Y739" s="39" t="s">
        <v>1115</v>
      </c>
      <c r="Z739" s="39" t="s">
        <v>872</v>
      </c>
      <c r="AB739" s="39">
        <v>4.0</v>
      </c>
    </row>
    <row r="740">
      <c r="A740" s="39" t="s">
        <v>1219</v>
      </c>
      <c r="B740" s="39" t="s">
        <v>1220</v>
      </c>
      <c r="C740" s="39">
        <v>4.0</v>
      </c>
      <c r="D740" s="41">
        <v>44070.541666666664</v>
      </c>
      <c r="E740" s="39" t="s">
        <v>1291</v>
      </c>
      <c r="F740" s="39" t="s">
        <v>1292</v>
      </c>
      <c r="G740" s="39" t="s">
        <v>1050</v>
      </c>
      <c r="H740" s="39">
        <v>820.0</v>
      </c>
      <c r="N740" s="39" t="s">
        <v>938</v>
      </c>
      <c r="R740" s="39" t="s">
        <v>832</v>
      </c>
      <c r="S740" s="39" t="s">
        <v>939</v>
      </c>
      <c r="T740" s="39" t="s">
        <v>741</v>
      </c>
      <c r="U740" s="39" t="s">
        <v>938</v>
      </c>
      <c r="X740" s="39" t="s">
        <v>1409</v>
      </c>
      <c r="Y740" s="39" t="s">
        <v>1115</v>
      </c>
      <c r="Z740" s="39" t="s">
        <v>872</v>
      </c>
      <c r="AB740" s="39">
        <v>4.0</v>
      </c>
    </row>
    <row r="741">
      <c r="A741" s="39" t="s">
        <v>1347</v>
      </c>
      <c r="B741" s="39" t="s">
        <v>1378</v>
      </c>
      <c r="C741" s="39">
        <v>0.5</v>
      </c>
      <c r="D741" s="41">
        <v>44071.0</v>
      </c>
      <c r="E741" s="39" t="s">
        <v>1048</v>
      </c>
      <c r="F741" s="39" t="s">
        <v>1049</v>
      </c>
      <c r="G741" s="39" t="s">
        <v>1050</v>
      </c>
      <c r="H741" s="39">
        <v>820.0</v>
      </c>
      <c r="N741" s="39" t="s">
        <v>1051</v>
      </c>
      <c r="R741" s="39" t="s">
        <v>832</v>
      </c>
      <c r="S741" s="39" t="s">
        <v>1052</v>
      </c>
      <c r="T741" s="39" t="s">
        <v>1053</v>
      </c>
      <c r="U741" s="39" t="s">
        <v>1051</v>
      </c>
      <c r="X741" s="39" t="s">
        <v>1410</v>
      </c>
      <c r="Z741" s="39" t="s">
        <v>872</v>
      </c>
      <c r="AB741" s="39">
        <v>0.5</v>
      </c>
    </row>
    <row r="742">
      <c r="A742" s="39" t="s">
        <v>1394</v>
      </c>
      <c r="B742" s="39" t="s">
        <v>1395</v>
      </c>
      <c r="C742" s="39">
        <v>3.0</v>
      </c>
      <c r="D742" s="41">
        <v>44071.0</v>
      </c>
      <c r="E742" s="39" t="s">
        <v>1048</v>
      </c>
      <c r="F742" s="39" t="s">
        <v>1049</v>
      </c>
      <c r="G742" s="39" t="s">
        <v>1050</v>
      </c>
      <c r="H742" s="39">
        <v>820.0</v>
      </c>
      <c r="N742" s="39" t="s">
        <v>1051</v>
      </c>
      <c r="R742" s="39" t="s">
        <v>957</v>
      </c>
      <c r="S742" s="39" t="s">
        <v>1052</v>
      </c>
      <c r="T742" s="39" t="s">
        <v>1053</v>
      </c>
      <c r="U742" s="39" t="s">
        <v>1051</v>
      </c>
      <c r="X742" s="39" t="s">
        <v>1411</v>
      </c>
      <c r="Y742" s="39" t="s">
        <v>1347</v>
      </c>
      <c r="Z742" s="39" t="s">
        <v>1048</v>
      </c>
      <c r="AB742" s="39">
        <v>3.0</v>
      </c>
    </row>
    <row r="743">
      <c r="A743" s="39" t="s">
        <v>1412</v>
      </c>
      <c r="B743" s="39" t="s">
        <v>1413</v>
      </c>
      <c r="C743" s="39">
        <v>3.5</v>
      </c>
      <c r="D743" s="41">
        <v>44071.0</v>
      </c>
      <c r="E743" s="39" t="s">
        <v>1048</v>
      </c>
      <c r="F743" s="39" t="s">
        <v>1049</v>
      </c>
      <c r="G743" s="39" t="s">
        <v>1050</v>
      </c>
      <c r="H743" s="39">
        <v>820.0</v>
      </c>
      <c r="N743" s="39" t="s">
        <v>1051</v>
      </c>
      <c r="R743" s="39" t="s">
        <v>957</v>
      </c>
      <c r="S743" s="39" t="s">
        <v>1052</v>
      </c>
      <c r="T743" s="39" t="s">
        <v>1053</v>
      </c>
      <c r="U743" s="39" t="s">
        <v>1051</v>
      </c>
      <c r="X743" s="39" t="s">
        <v>1414</v>
      </c>
      <c r="Y743" s="39" t="s">
        <v>1347</v>
      </c>
      <c r="Z743" s="39" t="s">
        <v>1048</v>
      </c>
      <c r="AB743" s="39">
        <v>3.5</v>
      </c>
    </row>
    <row r="744">
      <c r="A744" s="39" t="s">
        <v>1380</v>
      </c>
      <c r="B744" s="39" t="s">
        <v>1381</v>
      </c>
      <c r="C744" s="39">
        <v>3.0</v>
      </c>
      <c r="D744" s="41">
        <v>44071.0</v>
      </c>
      <c r="E744" s="39" t="s">
        <v>1059</v>
      </c>
      <c r="F744" s="39" t="s">
        <v>1060</v>
      </c>
      <c r="G744" s="39" t="s">
        <v>1050</v>
      </c>
      <c r="H744" s="39">
        <v>820.0</v>
      </c>
      <c r="N744" s="39" t="s">
        <v>1051</v>
      </c>
      <c r="R744" s="39" t="s">
        <v>832</v>
      </c>
      <c r="S744" s="39" t="s">
        <v>889</v>
      </c>
      <c r="T744" s="39" t="s">
        <v>1053</v>
      </c>
      <c r="U744" s="39" t="s">
        <v>1051</v>
      </c>
      <c r="X744" s="39" t="s">
        <v>1415</v>
      </c>
      <c r="Y744" s="39" t="s">
        <v>1131</v>
      </c>
      <c r="Z744" s="39" t="s">
        <v>872</v>
      </c>
      <c r="AB744" s="39">
        <v>3.0</v>
      </c>
    </row>
    <row r="745">
      <c r="A745" s="39" t="s">
        <v>1219</v>
      </c>
      <c r="B745" s="39" t="s">
        <v>1220</v>
      </c>
      <c r="C745" s="39">
        <v>4.0</v>
      </c>
      <c r="D745" s="41">
        <v>44071.333333333336</v>
      </c>
      <c r="E745" s="39" t="s">
        <v>1291</v>
      </c>
      <c r="F745" s="39" t="s">
        <v>1292</v>
      </c>
      <c r="G745" s="39" t="s">
        <v>1050</v>
      </c>
      <c r="H745" s="39">
        <v>820.0</v>
      </c>
      <c r="N745" s="39" t="s">
        <v>938</v>
      </c>
      <c r="R745" s="39" t="s">
        <v>832</v>
      </c>
      <c r="S745" s="39" t="s">
        <v>939</v>
      </c>
      <c r="T745" s="39" t="s">
        <v>741</v>
      </c>
      <c r="U745" s="39" t="s">
        <v>938</v>
      </c>
      <c r="X745" s="39" t="s">
        <v>1221</v>
      </c>
      <c r="Y745" s="39" t="s">
        <v>1115</v>
      </c>
      <c r="Z745" s="39" t="s">
        <v>872</v>
      </c>
      <c r="AB745" s="39">
        <v>4.0</v>
      </c>
    </row>
    <row r="746">
      <c r="A746" s="39" t="s">
        <v>1283</v>
      </c>
      <c r="B746" s="39" t="s">
        <v>1284</v>
      </c>
      <c r="C746" s="39">
        <v>4.0</v>
      </c>
      <c r="D746" s="41">
        <v>44071.541666666664</v>
      </c>
      <c r="E746" s="39" t="s">
        <v>1291</v>
      </c>
      <c r="F746" s="39" t="s">
        <v>1292</v>
      </c>
      <c r="G746" s="39" t="s">
        <v>1050</v>
      </c>
      <c r="H746" s="39">
        <v>820.0</v>
      </c>
      <c r="N746" s="39" t="s">
        <v>938</v>
      </c>
      <c r="R746" s="39" t="s">
        <v>832</v>
      </c>
      <c r="S746" s="39" t="s">
        <v>966</v>
      </c>
      <c r="T746" s="39" t="s">
        <v>741</v>
      </c>
      <c r="U746" s="39" t="s">
        <v>938</v>
      </c>
      <c r="X746" s="39" t="s">
        <v>1285</v>
      </c>
      <c r="Y746" s="39" t="s">
        <v>1115</v>
      </c>
      <c r="Z746" s="39" t="s">
        <v>872</v>
      </c>
      <c r="AB746" s="39">
        <v>4.0</v>
      </c>
    </row>
    <row r="747">
      <c r="A747" s="39" t="s">
        <v>1380</v>
      </c>
      <c r="B747" s="39" t="s">
        <v>1381</v>
      </c>
      <c r="C747" s="39">
        <v>2.0</v>
      </c>
      <c r="D747" s="41">
        <v>44073.0</v>
      </c>
      <c r="E747" s="39" t="s">
        <v>1059</v>
      </c>
      <c r="F747" s="39" t="s">
        <v>1060</v>
      </c>
      <c r="G747" s="39" t="s">
        <v>1050</v>
      </c>
      <c r="H747" s="39">
        <v>820.0</v>
      </c>
      <c r="N747" s="39" t="s">
        <v>1051</v>
      </c>
      <c r="R747" s="39" t="s">
        <v>832</v>
      </c>
      <c r="S747" s="39" t="s">
        <v>889</v>
      </c>
      <c r="T747" s="39" t="s">
        <v>1053</v>
      </c>
      <c r="U747" s="39" t="s">
        <v>1051</v>
      </c>
      <c r="X747" s="39" t="s">
        <v>1416</v>
      </c>
      <c r="Y747" s="39" t="s">
        <v>1131</v>
      </c>
      <c r="Z747" s="39" t="s">
        <v>872</v>
      </c>
      <c r="AB747" s="39">
        <v>2.0</v>
      </c>
    </row>
    <row r="748">
      <c r="A748" s="39" t="s">
        <v>930</v>
      </c>
      <c r="B748" s="39" t="s">
        <v>931</v>
      </c>
      <c r="C748" s="39">
        <v>0.183333333333333</v>
      </c>
      <c r="D748" s="41">
        <v>44074.0</v>
      </c>
      <c r="E748" s="39" t="s">
        <v>828</v>
      </c>
      <c r="F748" s="39" t="s">
        <v>829</v>
      </c>
      <c r="G748" s="39" t="s">
        <v>830</v>
      </c>
      <c r="H748" s="39">
        <v>820.0</v>
      </c>
      <c r="N748" s="39" t="s">
        <v>883</v>
      </c>
      <c r="R748" s="39" t="s">
        <v>832</v>
      </c>
      <c r="S748" s="39" t="s">
        <v>833</v>
      </c>
      <c r="T748" s="39" t="s">
        <v>884</v>
      </c>
      <c r="U748" s="39" t="s">
        <v>883</v>
      </c>
      <c r="W748" s="39" t="s">
        <v>164</v>
      </c>
      <c r="X748" s="39" t="s">
        <v>932</v>
      </c>
      <c r="Z748" s="39" t="s">
        <v>847</v>
      </c>
      <c r="AB748" s="39">
        <v>0.183333333333333</v>
      </c>
      <c r="AC748" s="39">
        <v>6.0</v>
      </c>
      <c r="AD748" s="39">
        <v>0.0</v>
      </c>
    </row>
    <row r="749">
      <c r="A749" s="39" t="s">
        <v>1417</v>
      </c>
      <c r="B749" s="39" t="s">
        <v>1418</v>
      </c>
      <c r="C749" s="39">
        <v>0.116666666666666</v>
      </c>
      <c r="D749" s="41">
        <v>44074.0</v>
      </c>
      <c r="E749" s="39" t="s">
        <v>828</v>
      </c>
      <c r="F749" s="39" t="s">
        <v>829</v>
      </c>
      <c r="G749" s="39" t="s">
        <v>830</v>
      </c>
      <c r="H749" s="39">
        <v>820.0</v>
      </c>
      <c r="N749" s="39" t="s">
        <v>1051</v>
      </c>
      <c r="R749" s="39" t="s">
        <v>832</v>
      </c>
      <c r="S749" s="39" t="s">
        <v>1052</v>
      </c>
      <c r="T749" s="39" t="s">
        <v>1053</v>
      </c>
      <c r="U749" s="39" t="s">
        <v>1051</v>
      </c>
      <c r="X749" s="39" t="s">
        <v>1419</v>
      </c>
      <c r="Z749" s="39" t="s">
        <v>872</v>
      </c>
      <c r="AB749" s="39">
        <v>0.116666666666666</v>
      </c>
    </row>
    <row r="750">
      <c r="A750" s="39" t="s">
        <v>1115</v>
      </c>
      <c r="B750" s="39" t="s">
        <v>1122</v>
      </c>
      <c r="C750" s="39">
        <v>0.216666666666666</v>
      </c>
      <c r="D750" s="41">
        <v>44074.0</v>
      </c>
      <c r="E750" s="39" t="s">
        <v>828</v>
      </c>
      <c r="F750" s="39" t="s">
        <v>829</v>
      </c>
      <c r="G750" s="39" t="s">
        <v>830</v>
      </c>
      <c r="H750" s="39">
        <v>820.0</v>
      </c>
      <c r="N750" s="39" t="s">
        <v>938</v>
      </c>
      <c r="R750" s="39" t="s">
        <v>72</v>
      </c>
      <c r="S750" s="39" t="s">
        <v>842</v>
      </c>
      <c r="T750" s="39" t="s">
        <v>741</v>
      </c>
      <c r="U750" s="39" t="s">
        <v>938</v>
      </c>
      <c r="X750" s="39" t="s">
        <v>1123</v>
      </c>
      <c r="Z750" s="39" t="s">
        <v>872</v>
      </c>
      <c r="AB750" s="39">
        <v>0.216666666666666</v>
      </c>
    </row>
    <row r="751">
      <c r="A751" s="39" t="s">
        <v>1394</v>
      </c>
      <c r="B751" s="39" t="s">
        <v>1395</v>
      </c>
      <c r="C751" s="39">
        <v>4.0</v>
      </c>
      <c r="D751" s="41">
        <v>44074.0</v>
      </c>
      <c r="E751" s="39" t="s">
        <v>1048</v>
      </c>
      <c r="F751" s="39" t="s">
        <v>1049</v>
      </c>
      <c r="G751" s="39" t="s">
        <v>1050</v>
      </c>
      <c r="H751" s="39">
        <v>820.0</v>
      </c>
      <c r="N751" s="39" t="s">
        <v>1051</v>
      </c>
      <c r="R751" s="39" t="s">
        <v>957</v>
      </c>
      <c r="S751" s="39" t="s">
        <v>1052</v>
      </c>
      <c r="T751" s="39" t="s">
        <v>1053</v>
      </c>
      <c r="U751" s="39" t="s">
        <v>1051</v>
      </c>
      <c r="X751" s="39" t="s">
        <v>1420</v>
      </c>
      <c r="Y751" s="39" t="s">
        <v>1347</v>
      </c>
      <c r="Z751" s="39" t="s">
        <v>1048</v>
      </c>
      <c r="AB751" s="39">
        <v>4.0</v>
      </c>
    </row>
    <row r="752">
      <c r="A752" s="39" t="s">
        <v>1412</v>
      </c>
      <c r="B752" s="39" t="s">
        <v>1413</v>
      </c>
      <c r="C752" s="39">
        <v>3.0</v>
      </c>
      <c r="D752" s="41">
        <v>44074.0</v>
      </c>
      <c r="E752" s="39" t="s">
        <v>1048</v>
      </c>
      <c r="F752" s="39" t="s">
        <v>1049</v>
      </c>
      <c r="G752" s="39" t="s">
        <v>1050</v>
      </c>
      <c r="H752" s="39">
        <v>820.0</v>
      </c>
      <c r="N752" s="39" t="s">
        <v>1051</v>
      </c>
      <c r="R752" s="39" t="s">
        <v>957</v>
      </c>
      <c r="S752" s="39" t="s">
        <v>1052</v>
      </c>
      <c r="T752" s="39" t="s">
        <v>1053</v>
      </c>
      <c r="U752" s="39" t="s">
        <v>1051</v>
      </c>
      <c r="X752" s="39" t="s">
        <v>1421</v>
      </c>
      <c r="Y752" s="39" t="s">
        <v>1347</v>
      </c>
      <c r="Z752" s="39" t="s">
        <v>1048</v>
      </c>
      <c r="AB752" s="39">
        <v>3.0</v>
      </c>
    </row>
    <row r="753">
      <c r="A753" s="39" t="s">
        <v>1405</v>
      </c>
      <c r="B753" s="39" t="s">
        <v>1406</v>
      </c>
      <c r="C753" s="39">
        <v>7.0</v>
      </c>
      <c r="D753" s="41">
        <v>44074.0</v>
      </c>
      <c r="E753" s="39" t="s">
        <v>1059</v>
      </c>
      <c r="F753" s="39" t="s">
        <v>1060</v>
      </c>
      <c r="G753" s="39" t="s">
        <v>1050</v>
      </c>
      <c r="H753" s="39">
        <v>820.0</v>
      </c>
      <c r="N753" s="39" t="s">
        <v>1051</v>
      </c>
      <c r="R753" s="39" t="s">
        <v>832</v>
      </c>
      <c r="S753" s="39" t="s">
        <v>889</v>
      </c>
      <c r="T753" s="39" t="s">
        <v>1053</v>
      </c>
      <c r="U753" s="39" t="s">
        <v>1051</v>
      </c>
      <c r="X753" s="39" t="s">
        <v>1422</v>
      </c>
      <c r="Y753" s="39" t="s">
        <v>1207</v>
      </c>
      <c r="Z753" s="39" t="s">
        <v>872</v>
      </c>
      <c r="AB753" s="39">
        <v>7.0</v>
      </c>
    </row>
    <row r="754">
      <c r="A754" s="39" t="s">
        <v>1042</v>
      </c>
      <c r="B754" s="39" t="s">
        <v>1328</v>
      </c>
      <c r="C754" s="39">
        <v>4.0</v>
      </c>
      <c r="D754" s="41">
        <v>44074.333333333336</v>
      </c>
      <c r="E754" s="39" t="s">
        <v>1291</v>
      </c>
      <c r="F754" s="39" t="s">
        <v>1292</v>
      </c>
      <c r="G754" s="39" t="s">
        <v>1050</v>
      </c>
      <c r="H754" s="39">
        <v>820.0</v>
      </c>
      <c r="N754" s="39" t="s">
        <v>938</v>
      </c>
      <c r="R754" s="39" t="s">
        <v>832</v>
      </c>
      <c r="S754" s="39" t="s">
        <v>889</v>
      </c>
      <c r="T754" s="39" t="s">
        <v>741</v>
      </c>
      <c r="U754" s="39" t="s">
        <v>938</v>
      </c>
      <c r="X754" s="39" t="s">
        <v>1329</v>
      </c>
      <c r="Y754" s="39" t="s">
        <v>1115</v>
      </c>
      <c r="Z754" s="39" t="s">
        <v>872</v>
      </c>
      <c r="AB754" s="39">
        <v>4.0</v>
      </c>
    </row>
    <row r="755">
      <c r="A755" s="39" t="s">
        <v>1042</v>
      </c>
      <c r="B755" s="39" t="s">
        <v>1328</v>
      </c>
      <c r="C755" s="39">
        <v>4.0</v>
      </c>
      <c r="D755" s="41">
        <v>44074.541666666664</v>
      </c>
      <c r="E755" s="39" t="s">
        <v>1291</v>
      </c>
      <c r="F755" s="39" t="s">
        <v>1292</v>
      </c>
      <c r="G755" s="39" t="s">
        <v>1050</v>
      </c>
      <c r="H755" s="39">
        <v>820.0</v>
      </c>
      <c r="N755" s="39" t="s">
        <v>938</v>
      </c>
      <c r="R755" s="39" t="s">
        <v>832</v>
      </c>
      <c r="S755" s="39" t="s">
        <v>889</v>
      </c>
      <c r="T755" s="39" t="s">
        <v>741</v>
      </c>
      <c r="U755" s="39" t="s">
        <v>938</v>
      </c>
      <c r="X755" s="39" t="s">
        <v>1329</v>
      </c>
      <c r="Y755" s="39" t="s">
        <v>1115</v>
      </c>
      <c r="Z755" s="39" t="s">
        <v>872</v>
      </c>
      <c r="AB755" s="39">
        <v>4.0</v>
      </c>
    </row>
    <row r="756">
      <c r="A756" s="39" t="s">
        <v>1423</v>
      </c>
      <c r="B756" s="39" t="s">
        <v>1424</v>
      </c>
      <c r="C756" s="39">
        <v>0.683333333333333</v>
      </c>
      <c r="D756" s="41">
        <v>44075.0</v>
      </c>
      <c r="E756" s="39" t="s">
        <v>828</v>
      </c>
      <c r="F756" s="39" t="s">
        <v>829</v>
      </c>
      <c r="G756" s="39" t="s">
        <v>830</v>
      </c>
      <c r="H756" s="39">
        <v>920.0</v>
      </c>
      <c r="N756" s="39" t="s">
        <v>938</v>
      </c>
      <c r="R756" s="39" t="s">
        <v>957</v>
      </c>
      <c r="S756" s="39" t="s">
        <v>966</v>
      </c>
      <c r="T756" s="39" t="s">
        <v>741</v>
      </c>
      <c r="U756" s="39" t="s">
        <v>938</v>
      </c>
      <c r="X756" s="39" t="s">
        <v>1425</v>
      </c>
      <c r="Y756" s="39" t="s">
        <v>1219</v>
      </c>
      <c r="Z756" s="39" t="s">
        <v>872</v>
      </c>
      <c r="AB756" s="39">
        <v>0.683333333333333</v>
      </c>
    </row>
    <row r="757">
      <c r="A757" s="39" t="s">
        <v>1426</v>
      </c>
      <c r="B757" s="39" t="s">
        <v>1427</v>
      </c>
      <c r="C757" s="39">
        <v>0.116666666666666</v>
      </c>
      <c r="D757" s="41">
        <v>44075.0</v>
      </c>
      <c r="E757" s="39" t="s">
        <v>828</v>
      </c>
      <c r="F757" s="39" t="s">
        <v>829</v>
      </c>
      <c r="G757" s="39" t="s">
        <v>830</v>
      </c>
      <c r="H757" s="39">
        <v>920.0</v>
      </c>
      <c r="N757" s="39" t="s">
        <v>938</v>
      </c>
      <c r="R757" s="39" t="s">
        <v>957</v>
      </c>
      <c r="S757" s="39" t="s">
        <v>966</v>
      </c>
      <c r="T757" s="39" t="s">
        <v>741</v>
      </c>
      <c r="U757" s="39" t="s">
        <v>938</v>
      </c>
      <c r="X757" s="39" t="s">
        <v>1428</v>
      </c>
      <c r="Y757" s="39" t="s">
        <v>1219</v>
      </c>
      <c r="Z757" s="39" t="s">
        <v>872</v>
      </c>
      <c r="AB757" s="39">
        <v>0.116666666666666</v>
      </c>
    </row>
    <row r="758">
      <c r="A758" s="39" t="s">
        <v>1019</v>
      </c>
      <c r="B758" s="39" t="s">
        <v>1020</v>
      </c>
      <c r="C758" s="39">
        <v>0.733333333333333</v>
      </c>
      <c r="D758" s="41">
        <v>44075.0</v>
      </c>
      <c r="E758" s="39" t="s">
        <v>828</v>
      </c>
      <c r="F758" s="39" t="s">
        <v>829</v>
      </c>
      <c r="G758" s="39" t="s">
        <v>830</v>
      </c>
      <c r="H758" s="39">
        <v>920.0</v>
      </c>
      <c r="N758" s="39" t="s">
        <v>883</v>
      </c>
      <c r="R758" s="39" t="s">
        <v>1021</v>
      </c>
      <c r="S758" s="39" t="s">
        <v>833</v>
      </c>
      <c r="T758" s="39" t="s">
        <v>884</v>
      </c>
      <c r="U758" s="39" t="s">
        <v>883</v>
      </c>
      <c r="W758" s="39" t="s">
        <v>835</v>
      </c>
      <c r="X758" s="39" t="s">
        <v>1022</v>
      </c>
      <c r="Z758" s="39" t="s">
        <v>1023</v>
      </c>
      <c r="AB758" s="39">
        <v>0.733333333333333</v>
      </c>
      <c r="AC758" s="39">
        <v>0.0</v>
      </c>
      <c r="AD758" s="39">
        <v>0.0</v>
      </c>
    </row>
    <row r="759">
      <c r="A759" s="39" t="s">
        <v>1115</v>
      </c>
      <c r="B759" s="39" t="s">
        <v>1122</v>
      </c>
      <c r="C759" s="39">
        <v>0.75</v>
      </c>
      <c r="D759" s="41">
        <v>44075.0</v>
      </c>
      <c r="E759" s="39" t="s">
        <v>828</v>
      </c>
      <c r="F759" s="39" t="s">
        <v>829</v>
      </c>
      <c r="G759" s="39" t="s">
        <v>830</v>
      </c>
      <c r="H759" s="39">
        <v>920.0</v>
      </c>
      <c r="N759" s="39" t="s">
        <v>938</v>
      </c>
      <c r="R759" s="39" t="s">
        <v>72</v>
      </c>
      <c r="S759" s="39" t="s">
        <v>842</v>
      </c>
      <c r="T759" s="39" t="s">
        <v>741</v>
      </c>
      <c r="U759" s="39" t="s">
        <v>938</v>
      </c>
      <c r="X759" s="39" t="s">
        <v>1123</v>
      </c>
      <c r="Z759" s="39" t="s">
        <v>872</v>
      </c>
      <c r="AB759" s="39">
        <v>0.75</v>
      </c>
    </row>
    <row r="760">
      <c r="A760" s="39" t="s">
        <v>1347</v>
      </c>
      <c r="B760" s="39" t="s">
        <v>1378</v>
      </c>
      <c r="C760" s="39">
        <v>4.0</v>
      </c>
      <c r="D760" s="41">
        <v>44075.0</v>
      </c>
      <c r="E760" s="39" t="s">
        <v>1048</v>
      </c>
      <c r="F760" s="39" t="s">
        <v>1049</v>
      </c>
      <c r="G760" s="39" t="s">
        <v>1050</v>
      </c>
      <c r="H760" s="39">
        <v>920.0</v>
      </c>
      <c r="N760" s="39" t="s">
        <v>1051</v>
      </c>
      <c r="R760" s="39" t="s">
        <v>832</v>
      </c>
      <c r="S760" s="39" t="s">
        <v>1052</v>
      </c>
      <c r="T760" s="39" t="s">
        <v>1053</v>
      </c>
      <c r="U760" s="39" t="s">
        <v>1051</v>
      </c>
      <c r="X760" s="39" t="s">
        <v>1429</v>
      </c>
      <c r="Z760" s="39" t="s">
        <v>872</v>
      </c>
      <c r="AB760" s="39">
        <v>4.0</v>
      </c>
    </row>
    <row r="761">
      <c r="A761" s="39" t="s">
        <v>1383</v>
      </c>
      <c r="B761" s="39" t="s">
        <v>1384</v>
      </c>
      <c r="C761" s="39">
        <v>3.0</v>
      </c>
      <c r="D761" s="41">
        <v>44075.0</v>
      </c>
      <c r="E761" s="39" t="s">
        <v>1048</v>
      </c>
      <c r="F761" s="39" t="s">
        <v>1049</v>
      </c>
      <c r="G761" s="39" t="s">
        <v>1050</v>
      </c>
      <c r="H761" s="39">
        <v>920.0</v>
      </c>
      <c r="N761" s="39" t="s">
        <v>1051</v>
      </c>
      <c r="R761" s="39" t="s">
        <v>832</v>
      </c>
      <c r="S761" s="39" t="s">
        <v>842</v>
      </c>
      <c r="T761" s="39" t="s">
        <v>1053</v>
      </c>
      <c r="U761" s="39" t="s">
        <v>1051</v>
      </c>
      <c r="X761" s="39" t="s">
        <v>1430</v>
      </c>
      <c r="Y761" s="39" t="s">
        <v>1386</v>
      </c>
      <c r="Z761" s="39" t="s">
        <v>872</v>
      </c>
      <c r="AB761" s="39">
        <v>3.0</v>
      </c>
    </row>
    <row r="762">
      <c r="A762" s="39" t="s">
        <v>1431</v>
      </c>
      <c r="B762" s="39" t="s">
        <v>1432</v>
      </c>
      <c r="C762" s="39">
        <v>7.0</v>
      </c>
      <c r="D762" s="41">
        <v>44075.0</v>
      </c>
      <c r="E762" s="39" t="s">
        <v>1059</v>
      </c>
      <c r="F762" s="39" t="s">
        <v>1060</v>
      </c>
      <c r="G762" s="39" t="s">
        <v>1050</v>
      </c>
      <c r="H762" s="39">
        <v>920.0</v>
      </c>
      <c r="N762" s="39" t="s">
        <v>1051</v>
      </c>
      <c r="R762" s="39" t="s">
        <v>957</v>
      </c>
      <c r="S762" s="39" t="s">
        <v>1052</v>
      </c>
      <c r="T762" s="39" t="s">
        <v>1053</v>
      </c>
      <c r="U762" s="39" t="s">
        <v>1051</v>
      </c>
      <c r="X762" s="39" t="s">
        <v>1433</v>
      </c>
      <c r="Y762" s="39" t="s">
        <v>1380</v>
      </c>
      <c r="Z762" s="39" t="s">
        <v>1153</v>
      </c>
      <c r="AB762" s="39">
        <v>7.0</v>
      </c>
    </row>
    <row r="763">
      <c r="A763" s="39" t="s">
        <v>1434</v>
      </c>
      <c r="B763" s="39" t="s">
        <v>1435</v>
      </c>
      <c r="C763" s="39">
        <v>2.0</v>
      </c>
      <c r="D763" s="41">
        <v>44075.625</v>
      </c>
      <c r="E763" s="39" t="s">
        <v>1291</v>
      </c>
      <c r="F763" s="39" t="s">
        <v>1292</v>
      </c>
      <c r="G763" s="39" t="s">
        <v>1050</v>
      </c>
      <c r="H763" s="39">
        <v>920.0</v>
      </c>
      <c r="N763" s="39" t="s">
        <v>938</v>
      </c>
      <c r="R763" s="39" t="s">
        <v>832</v>
      </c>
      <c r="S763" s="39" t="s">
        <v>939</v>
      </c>
      <c r="T763" s="39" t="s">
        <v>741</v>
      </c>
      <c r="U763" s="39" t="s">
        <v>938</v>
      </c>
      <c r="X763" s="39" t="s">
        <v>1436</v>
      </c>
      <c r="Y763" s="39" t="s">
        <v>1115</v>
      </c>
      <c r="Z763" s="39" t="s">
        <v>872</v>
      </c>
      <c r="AB763" s="39">
        <v>2.0</v>
      </c>
      <c r="AD763" s="39">
        <v>0.0</v>
      </c>
    </row>
    <row r="764">
      <c r="A764" s="39" t="s">
        <v>1437</v>
      </c>
      <c r="B764" s="39" t="s">
        <v>1438</v>
      </c>
      <c r="C764" s="39">
        <v>0.183333333333333</v>
      </c>
      <c r="D764" s="41">
        <v>44076.0</v>
      </c>
      <c r="E764" s="39" t="s">
        <v>828</v>
      </c>
      <c r="F764" s="39" t="s">
        <v>829</v>
      </c>
      <c r="G764" s="39" t="s">
        <v>830</v>
      </c>
      <c r="H764" s="39">
        <v>920.0</v>
      </c>
      <c r="N764" s="39" t="s">
        <v>938</v>
      </c>
      <c r="R764" s="39" t="s">
        <v>957</v>
      </c>
      <c r="S764" s="39" t="s">
        <v>966</v>
      </c>
      <c r="T764" s="39" t="s">
        <v>741</v>
      </c>
      <c r="U764" s="39" t="s">
        <v>938</v>
      </c>
      <c r="X764" s="39" t="s">
        <v>1439</v>
      </c>
      <c r="Y764" s="39" t="s">
        <v>1042</v>
      </c>
      <c r="Z764" s="39" t="s">
        <v>1153</v>
      </c>
      <c r="AB764" s="39">
        <v>0.183333333333333</v>
      </c>
    </row>
    <row r="765">
      <c r="A765" s="39" t="s">
        <v>1115</v>
      </c>
      <c r="B765" s="39" t="s">
        <v>1122</v>
      </c>
      <c r="C765" s="39">
        <v>0.766666666666666</v>
      </c>
      <c r="D765" s="41">
        <v>44076.0</v>
      </c>
      <c r="E765" s="39" t="s">
        <v>828</v>
      </c>
      <c r="F765" s="39" t="s">
        <v>829</v>
      </c>
      <c r="G765" s="39" t="s">
        <v>830</v>
      </c>
      <c r="H765" s="39">
        <v>920.0</v>
      </c>
      <c r="N765" s="39" t="s">
        <v>938</v>
      </c>
      <c r="R765" s="39" t="s">
        <v>72</v>
      </c>
      <c r="S765" s="39" t="s">
        <v>842</v>
      </c>
      <c r="T765" s="39" t="s">
        <v>741</v>
      </c>
      <c r="U765" s="39" t="s">
        <v>938</v>
      </c>
      <c r="X765" s="39" t="s">
        <v>1123</v>
      </c>
      <c r="Z765" s="39" t="s">
        <v>872</v>
      </c>
      <c r="AB765" s="39">
        <v>0.766666666666666</v>
      </c>
    </row>
    <row r="766">
      <c r="A766" s="39" t="s">
        <v>1440</v>
      </c>
      <c r="B766" s="39" t="s">
        <v>1441</v>
      </c>
      <c r="C766" s="39">
        <v>7.0</v>
      </c>
      <c r="D766" s="41">
        <v>44076.0</v>
      </c>
      <c r="E766" s="39" t="s">
        <v>1048</v>
      </c>
      <c r="F766" s="39" t="s">
        <v>1049</v>
      </c>
      <c r="G766" s="39" t="s">
        <v>1050</v>
      </c>
      <c r="H766" s="39">
        <v>920.0</v>
      </c>
      <c r="N766" s="39" t="s">
        <v>1051</v>
      </c>
      <c r="R766" s="39" t="s">
        <v>832</v>
      </c>
      <c r="S766" s="39" t="s">
        <v>842</v>
      </c>
      <c r="T766" s="39" t="s">
        <v>1053</v>
      </c>
      <c r="U766" s="39" t="s">
        <v>1051</v>
      </c>
      <c r="X766" s="39" t="s">
        <v>1442</v>
      </c>
      <c r="Y766" s="39" t="s">
        <v>1386</v>
      </c>
      <c r="Z766" s="39" t="s">
        <v>1048</v>
      </c>
      <c r="AB766" s="39">
        <v>7.0</v>
      </c>
    </row>
    <row r="767">
      <c r="A767" s="39" t="s">
        <v>1443</v>
      </c>
      <c r="B767" s="39" t="s">
        <v>1444</v>
      </c>
      <c r="C767" s="39">
        <v>7.0</v>
      </c>
      <c r="D767" s="41">
        <v>44076.0</v>
      </c>
      <c r="E767" s="39" t="s">
        <v>1059</v>
      </c>
      <c r="F767" s="39" t="s">
        <v>1060</v>
      </c>
      <c r="G767" s="39" t="s">
        <v>1050</v>
      </c>
      <c r="H767" s="39">
        <v>920.0</v>
      </c>
      <c r="N767" s="39" t="s">
        <v>1051</v>
      </c>
      <c r="R767" s="39" t="s">
        <v>957</v>
      </c>
      <c r="S767" s="39" t="s">
        <v>1274</v>
      </c>
      <c r="T767" s="39" t="s">
        <v>1053</v>
      </c>
      <c r="U767" s="39" t="s">
        <v>1051</v>
      </c>
      <c r="X767" s="39" t="s">
        <v>1445</v>
      </c>
      <c r="Y767" s="39" t="s">
        <v>1400</v>
      </c>
      <c r="Z767" s="39" t="s">
        <v>1059</v>
      </c>
      <c r="AB767" s="39">
        <v>7.0</v>
      </c>
    </row>
    <row r="768">
      <c r="A768" s="39" t="s">
        <v>1434</v>
      </c>
      <c r="B768" s="39" t="s">
        <v>1435</v>
      </c>
      <c r="C768" s="39">
        <v>4.0</v>
      </c>
      <c r="D768" s="41">
        <v>44076.333333333336</v>
      </c>
      <c r="E768" s="39" t="s">
        <v>1291</v>
      </c>
      <c r="F768" s="39" t="s">
        <v>1292</v>
      </c>
      <c r="G768" s="39" t="s">
        <v>1050</v>
      </c>
      <c r="H768" s="39">
        <v>920.0</v>
      </c>
      <c r="N768" s="39" t="s">
        <v>938</v>
      </c>
      <c r="R768" s="39" t="s">
        <v>832</v>
      </c>
      <c r="S768" s="39" t="s">
        <v>939</v>
      </c>
      <c r="T768" s="39" t="s">
        <v>741</v>
      </c>
      <c r="U768" s="39" t="s">
        <v>938</v>
      </c>
      <c r="X768" s="39" t="s">
        <v>1436</v>
      </c>
      <c r="Y768" s="39" t="s">
        <v>1115</v>
      </c>
      <c r="Z768" s="39" t="s">
        <v>872</v>
      </c>
      <c r="AB768" s="39">
        <v>4.0</v>
      </c>
      <c r="AD768" s="39">
        <v>0.0</v>
      </c>
    </row>
    <row r="769">
      <c r="A769" s="39" t="s">
        <v>1434</v>
      </c>
      <c r="B769" s="39" t="s">
        <v>1435</v>
      </c>
      <c r="C769" s="39">
        <v>4.0</v>
      </c>
      <c r="D769" s="41">
        <v>44076.541666666664</v>
      </c>
      <c r="E769" s="39" t="s">
        <v>1291</v>
      </c>
      <c r="F769" s="39" t="s">
        <v>1292</v>
      </c>
      <c r="G769" s="39" t="s">
        <v>1050</v>
      </c>
      <c r="H769" s="39">
        <v>920.0</v>
      </c>
      <c r="N769" s="39" t="s">
        <v>938</v>
      </c>
      <c r="R769" s="39" t="s">
        <v>832</v>
      </c>
      <c r="S769" s="39" t="s">
        <v>939</v>
      </c>
      <c r="T769" s="39" t="s">
        <v>741</v>
      </c>
      <c r="U769" s="39" t="s">
        <v>938</v>
      </c>
      <c r="X769" s="39" t="s">
        <v>1436</v>
      </c>
      <c r="Y769" s="39" t="s">
        <v>1115</v>
      </c>
      <c r="Z769" s="39" t="s">
        <v>872</v>
      </c>
      <c r="AB769" s="39">
        <v>4.0</v>
      </c>
      <c r="AD769" s="39">
        <v>0.0</v>
      </c>
    </row>
    <row r="770">
      <c r="A770" s="39" t="s">
        <v>1119</v>
      </c>
      <c r="B770" s="39" t="s">
        <v>1120</v>
      </c>
      <c r="C770" s="39">
        <v>2.43333333333333</v>
      </c>
      <c r="D770" s="41">
        <v>44077.0</v>
      </c>
      <c r="E770" s="39" t="s">
        <v>828</v>
      </c>
      <c r="F770" s="39" t="s">
        <v>829</v>
      </c>
      <c r="G770" s="39" t="s">
        <v>830</v>
      </c>
      <c r="H770" s="39">
        <v>920.0</v>
      </c>
      <c r="N770" s="39" t="s">
        <v>938</v>
      </c>
      <c r="R770" s="39" t="s">
        <v>832</v>
      </c>
      <c r="S770" s="39" t="s">
        <v>939</v>
      </c>
      <c r="T770" s="39" t="s">
        <v>741</v>
      </c>
      <c r="U770" s="39" t="s">
        <v>938</v>
      </c>
      <c r="X770" s="39" t="s">
        <v>1121</v>
      </c>
      <c r="Y770" s="39" t="s">
        <v>1027</v>
      </c>
      <c r="Z770" s="39" t="s">
        <v>828</v>
      </c>
      <c r="AB770" s="39">
        <v>2.43333333333333</v>
      </c>
    </row>
    <row r="771">
      <c r="A771" s="39" t="s">
        <v>1174</v>
      </c>
      <c r="B771" s="39" t="s">
        <v>1175</v>
      </c>
      <c r="C771" s="39">
        <v>0.516666666666666</v>
      </c>
      <c r="D771" s="41">
        <v>44077.0</v>
      </c>
      <c r="E771" s="39" t="s">
        <v>828</v>
      </c>
      <c r="F771" s="39" t="s">
        <v>829</v>
      </c>
      <c r="G771" s="39" t="s">
        <v>830</v>
      </c>
      <c r="H771" s="39">
        <v>920.0</v>
      </c>
      <c r="N771" s="39" t="s">
        <v>947</v>
      </c>
      <c r="R771" s="39" t="s">
        <v>832</v>
      </c>
      <c r="S771" s="39" t="s">
        <v>833</v>
      </c>
      <c r="T771" s="39" t="s">
        <v>949</v>
      </c>
      <c r="U771" s="39" t="s">
        <v>947</v>
      </c>
      <c r="X771" s="39" t="s">
        <v>1245</v>
      </c>
      <c r="Z771" s="39" t="s">
        <v>828</v>
      </c>
      <c r="AB771" s="39">
        <v>0.516666666666666</v>
      </c>
    </row>
    <row r="772">
      <c r="A772" s="39" t="s">
        <v>1440</v>
      </c>
      <c r="B772" s="39" t="s">
        <v>1441</v>
      </c>
      <c r="C772" s="39">
        <v>7.0</v>
      </c>
      <c r="D772" s="41">
        <v>44077.0</v>
      </c>
      <c r="E772" s="39" t="s">
        <v>1048</v>
      </c>
      <c r="F772" s="39" t="s">
        <v>1049</v>
      </c>
      <c r="G772" s="39" t="s">
        <v>1050</v>
      </c>
      <c r="H772" s="39">
        <v>920.0</v>
      </c>
      <c r="N772" s="39" t="s">
        <v>1051</v>
      </c>
      <c r="R772" s="39" t="s">
        <v>832</v>
      </c>
      <c r="S772" s="39" t="s">
        <v>842</v>
      </c>
      <c r="T772" s="39" t="s">
        <v>1053</v>
      </c>
      <c r="U772" s="39" t="s">
        <v>1051</v>
      </c>
      <c r="X772" s="39" t="s">
        <v>1446</v>
      </c>
      <c r="Y772" s="39" t="s">
        <v>1386</v>
      </c>
      <c r="Z772" s="39" t="s">
        <v>1048</v>
      </c>
      <c r="AB772" s="39">
        <v>7.0</v>
      </c>
    </row>
    <row r="773">
      <c r="A773" s="39" t="s">
        <v>1443</v>
      </c>
      <c r="B773" s="39" t="s">
        <v>1444</v>
      </c>
      <c r="C773" s="39">
        <v>7.0</v>
      </c>
      <c r="D773" s="41">
        <v>44077.0</v>
      </c>
      <c r="E773" s="39" t="s">
        <v>1059</v>
      </c>
      <c r="F773" s="39" t="s">
        <v>1060</v>
      </c>
      <c r="G773" s="39" t="s">
        <v>1050</v>
      </c>
      <c r="H773" s="39">
        <v>920.0</v>
      </c>
      <c r="N773" s="39" t="s">
        <v>1051</v>
      </c>
      <c r="R773" s="39" t="s">
        <v>957</v>
      </c>
      <c r="S773" s="39" t="s">
        <v>1274</v>
      </c>
      <c r="T773" s="39" t="s">
        <v>1053</v>
      </c>
      <c r="U773" s="39" t="s">
        <v>1051</v>
      </c>
      <c r="X773" s="39" t="s">
        <v>1447</v>
      </c>
      <c r="Y773" s="39" t="s">
        <v>1400</v>
      </c>
      <c r="Z773" s="39" t="s">
        <v>1059</v>
      </c>
      <c r="AB773" s="39">
        <v>7.0</v>
      </c>
    </row>
    <row r="774">
      <c r="A774" s="39" t="s">
        <v>1434</v>
      </c>
      <c r="B774" s="39" t="s">
        <v>1435</v>
      </c>
      <c r="C774" s="39">
        <v>4.0</v>
      </c>
      <c r="D774" s="41">
        <v>44077.333333333336</v>
      </c>
      <c r="E774" s="39" t="s">
        <v>1291</v>
      </c>
      <c r="F774" s="39" t="s">
        <v>1292</v>
      </c>
      <c r="G774" s="39" t="s">
        <v>1050</v>
      </c>
      <c r="H774" s="39">
        <v>920.0</v>
      </c>
      <c r="N774" s="39" t="s">
        <v>938</v>
      </c>
      <c r="R774" s="39" t="s">
        <v>832</v>
      </c>
      <c r="S774" s="39" t="s">
        <v>939</v>
      </c>
      <c r="T774" s="39" t="s">
        <v>741</v>
      </c>
      <c r="U774" s="39" t="s">
        <v>938</v>
      </c>
      <c r="X774" s="39" t="s">
        <v>1436</v>
      </c>
      <c r="Y774" s="39" t="s">
        <v>1115</v>
      </c>
      <c r="Z774" s="39" t="s">
        <v>872</v>
      </c>
      <c r="AB774" s="39">
        <v>4.0</v>
      </c>
      <c r="AD774" s="39">
        <v>0.0</v>
      </c>
    </row>
    <row r="775">
      <c r="A775" s="39" t="s">
        <v>1434</v>
      </c>
      <c r="B775" s="39" t="s">
        <v>1435</v>
      </c>
      <c r="C775" s="39">
        <v>4.0</v>
      </c>
      <c r="D775" s="41">
        <v>44077.541666666664</v>
      </c>
      <c r="E775" s="39" t="s">
        <v>1291</v>
      </c>
      <c r="F775" s="39" t="s">
        <v>1292</v>
      </c>
      <c r="G775" s="39" t="s">
        <v>1050</v>
      </c>
      <c r="H775" s="39">
        <v>920.0</v>
      </c>
      <c r="N775" s="39" t="s">
        <v>938</v>
      </c>
      <c r="R775" s="39" t="s">
        <v>832</v>
      </c>
      <c r="S775" s="39" t="s">
        <v>939</v>
      </c>
      <c r="T775" s="39" t="s">
        <v>741</v>
      </c>
      <c r="U775" s="39" t="s">
        <v>938</v>
      </c>
      <c r="X775" s="39" t="s">
        <v>1436</v>
      </c>
      <c r="Y775" s="39" t="s">
        <v>1115</v>
      </c>
      <c r="Z775" s="39" t="s">
        <v>872</v>
      </c>
      <c r="AB775" s="39">
        <v>4.0</v>
      </c>
      <c r="AD775" s="39">
        <v>0.0</v>
      </c>
    </row>
    <row r="776">
      <c r="A776" s="39" t="s">
        <v>1119</v>
      </c>
      <c r="B776" s="39" t="s">
        <v>1120</v>
      </c>
      <c r="C776" s="39">
        <v>3.95</v>
      </c>
      <c r="D776" s="41">
        <v>44078.0</v>
      </c>
      <c r="E776" s="39" t="s">
        <v>828</v>
      </c>
      <c r="F776" s="39" t="s">
        <v>829</v>
      </c>
      <c r="G776" s="39" t="s">
        <v>830</v>
      </c>
      <c r="H776" s="39">
        <v>920.0</v>
      </c>
      <c r="N776" s="39" t="s">
        <v>938</v>
      </c>
      <c r="R776" s="39" t="s">
        <v>832</v>
      </c>
      <c r="S776" s="39" t="s">
        <v>939</v>
      </c>
      <c r="T776" s="39" t="s">
        <v>741</v>
      </c>
      <c r="U776" s="39" t="s">
        <v>938</v>
      </c>
      <c r="X776" s="39" t="s">
        <v>1121</v>
      </c>
      <c r="Y776" s="39" t="s">
        <v>1027</v>
      </c>
      <c r="Z776" s="39" t="s">
        <v>828</v>
      </c>
      <c r="AB776" s="39">
        <v>3.95</v>
      </c>
    </row>
    <row r="777">
      <c r="A777" s="39" t="s">
        <v>1375</v>
      </c>
      <c r="B777" s="39" t="s">
        <v>1376</v>
      </c>
      <c r="C777" s="39">
        <v>0.133333333333333</v>
      </c>
      <c r="D777" s="41">
        <v>44078.0</v>
      </c>
      <c r="E777" s="39" t="s">
        <v>828</v>
      </c>
      <c r="F777" s="39" t="s">
        <v>829</v>
      </c>
      <c r="G777" s="39" t="s">
        <v>830</v>
      </c>
      <c r="H777" s="39">
        <v>920.0</v>
      </c>
      <c r="N777" s="39" t="s">
        <v>938</v>
      </c>
      <c r="R777" s="39" t="s">
        <v>832</v>
      </c>
      <c r="S777" s="39" t="s">
        <v>939</v>
      </c>
      <c r="T777" s="39" t="s">
        <v>741</v>
      </c>
      <c r="U777" s="39" t="s">
        <v>938</v>
      </c>
      <c r="X777" s="39" t="s">
        <v>1377</v>
      </c>
      <c r="Y777" s="39" t="s">
        <v>1115</v>
      </c>
      <c r="Z777" s="39" t="s">
        <v>872</v>
      </c>
      <c r="AB777" s="39">
        <v>0.133333333333333</v>
      </c>
    </row>
    <row r="778">
      <c r="A778" s="39" t="s">
        <v>1434</v>
      </c>
      <c r="B778" s="39" t="s">
        <v>1435</v>
      </c>
      <c r="C778" s="39">
        <v>0.316666666666666</v>
      </c>
      <c r="D778" s="41">
        <v>44078.0</v>
      </c>
      <c r="E778" s="39" t="s">
        <v>828</v>
      </c>
      <c r="F778" s="39" t="s">
        <v>829</v>
      </c>
      <c r="G778" s="39" t="s">
        <v>830</v>
      </c>
      <c r="H778" s="39">
        <v>920.0</v>
      </c>
      <c r="N778" s="39" t="s">
        <v>938</v>
      </c>
      <c r="R778" s="39" t="s">
        <v>832</v>
      </c>
      <c r="S778" s="39" t="s">
        <v>939</v>
      </c>
      <c r="T778" s="39" t="s">
        <v>741</v>
      </c>
      <c r="U778" s="39" t="s">
        <v>938</v>
      </c>
      <c r="X778" s="39" t="s">
        <v>1436</v>
      </c>
      <c r="Y778" s="39" t="s">
        <v>1115</v>
      </c>
      <c r="Z778" s="39" t="s">
        <v>872</v>
      </c>
      <c r="AB778" s="39">
        <v>0.316666666666666</v>
      </c>
      <c r="AD778" s="39">
        <v>0.0</v>
      </c>
    </row>
    <row r="779">
      <c r="A779" s="39" t="s">
        <v>1448</v>
      </c>
      <c r="B779" s="39" t="s">
        <v>1449</v>
      </c>
      <c r="C779" s="39">
        <v>0.116666666666666</v>
      </c>
      <c r="D779" s="41">
        <v>44078.0</v>
      </c>
      <c r="E779" s="39" t="s">
        <v>828</v>
      </c>
      <c r="F779" s="39" t="s">
        <v>829</v>
      </c>
      <c r="G779" s="39" t="s">
        <v>830</v>
      </c>
      <c r="H779" s="39">
        <v>920.0</v>
      </c>
      <c r="N779" s="39" t="s">
        <v>938</v>
      </c>
      <c r="R779" s="39" t="s">
        <v>832</v>
      </c>
      <c r="S779" s="39" t="s">
        <v>939</v>
      </c>
      <c r="T779" s="39" t="s">
        <v>741</v>
      </c>
      <c r="U779" s="39" t="s">
        <v>938</v>
      </c>
      <c r="X779" s="39" t="s">
        <v>1450</v>
      </c>
      <c r="Y779" s="39" t="s">
        <v>1115</v>
      </c>
      <c r="Z779" s="39" t="s">
        <v>828</v>
      </c>
      <c r="AB779" s="39">
        <v>0.116666666666666</v>
      </c>
    </row>
    <row r="780">
      <c r="A780" s="39" t="s">
        <v>1451</v>
      </c>
      <c r="B780" s="39" t="s">
        <v>1452</v>
      </c>
      <c r="C780" s="39">
        <v>0.233333333333333</v>
      </c>
      <c r="D780" s="41">
        <v>44078.0</v>
      </c>
      <c r="E780" s="39" t="s">
        <v>828</v>
      </c>
      <c r="F780" s="39" t="s">
        <v>829</v>
      </c>
      <c r="G780" s="39" t="s">
        <v>830</v>
      </c>
      <c r="H780" s="39">
        <v>920.0</v>
      </c>
      <c r="N780" s="39" t="s">
        <v>938</v>
      </c>
      <c r="R780" s="39" t="s">
        <v>832</v>
      </c>
      <c r="S780" s="39" t="s">
        <v>939</v>
      </c>
      <c r="T780" s="39" t="s">
        <v>741</v>
      </c>
      <c r="U780" s="39" t="s">
        <v>938</v>
      </c>
      <c r="X780" s="39" t="s">
        <v>1453</v>
      </c>
      <c r="Y780" s="39" t="s">
        <v>1115</v>
      </c>
      <c r="Z780" s="39" t="s">
        <v>828</v>
      </c>
      <c r="AB780" s="39">
        <v>0.233333333333333</v>
      </c>
    </row>
    <row r="781">
      <c r="A781" s="39" t="s">
        <v>1454</v>
      </c>
      <c r="B781" s="39" t="s">
        <v>1455</v>
      </c>
      <c r="C781" s="39">
        <v>0.283333333333333</v>
      </c>
      <c r="D781" s="41">
        <v>44078.0</v>
      </c>
      <c r="E781" s="39" t="s">
        <v>828</v>
      </c>
      <c r="F781" s="39" t="s">
        <v>829</v>
      </c>
      <c r="G781" s="39" t="s">
        <v>830</v>
      </c>
      <c r="H781" s="39">
        <v>920.0</v>
      </c>
      <c r="N781" s="39" t="s">
        <v>938</v>
      </c>
      <c r="R781" s="39" t="s">
        <v>832</v>
      </c>
      <c r="S781" s="39" t="s">
        <v>939</v>
      </c>
      <c r="T781" s="39" t="s">
        <v>741</v>
      </c>
      <c r="U781" s="39" t="s">
        <v>938</v>
      </c>
      <c r="X781" s="39" t="s">
        <v>1456</v>
      </c>
      <c r="Y781" s="39" t="s">
        <v>1115</v>
      </c>
      <c r="Z781" s="39" t="s">
        <v>828</v>
      </c>
      <c r="AB781" s="39">
        <v>0.283333333333333</v>
      </c>
    </row>
    <row r="782">
      <c r="A782" s="39" t="s">
        <v>1457</v>
      </c>
      <c r="B782" s="39" t="s">
        <v>1458</v>
      </c>
      <c r="C782" s="39">
        <v>0.333333333333333</v>
      </c>
      <c r="D782" s="41">
        <v>44078.0</v>
      </c>
      <c r="E782" s="39" t="s">
        <v>828</v>
      </c>
      <c r="F782" s="39" t="s">
        <v>829</v>
      </c>
      <c r="G782" s="39" t="s">
        <v>830</v>
      </c>
      <c r="H782" s="39">
        <v>920.0</v>
      </c>
      <c r="N782" s="39" t="s">
        <v>938</v>
      </c>
      <c r="R782" s="39" t="s">
        <v>832</v>
      </c>
      <c r="S782" s="39" t="s">
        <v>939</v>
      </c>
      <c r="T782" s="39" t="s">
        <v>741</v>
      </c>
      <c r="U782" s="39" t="s">
        <v>938</v>
      </c>
      <c r="X782" s="39" t="s">
        <v>1459</v>
      </c>
      <c r="Y782" s="39" t="s">
        <v>1074</v>
      </c>
      <c r="Z782" s="39" t="s">
        <v>828</v>
      </c>
      <c r="AB782" s="39">
        <v>0.333333333333333</v>
      </c>
    </row>
    <row r="783">
      <c r="A783" s="39" t="s">
        <v>1293</v>
      </c>
      <c r="B783" s="39" t="s">
        <v>1294</v>
      </c>
      <c r="C783" s="39">
        <v>0.0833333333333333</v>
      </c>
      <c r="D783" s="41">
        <v>44078.0</v>
      </c>
      <c r="E783" s="39" t="s">
        <v>828</v>
      </c>
      <c r="F783" s="39" t="s">
        <v>829</v>
      </c>
      <c r="G783" s="39" t="s">
        <v>830</v>
      </c>
      <c r="H783" s="39">
        <v>920.0</v>
      </c>
      <c r="N783" s="39" t="s">
        <v>938</v>
      </c>
      <c r="R783" s="39" t="s">
        <v>832</v>
      </c>
      <c r="S783" s="39" t="s">
        <v>842</v>
      </c>
      <c r="T783" s="39" t="s">
        <v>741</v>
      </c>
      <c r="U783" s="39" t="s">
        <v>938</v>
      </c>
      <c r="X783" s="39" t="s">
        <v>1295</v>
      </c>
      <c r="Y783" s="39" t="s">
        <v>1074</v>
      </c>
      <c r="Z783" s="39" t="s">
        <v>828</v>
      </c>
      <c r="AB783" s="39">
        <v>0.0833333333333333</v>
      </c>
    </row>
    <row r="784">
      <c r="A784" s="39" t="s">
        <v>1440</v>
      </c>
      <c r="B784" s="39" t="s">
        <v>1441</v>
      </c>
      <c r="C784" s="39">
        <v>7.0</v>
      </c>
      <c r="D784" s="41">
        <v>44078.0</v>
      </c>
      <c r="E784" s="39" t="s">
        <v>1048</v>
      </c>
      <c r="F784" s="39" t="s">
        <v>1049</v>
      </c>
      <c r="G784" s="39" t="s">
        <v>1050</v>
      </c>
      <c r="H784" s="39">
        <v>920.0</v>
      </c>
      <c r="N784" s="39" t="s">
        <v>1051</v>
      </c>
      <c r="R784" s="39" t="s">
        <v>832</v>
      </c>
      <c r="S784" s="39" t="s">
        <v>842</v>
      </c>
      <c r="T784" s="39" t="s">
        <v>1053</v>
      </c>
      <c r="U784" s="39" t="s">
        <v>1051</v>
      </c>
      <c r="X784" s="39" t="s">
        <v>1460</v>
      </c>
      <c r="Y784" s="39" t="s">
        <v>1386</v>
      </c>
      <c r="Z784" s="39" t="s">
        <v>1048</v>
      </c>
      <c r="AB784" s="39">
        <v>7.0</v>
      </c>
    </row>
    <row r="785">
      <c r="A785" s="39" t="s">
        <v>1461</v>
      </c>
      <c r="B785" s="39" t="s">
        <v>1462</v>
      </c>
      <c r="C785" s="39">
        <v>7.0</v>
      </c>
      <c r="D785" s="41">
        <v>44078.0</v>
      </c>
      <c r="E785" s="39" t="s">
        <v>1059</v>
      </c>
      <c r="F785" s="39" t="s">
        <v>1060</v>
      </c>
      <c r="G785" s="39" t="s">
        <v>1050</v>
      </c>
      <c r="H785" s="39">
        <v>920.0</v>
      </c>
      <c r="N785" s="39" t="s">
        <v>1051</v>
      </c>
      <c r="R785" s="39" t="s">
        <v>957</v>
      </c>
      <c r="S785" s="39" t="s">
        <v>1052</v>
      </c>
      <c r="T785" s="39" t="s">
        <v>1053</v>
      </c>
      <c r="U785" s="39" t="s">
        <v>1051</v>
      </c>
      <c r="X785" s="39" t="s">
        <v>1463</v>
      </c>
      <c r="Y785" s="39" t="s">
        <v>1405</v>
      </c>
      <c r="Z785" s="39" t="s">
        <v>1059</v>
      </c>
      <c r="AB785" s="39">
        <v>7.0</v>
      </c>
    </row>
    <row r="786">
      <c r="A786" s="39" t="s">
        <v>1434</v>
      </c>
      <c r="B786" s="39" t="s">
        <v>1435</v>
      </c>
      <c r="C786" s="39">
        <v>4.0</v>
      </c>
      <c r="D786" s="41">
        <v>44078.333333333336</v>
      </c>
      <c r="E786" s="39" t="s">
        <v>1291</v>
      </c>
      <c r="F786" s="39" t="s">
        <v>1292</v>
      </c>
      <c r="G786" s="39" t="s">
        <v>1050</v>
      </c>
      <c r="H786" s="39">
        <v>920.0</v>
      </c>
      <c r="N786" s="39" t="s">
        <v>938</v>
      </c>
      <c r="R786" s="39" t="s">
        <v>832</v>
      </c>
      <c r="S786" s="39" t="s">
        <v>939</v>
      </c>
      <c r="T786" s="39" t="s">
        <v>741</v>
      </c>
      <c r="U786" s="39" t="s">
        <v>938</v>
      </c>
      <c r="X786" s="39" t="s">
        <v>1436</v>
      </c>
      <c r="Y786" s="39" t="s">
        <v>1115</v>
      </c>
      <c r="Z786" s="39" t="s">
        <v>872</v>
      </c>
      <c r="AB786" s="39">
        <v>4.0</v>
      </c>
      <c r="AD786" s="39">
        <v>0.0</v>
      </c>
    </row>
    <row r="787">
      <c r="A787" s="39" t="s">
        <v>1434</v>
      </c>
      <c r="B787" s="39" t="s">
        <v>1435</v>
      </c>
      <c r="C787" s="39">
        <v>4.0</v>
      </c>
      <c r="D787" s="41">
        <v>44078.541666666664</v>
      </c>
      <c r="E787" s="39" t="s">
        <v>1291</v>
      </c>
      <c r="F787" s="39" t="s">
        <v>1292</v>
      </c>
      <c r="G787" s="39" t="s">
        <v>1050</v>
      </c>
      <c r="H787" s="39">
        <v>920.0</v>
      </c>
      <c r="N787" s="39" t="s">
        <v>938</v>
      </c>
      <c r="R787" s="39" t="s">
        <v>832</v>
      </c>
      <c r="S787" s="39" t="s">
        <v>939</v>
      </c>
      <c r="T787" s="39" t="s">
        <v>741</v>
      </c>
      <c r="U787" s="39" t="s">
        <v>938</v>
      </c>
      <c r="X787" s="39" t="s">
        <v>1436</v>
      </c>
      <c r="Y787" s="39" t="s">
        <v>1115</v>
      </c>
      <c r="Z787" s="39" t="s">
        <v>872</v>
      </c>
      <c r="AB787" s="39">
        <v>4.0</v>
      </c>
      <c r="AD787" s="39">
        <v>0.0</v>
      </c>
    </row>
    <row r="788">
      <c r="A788" s="39" t="s">
        <v>1216</v>
      </c>
      <c r="B788" s="39" t="s">
        <v>1217</v>
      </c>
      <c r="C788" s="39">
        <v>0.166666666666666</v>
      </c>
      <c r="D788" s="41">
        <v>44078.646527777775</v>
      </c>
      <c r="E788" s="39" t="s">
        <v>847</v>
      </c>
      <c r="F788" s="39" t="s">
        <v>848</v>
      </c>
      <c r="G788" s="39" t="s">
        <v>849</v>
      </c>
      <c r="H788" s="39">
        <v>920.0</v>
      </c>
      <c r="N788" s="39" t="s">
        <v>883</v>
      </c>
      <c r="R788" s="39" t="s">
        <v>832</v>
      </c>
      <c r="S788" s="39" t="s">
        <v>833</v>
      </c>
      <c r="T788" s="39" t="s">
        <v>884</v>
      </c>
      <c r="U788" s="39" t="s">
        <v>883</v>
      </c>
      <c r="W788" s="39" t="s">
        <v>253</v>
      </c>
      <c r="X788" s="39" t="s">
        <v>1218</v>
      </c>
      <c r="Z788" s="39" t="s">
        <v>872</v>
      </c>
      <c r="AB788" s="39">
        <v>0.166666666666666</v>
      </c>
      <c r="AC788" s="39">
        <v>4.0</v>
      </c>
      <c r="AD788" s="39">
        <v>0.0</v>
      </c>
    </row>
    <row r="789">
      <c r="A789" s="39" t="s">
        <v>1451</v>
      </c>
      <c r="B789" s="39" t="s">
        <v>1452</v>
      </c>
      <c r="C789" s="39">
        <v>1.0</v>
      </c>
      <c r="D789" s="41">
        <v>44081.333333333336</v>
      </c>
      <c r="E789" s="39" t="s">
        <v>1291</v>
      </c>
      <c r="F789" s="39" t="s">
        <v>1292</v>
      </c>
      <c r="G789" s="39" t="s">
        <v>1050</v>
      </c>
      <c r="H789" s="39">
        <v>920.0</v>
      </c>
      <c r="N789" s="39" t="s">
        <v>938</v>
      </c>
      <c r="R789" s="39" t="s">
        <v>832</v>
      </c>
      <c r="S789" s="39" t="s">
        <v>939</v>
      </c>
      <c r="T789" s="39" t="s">
        <v>741</v>
      </c>
      <c r="U789" s="39" t="s">
        <v>938</v>
      </c>
      <c r="X789" s="39" t="s">
        <v>1453</v>
      </c>
      <c r="Y789" s="39" t="s">
        <v>1115</v>
      </c>
      <c r="Z789" s="39" t="s">
        <v>828</v>
      </c>
      <c r="AB789" s="39">
        <v>1.0</v>
      </c>
    </row>
    <row r="790">
      <c r="A790" s="39" t="s">
        <v>1448</v>
      </c>
      <c r="B790" s="39" t="s">
        <v>1449</v>
      </c>
      <c r="C790" s="39">
        <v>1.0</v>
      </c>
      <c r="D790" s="41">
        <v>44081.375</v>
      </c>
      <c r="E790" s="39" t="s">
        <v>1291</v>
      </c>
      <c r="F790" s="39" t="s">
        <v>1292</v>
      </c>
      <c r="G790" s="39" t="s">
        <v>1050</v>
      </c>
      <c r="H790" s="39">
        <v>920.0</v>
      </c>
      <c r="N790" s="39" t="s">
        <v>938</v>
      </c>
      <c r="R790" s="39" t="s">
        <v>832</v>
      </c>
      <c r="S790" s="39" t="s">
        <v>939</v>
      </c>
      <c r="T790" s="39" t="s">
        <v>741</v>
      </c>
      <c r="U790" s="39" t="s">
        <v>938</v>
      </c>
      <c r="X790" s="39" t="s">
        <v>1450</v>
      </c>
      <c r="Y790" s="39" t="s">
        <v>1115</v>
      </c>
      <c r="Z790" s="39" t="s">
        <v>828</v>
      </c>
      <c r="AB790" s="39">
        <v>1.0</v>
      </c>
    </row>
    <row r="791">
      <c r="A791" s="39" t="s">
        <v>1434</v>
      </c>
      <c r="B791" s="39" t="s">
        <v>1435</v>
      </c>
      <c r="C791" s="39">
        <v>2.0</v>
      </c>
      <c r="D791" s="41">
        <v>44081.416666666664</v>
      </c>
      <c r="E791" s="39" t="s">
        <v>1291</v>
      </c>
      <c r="F791" s="39" t="s">
        <v>1292</v>
      </c>
      <c r="G791" s="39" t="s">
        <v>1050</v>
      </c>
      <c r="H791" s="39">
        <v>920.0</v>
      </c>
      <c r="N791" s="39" t="s">
        <v>938</v>
      </c>
      <c r="R791" s="39" t="s">
        <v>832</v>
      </c>
      <c r="S791" s="39" t="s">
        <v>939</v>
      </c>
      <c r="T791" s="39" t="s">
        <v>741</v>
      </c>
      <c r="U791" s="39" t="s">
        <v>938</v>
      </c>
      <c r="X791" s="39" t="s">
        <v>1436</v>
      </c>
      <c r="Y791" s="39" t="s">
        <v>1115</v>
      </c>
      <c r="Z791" s="39" t="s">
        <v>872</v>
      </c>
      <c r="AB791" s="39">
        <v>2.0</v>
      </c>
      <c r="AD791" s="39">
        <v>0.0</v>
      </c>
    </row>
    <row r="792">
      <c r="A792" s="39" t="s">
        <v>1434</v>
      </c>
      <c r="B792" s="39" t="s">
        <v>1435</v>
      </c>
      <c r="C792" s="39">
        <v>4.0</v>
      </c>
      <c r="D792" s="41">
        <v>44081.541666666664</v>
      </c>
      <c r="E792" s="39" t="s">
        <v>1291</v>
      </c>
      <c r="F792" s="39" t="s">
        <v>1292</v>
      </c>
      <c r="G792" s="39" t="s">
        <v>1050</v>
      </c>
      <c r="H792" s="39">
        <v>920.0</v>
      </c>
      <c r="N792" s="39" t="s">
        <v>938</v>
      </c>
      <c r="R792" s="39" t="s">
        <v>832</v>
      </c>
      <c r="S792" s="39" t="s">
        <v>939</v>
      </c>
      <c r="T792" s="39" t="s">
        <v>741</v>
      </c>
      <c r="U792" s="39" t="s">
        <v>938</v>
      </c>
      <c r="X792" s="39" t="s">
        <v>1436</v>
      </c>
      <c r="Y792" s="39" t="s">
        <v>1115</v>
      </c>
      <c r="Z792" s="39" t="s">
        <v>872</v>
      </c>
      <c r="AB792" s="39">
        <v>4.0</v>
      </c>
      <c r="AD792" s="39">
        <v>0.0</v>
      </c>
    </row>
    <row r="793">
      <c r="A793" s="39" t="s">
        <v>1464</v>
      </c>
      <c r="B793" s="39" t="s">
        <v>1465</v>
      </c>
      <c r="C793" s="39">
        <v>0.966666666666666</v>
      </c>
      <c r="D793" s="41">
        <v>44082.0</v>
      </c>
      <c r="E793" s="39" t="s">
        <v>828</v>
      </c>
      <c r="F793" s="39" t="s">
        <v>829</v>
      </c>
      <c r="G793" s="39" t="s">
        <v>830</v>
      </c>
      <c r="H793" s="39">
        <v>920.0</v>
      </c>
      <c r="N793" s="39" t="s">
        <v>938</v>
      </c>
      <c r="R793" s="39" t="s">
        <v>957</v>
      </c>
      <c r="S793" s="39" t="s">
        <v>889</v>
      </c>
      <c r="T793" s="39" t="s">
        <v>741</v>
      </c>
      <c r="U793" s="39" t="s">
        <v>938</v>
      </c>
      <c r="X793" s="39" t="s">
        <v>1466</v>
      </c>
      <c r="Y793" s="39" t="s">
        <v>1042</v>
      </c>
      <c r="Z793" s="39" t="s">
        <v>872</v>
      </c>
      <c r="AB793" s="39">
        <v>0.966666666666666</v>
      </c>
    </row>
    <row r="794">
      <c r="A794" s="39" t="s">
        <v>1423</v>
      </c>
      <c r="B794" s="39" t="s">
        <v>1424</v>
      </c>
      <c r="C794" s="39">
        <v>0.133333333333333</v>
      </c>
      <c r="D794" s="41">
        <v>44082.0</v>
      </c>
      <c r="E794" s="39" t="s">
        <v>828</v>
      </c>
      <c r="F794" s="39" t="s">
        <v>829</v>
      </c>
      <c r="G794" s="39" t="s">
        <v>830</v>
      </c>
      <c r="H794" s="39">
        <v>920.0</v>
      </c>
      <c r="N794" s="39" t="s">
        <v>938</v>
      </c>
      <c r="R794" s="39" t="s">
        <v>957</v>
      </c>
      <c r="S794" s="39" t="s">
        <v>966</v>
      </c>
      <c r="T794" s="39" t="s">
        <v>741</v>
      </c>
      <c r="U794" s="39" t="s">
        <v>938</v>
      </c>
      <c r="X794" s="39" t="s">
        <v>1425</v>
      </c>
      <c r="Y794" s="39" t="s">
        <v>1219</v>
      </c>
      <c r="Z794" s="39" t="s">
        <v>872</v>
      </c>
      <c r="AB794" s="39">
        <v>0.133333333333333</v>
      </c>
    </row>
    <row r="795">
      <c r="A795" s="39" t="s">
        <v>1119</v>
      </c>
      <c r="B795" s="39" t="s">
        <v>1120</v>
      </c>
      <c r="C795" s="39">
        <v>0.766666666666666</v>
      </c>
      <c r="D795" s="41">
        <v>44082.0</v>
      </c>
      <c r="E795" s="39" t="s">
        <v>828</v>
      </c>
      <c r="F795" s="39" t="s">
        <v>829</v>
      </c>
      <c r="G795" s="39" t="s">
        <v>830</v>
      </c>
      <c r="H795" s="39">
        <v>920.0</v>
      </c>
      <c r="N795" s="39" t="s">
        <v>938</v>
      </c>
      <c r="R795" s="39" t="s">
        <v>832</v>
      </c>
      <c r="S795" s="39" t="s">
        <v>939</v>
      </c>
      <c r="T795" s="39" t="s">
        <v>741</v>
      </c>
      <c r="U795" s="39" t="s">
        <v>938</v>
      </c>
      <c r="X795" s="39" t="s">
        <v>1121</v>
      </c>
      <c r="Y795" s="39" t="s">
        <v>1027</v>
      </c>
      <c r="Z795" s="39" t="s">
        <v>828</v>
      </c>
      <c r="AB795" s="39">
        <v>0.766666666666666</v>
      </c>
    </row>
    <row r="796">
      <c r="A796" s="39" t="s">
        <v>571</v>
      </c>
      <c r="B796" s="39" t="s">
        <v>572</v>
      </c>
      <c r="C796" s="39">
        <v>0.516666666666666</v>
      </c>
      <c r="D796" s="41">
        <v>44082.0</v>
      </c>
      <c r="E796" s="39" t="s">
        <v>828</v>
      </c>
      <c r="F796" s="39" t="s">
        <v>829</v>
      </c>
      <c r="G796" s="39" t="s">
        <v>830</v>
      </c>
      <c r="H796" s="39">
        <v>920.0</v>
      </c>
      <c r="N796" s="39" t="s">
        <v>831</v>
      </c>
      <c r="R796" s="39" t="s">
        <v>832</v>
      </c>
      <c r="S796" s="39" t="s">
        <v>842</v>
      </c>
      <c r="T796" s="39" t="s">
        <v>834</v>
      </c>
      <c r="U796" s="39" t="s">
        <v>831</v>
      </c>
      <c r="W796" s="39" t="s">
        <v>302</v>
      </c>
      <c r="X796" s="39" t="s">
        <v>843</v>
      </c>
      <c r="Z796" s="39" t="s">
        <v>828</v>
      </c>
      <c r="AB796" s="39">
        <v>0.516666666666666</v>
      </c>
    </row>
    <row r="797">
      <c r="A797" s="39" t="s">
        <v>1338</v>
      </c>
      <c r="B797" s="39" t="s">
        <v>1339</v>
      </c>
      <c r="C797" s="39">
        <v>0.2</v>
      </c>
      <c r="D797" s="41">
        <v>44082.0</v>
      </c>
      <c r="E797" s="39" t="s">
        <v>828</v>
      </c>
      <c r="F797" s="39" t="s">
        <v>829</v>
      </c>
      <c r="G797" s="39" t="s">
        <v>830</v>
      </c>
      <c r="H797" s="39">
        <v>920.0</v>
      </c>
      <c r="N797" s="39" t="s">
        <v>883</v>
      </c>
      <c r="R797" s="39" t="s">
        <v>832</v>
      </c>
      <c r="S797" s="39" t="s">
        <v>842</v>
      </c>
      <c r="T797" s="39" t="s">
        <v>884</v>
      </c>
      <c r="U797" s="39" t="s">
        <v>883</v>
      </c>
      <c r="X797" s="39" t="s">
        <v>1340</v>
      </c>
      <c r="Z797" s="39" t="s">
        <v>951</v>
      </c>
      <c r="AB797" s="39">
        <v>0.2</v>
      </c>
      <c r="AC797" s="39">
        <v>4.0</v>
      </c>
      <c r="AD797" s="39">
        <v>1.61666666666666</v>
      </c>
    </row>
    <row r="798">
      <c r="A798" s="39" t="s">
        <v>1080</v>
      </c>
      <c r="B798" s="39" t="s">
        <v>1081</v>
      </c>
      <c r="C798" s="39">
        <v>0.116666666666666</v>
      </c>
      <c r="D798" s="41">
        <v>44082.0</v>
      </c>
      <c r="E798" s="39" t="s">
        <v>828</v>
      </c>
      <c r="F798" s="39" t="s">
        <v>829</v>
      </c>
      <c r="G798" s="39" t="s">
        <v>830</v>
      </c>
      <c r="H798" s="39">
        <v>920.0</v>
      </c>
      <c r="N798" s="39" t="s">
        <v>938</v>
      </c>
      <c r="R798" s="39" t="s">
        <v>957</v>
      </c>
      <c r="S798" s="39" t="s">
        <v>889</v>
      </c>
      <c r="T798" s="39" t="s">
        <v>741</v>
      </c>
      <c r="U798" s="39" t="s">
        <v>938</v>
      </c>
      <c r="X798" s="39" t="s">
        <v>1082</v>
      </c>
      <c r="Y798" s="39" t="s">
        <v>1042</v>
      </c>
      <c r="Z798" s="39" t="s">
        <v>828</v>
      </c>
      <c r="AB798" s="39">
        <v>0.116666666666666</v>
      </c>
    </row>
    <row r="799">
      <c r="A799" s="39" t="s">
        <v>1467</v>
      </c>
      <c r="B799" s="39" t="s">
        <v>1468</v>
      </c>
      <c r="C799" s="39">
        <v>0.216666666666666</v>
      </c>
      <c r="D799" s="41">
        <v>44082.0</v>
      </c>
      <c r="E799" s="39" t="s">
        <v>828</v>
      </c>
      <c r="F799" s="39" t="s">
        <v>829</v>
      </c>
      <c r="G799" s="39" t="s">
        <v>830</v>
      </c>
      <c r="H799" s="39">
        <v>920.0</v>
      </c>
      <c r="N799" s="39" t="s">
        <v>938</v>
      </c>
      <c r="R799" s="39" t="s">
        <v>832</v>
      </c>
      <c r="S799" s="39" t="s">
        <v>939</v>
      </c>
      <c r="T799" s="39" t="s">
        <v>741</v>
      </c>
      <c r="U799" s="39" t="s">
        <v>938</v>
      </c>
      <c r="X799" s="39" t="s">
        <v>1469</v>
      </c>
      <c r="Y799" s="39" t="s">
        <v>1115</v>
      </c>
      <c r="Z799" s="39" t="s">
        <v>828</v>
      </c>
      <c r="AB799" s="39">
        <v>0.216666666666666</v>
      </c>
    </row>
    <row r="800">
      <c r="A800" s="39" t="s">
        <v>1470</v>
      </c>
      <c r="B800" s="39" t="s">
        <v>1471</v>
      </c>
      <c r="C800" s="39">
        <v>4.0</v>
      </c>
      <c r="D800" s="41">
        <v>44082.0</v>
      </c>
      <c r="E800" s="39" t="s">
        <v>1048</v>
      </c>
      <c r="F800" s="39" t="s">
        <v>1049</v>
      </c>
      <c r="G800" s="39" t="s">
        <v>1050</v>
      </c>
      <c r="H800" s="39">
        <v>920.0</v>
      </c>
      <c r="N800" s="39" t="s">
        <v>1051</v>
      </c>
      <c r="R800" s="39" t="s">
        <v>957</v>
      </c>
      <c r="S800" s="39" t="s">
        <v>1052</v>
      </c>
      <c r="T800" s="39" t="s">
        <v>1053</v>
      </c>
      <c r="U800" s="39" t="s">
        <v>1051</v>
      </c>
      <c r="X800" s="39" t="s">
        <v>1472</v>
      </c>
      <c r="Y800" s="39" t="s">
        <v>1347</v>
      </c>
      <c r="Z800" s="39" t="s">
        <v>1048</v>
      </c>
      <c r="AB800" s="39">
        <v>4.0</v>
      </c>
    </row>
    <row r="801">
      <c r="A801" s="39" t="s">
        <v>1440</v>
      </c>
      <c r="B801" s="39" t="s">
        <v>1441</v>
      </c>
      <c r="C801" s="39">
        <v>2.0</v>
      </c>
      <c r="D801" s="41">
        <v>44082.0</v>
      </c>
      <c r="E801" s="39" t="s">
        <v>1048</v>
      </c>
      <c r="F801" s="39" t="s">
        <v>1049</v>
      </c>
      <c r="G801" s="39" t="s">
        <v>1050</v>
      </c>
      <c r="H801" s="39">
        <v>920.0</v>
      </c>
      <c r="N801" s="39" t="s">
        <v>1051</v>
      </c>
      <c r="R801" s="39" t="s">
        <v>832</v>
      </c>
      <c r="S801" s="39" t="s">
        <v>842</v>
      </c>
      <c r="T801" s="39" t="s">
        <v>1053</v>
      </c>
      <c r="U801" s="39" t="s">
        <v>1051</v>
      </c>
      <c r="X801" s="39" t="s">
        <v>1473</v>
      </c>
      <c r="Y801" s="39" t="s">
        <v>1386</v>
      </c>
      <c r="Z801" s="39" t="s">
        <v>1048</v>
      </c>
      <c r="AB801" s="39">
        <v>2.0</v>
      </c>
    </row>
    <row r="802">
      <c r="A802" s="39" t="s">
        <v>1474</v>
      </c>
      <c r="B802" s="39" t="s">
        <v>1475</v>
      </c>
      <c r="C802" s="39">
        <v>2.0</v>
      </c>
      <c r="D802" s="41">
        <v>44082.0</v>
      </c>
      <c r="E802" s="39" t="s">
        <v>1048</v>
      </c>
      <c r="F802" s="39" t="s">
        <v>1049</v>
      </c>
      <c r="G802" s="39" t="s">
        <v>1050</v>
      </c>
      <c r="H802" s="39">
        <v>920.0</v>
      </c>
      <c r="N802" s="39" t="s">
        <v>1051</v>
      </c>
      <c r="R802" s="39" t="s">
        <v>957</v>
      </c>
      <c r="S802" s="39" t="s">
        <v>842</v>
      </c>
      <c r="T802" s="39" t="s">
        <v>1053</v>
      </c>
      <c r="U802" s="39" t="s">
        <v>1051</v>
      </c>
      <c r="X802" s="39" t="s">
        <v>1476</v>
      </c>
      <c r="Y802" s="39" t="s">
        <v>1383</v>
      </c>
      <c r="Z802" s="39" t="s">
        <v>1153</v>
      </c>
      <c r="AB802" s="39">
        <v>2.0</v>
      </c>
    </row>
    <row r="803">
      <c r="A803" s="39" t="s">
        <v>1477</v>
      </c>
      <c r="B803" s="39" t="s">
        <v>1478</v>
      </c>
      <c r="C803" s="39">
        <v>8.0</v>
      </c>
      <c r="D803" s="41">
        <v>44082.0</v>
      </c>
      <c r="E803" s="39" t="s">
        <v>1059</v>
      </c>
      <c r="F803" s="39" t="s">
        <v>1060</v>
      </c>
      <c r="G803" s="39" t="s">
        <v>1050</v>
      </c>
      <c r="H803" s="39">
        <v>920.0</v>
      </c>
      <c r="N803" s="39" t="s">
        <v>1051</v>
      </c>
      <c r="R803" s="39" t="s">
        <v>957</v>
      </c>
      <c r="S803" s="39" t="s">
        <v>1052</v>
      </c>
      <c r="T803" s="39" t="s">
        <v>1053</v>
      </c>
      <c r="U803" s="39" t="s">
        <v>1051</v>
      </c>
      <c r="X803" s="39" t="s">
        <v>1479</v>
      </c>
      <c r="Y803" s="39" t="s">
        <v>1380</v>
      </c>
      <c r="Z803" s="39" t="s">
        <v>1153</v>
      </c>
      <c r="AB803" s="39">
        <v>8.0</v>
      </c>
    </row>
    <row r="804">
      <c r="A804" s="39" t="s">
        <v>1454</v>
      </c>
      <c r="B804" s="39" t="s">
        <v>1455</v>
      </c>
      <c r="C804" s="39">
        <v>4.0</v>
      </c>
      <c r="D804" s="41">
        <v>44082.333333333336</v>
      </c>
      <c r="E804" s="39" t="s">
        <v>1291</v>
      </c>
      <c r="F804" s="39" t="s">
        <v>1292</v>
      </c>
      <c r="G804" s="39" t="s">
        <v>1050</v>
      </c>
      <c r="H804" s="39">
        <v>920.0</v>
      </c>
      <c r="N804" s="39" t="s">
        <v>938</v>
      </c>
      <c r="R804" s="39" t="s">
        <v>832</v>
      </c>
      <c r="S804" s="39" t="s">
        <v>939</v>
      </c>
      <c r="T804" s="39" t="s">
        <v>741</v>
      </c>
      <c r="U804" s="39" t="s">
        <v>938</v>
      </c>
      <c r="X804" s="39" t="s">
        <v>1456</v>
      </c>
      <c r="Y804" s="39" t="s">
        <v>1115</v>
      </c>
      <c r="Z804" s="39" t="s">
        <v>828</v>
      </c>
      <c r="AB804" s="39">
        <v>4.0</v>
      </c>
    </row>
    <row r="805">
      <c r="A805" s="39" t="s">
        <v>1457</v>
      </c>
      <c r="B805" s="39" t="s">
        <v>1458</v>
      </c>
      <c r="C805" s="39">
        <v>4.0</v>
      </c>
      <c r="D805" s="41">
        <v>44082.541666666664</v>
      </c>
      <c r="E805" s="39" t="s">
        <v>1291</v>
      </c>
      <c r="F805" s="39" t="s">
        <v>1292</v>
      </c>
      <c r="G805" s="39" t="s">
        <v>1050</v>
      </c>
      <c r="H805" s="39">
        <v>920.0</v>
      </c>
      <c r="N805" s="39" t="s">
        <v>938</v>
      </c>
      <c r="R805" s="39" t="s">
        <v>832</v>
      </c>
      <c r="S805" s="39" t="s">
        <v>939</v>
      </c>
      <c r="T805" s="39" t="s">
        <v>741</v>
      </c>
      <c r="U805" s="39" t="s">
        <v>938</v>
      </c>
      <c r="X805" s="39" t="s">
        <v>1459</v>
      </c>
      <c r="Y805" s="39" t="s">
        <v>1074</v>
      </c>
      <c r="Z805" s="39" t="s">
        <v>828</v>
      </c>
      <c r="AB805" s="39">
        <v>4.0</v>
      </c>
    </row>
    <row r="806">
      <c r="A806" s="39" t="s">
        <v>1467</v>
      </c>
      <c r="B806" s="39" t="s">
        <v>1468</v>
      </c>
      <c r="C806" s="39">
        <v>0.183333333333333</v>
      </c>
      <c r="D806" s="41">
        <v>44083.0</v>
      </c>
      <c r="E806" s="39" t="s">
        <v>828</v>
      </c>
      <c r="F806" s="39" t="s">
        <v>829</v>
      </c>
      <c r="G806" s="39" t="s">
        <v>830</v>
      </c>
      <c r="H806" s="39">
        <v>920.0</v>
      </c>
      <c r="N806" s="39" t="s">
        <v>938</v>
      </c>
      <c r="R806" s="39" t="s">
        <v>832</v>
      </c>
      <c r="S806" s="39" t="s">
        <v>939</v>
      </c>
      <c r="T806" s="39" t="s">
        <v>741</v>
      </c>
      <c r="U806" s="39" t="s">
        <v>938</v>
      </c>
      <c r="X806" s="39" t="s">
        <v>1469</v>
      </c>
      <c r="Y806" s="39" t="s">
        <v>1115</v>
      </c>
      <c r="Z806" s="39" t="s">
        <v>828</v>
      </c>
      <c r="AB806" s="39">
        <v>0.183333333333333</v>
      </c>
    </row>
    <row r="807">
      <c r="A807" s="39" t="s">
        <v>1480</v>
      </c>
      <c r="B807" s="39" t="s">
        <v>1481</v>
      </c>
      <c r="C807" s="39">
        <v>0.566666666666666</v>
      </c>
      <c r="D807" s="41">
        <v>44083.0</v>
      </c>
      <c r="E807" s="39" t="s">
        <v>828</v>
      </c>
      <c r="F807" s="39" t="s">
        <v>829</v>
      </c>
      <c r="G807" s="39" t="s">
        <v>830</v>
      </c>
      <c r="H807" s="39">
        <v>920.0</v>
      </c>
      <c r="N807" s="39" t="s">
        <v>938</v>
      </c>
      <c r="R807" s="39" t="s">
        <v>957</v>
      </c>
      <c r="S807" s="39" t="s">
        <v>966</v>
      </c>
      <c r="T807" s="39" t="s">
        <v>741</v>
      </c>
      <c r="U807" s="39" t="s">
        <v>938</v>
      </c>
      <c r="X807" s="39" t="s">
        <v>1482</v>
      </c>
      <c r="Y807" s="39" t="s">
        <v>1219</v>
      </c>
      <c r="Z807" s="39" t="s">
        <v>872</v>
      </c>
      <c r="AB807" s="39">
        <v>0.566666666666666</v>
      </c>
    </row>
    <row r="808">
      <c r="A808" s="39" t="s">
        <v>1483</v>
      </c>
      <c r="B808" s="39" t="s">
        <v>1484</v>
      </c>
      <c r="C808" s="39">
        <v>0.333333333333333</v>
      </c>
      <c r="D808" s="41">
        <v>44083.0</v>
      </c>
      <c r="E808" s="39" t="s">
        <v>828</v>
      </c>
      <c r="F808" s="39" t="s">
        <v>829</v>
      </c>
      <c r="G808" s="39" t="s">
        <v>830</v>
      </c>
      <c r="H808" s="39">
        <v>920.0</v>
      </c>
      <c r="N808" s="39" t="s">
        <v>938</v>
      </c>
      <c r="R808" s="39" t="s">
        <v>957</v>
      </c>
      <c r="S808" s="39" t="s">
        <v>966</v>
      </c>
      <c r="T808" s="39" t="s">
        <v>741</v>
      </c>
      <c r="U808" s="39" t="s">
        <v>938</v>
      </c>
      <c r="X808" s="39" t="s">
        <v>1485</v>
      </c>
      <c r="Y808" s="39" t="s">
        <v>1042</v>
      </c>
      <c r="Z808" s="39" t="s">
        <v>872</v>
      </c>
      <c r="AB808" s="39">
        <v>0.333333333333333</v>
      </c>
    </row>
    <row r="809">
      <c r="A809" s="39" t="s">
        <v>1464</v>
      </c>
      <c r="B809" s="39" t="s">
        <v>1465</v>
      </c>
      <c r="C809" s="39">
        <v>0.416666666666666</v>
      </c>
      <c r="D809" s="41">
        <v>44083.0</v>
      </c>
      <c r="E809" s="39" t="s">
        <v>828</v>
      </c>
      <c r="F809" s="39" t="s">
        <v>829</v>
      </c>
      <c r="G809" s="39" t="s">
        <v>830</v>
      </c>
      <c r="H809" s="39">
        <v>920.0</v>
      </c>
      <c r="N809" s="39" t="s">
        <v>938</v>
      </c>
      <c r="R809" s="39" t="s">
        <v>957</v>
      </c>
      <c r="S809" s="39" t="s">
        <v>889</v>
      </c>
      <c r="T809" s="39" t="s">
        <v>741</v>
      </c>
      <c r="U809" s="39" t="s">
        <v>938</v>
      </c>
      <c r="X809" s="39" t="s">
        <v>1466</v>
      </c>
      <c r="Y809" s="39" t="s">
        <v>1042</v>
      </c>
      <c r="Z809" s="39" t="s">
        <v>872</v>
      </c>
      <c r="AB809" s="39">
        <v>0.416666666666666</v>
      </c>
    </row>
    <row r="810">
      <c r="A810" s="39" t="s">
        <v>1486</v>
      </c>
      <c r="B810" s="39" t="s">
        <v>1487</v>
      </c>
      <c r="C810" s="39">
        <v>0.15</v>
      </c>
      <c r="D810" s="41">
        <v>44083.0</v>
      </c>
      <c r="E810" s="39" t="s">
        <v>828</v>
      </c>
      <c r="F810" s="39" t="s">
        <v>829</v>
      </c>
      <c r="G810" s="39" t="s">
        <v>830</v>
      </c>
      <c r="H810" s="39">
        <v>920.0</v>
      </c>
      <c r="N810" s="39" t="s">
        <v>938</v>
      </c>
      <c r="R810" s="39" t="s">
        <v>957</v>
      </c>
      <c r="S810" s="39" t="s">
        <v>966</v>
      </c>
      <c r="T810" s="39" t="s">
        <v>741</v>
      </c>
      <c r="U810" s="39" t="s">
        <v>938</v>
      </c>
      <c r="X810" s="39" t="s">
        <v>1488</v>
      </c>
      <c r="Y810" s="39" t="s">
        <v>1042</v>
      </c>
      <c r="Z810" s="39" t="s">
        <v>872</v>
      </c>
      <c r="AB810" s="39">
        <v>0.15</v>
      </c>
    </row>
    <row r="811">
      <c r="A811" s="39" t="s">
        <v>1489</v>
      </c>
      <c r="B811" s="39" t="s">
        <v>1490</v>
      </c>
      <c r="C811" s="39">
        <v>0.183333333333333</v>
      </c>
      <c r="D811" s="41">
        <v>44083.0</v>
      </c>
      <c r="E811" s="39" t="s">
        <v>828</v>
      </c>
      <c r="F811" s="39" t="s">
        <v>829</v>
      </c>
      <c r="G811" s="39" t="s">
        <v>830</v>
      </c>
      <c r="H811" s="39">
        <v>920.0</v>
      </c>
      <c r="N811" s="39" t="s">
        <v>938</v>
      </c>
      <c r="R811" s="39" t="s">
        <v>832</v>
      </c>
      <c r="S811" s="39" t="s">
        <v>939</v>
      </c>
      <c r="T811" s="39" t="s">
        <v>741</v>
      </c>
      <c r="U811" s="39" t="s">
        <v>938</v>
      </c>
      <c r="X811" s="39" t="s">
        <v>1491</v>
      </c>
      <c r="Y811" s="39" t="s">
        <v>1115</v>
      </c>
      <c r="Z811" s="39" t="s">
        <v>828</v>
      </c>
      <c r="AB811" s="39">
        <v>0.183333333333333</v>
      </c>
    </row>
    <row r="812">
      <c r="A812" s="39" t="s">
        <v>1042</v>
      </c>
      <c r="B812" s="39" t="s">
        <v>1328</v>
      </c>
      <c r="C812" s="39">
        <v>2.2</v>
      </c>
      <c r="D812" s="41">
        <v>44083.0</v>
      </c>
      <c r="E812" s="39" t="s">
        <v>828</v>
      </c>
      <c r="F812" s="39" t="s">
        <v>829</v>
      </c>
      <c r="G812" s="39" t="s">
        <v>830</v>
      </c>
      <c r="H812" s="39">
        <v>920.0</v>
      </c>
      <c r="N812" s="39" t="s">
        <v>938</v>
      </c>
      <c r="R812" s="39" t="s">
        <v>832</v>
      </c>
      <c r="S812" s="39" t="s">
        <v>889</v>
      </c>
      <c r="T812" s="39" t="s">
        <v>741</v>
      </c>
      <c r="U812" s="39" t="s">
        <v>938</v>
      </c>
      <c r="X812" s="39" t="s">
        <v>1329</v>
      </c>
      <c r="Y812" s="39" t="s">
        <v>1115</v>
      </c>
      <c r="Z812" s="39" t="s">
        <v>872</v>
      </c>
      <c r="AB812" s="39">
        <v>2.2</v>
      </c>
    </row>
    <row r="813">
      <c r="A813" s="39" t="s">
        <v>1492</v>
      </c>
      <c r="B813" s="39" t="s">
        <v>1493</v>
      </c>
      <c r="C813" s="39">
        <v>0.266666666666666</v>
      </c>
      <c r="D813" s="41">
        <v>44083.0</v>
      </c>
      <c r="E813" s="39" t="s">
        <v>828</v>
      </c>
      <c r="F813" s="39" t="s">
        <v>829</v>
      </c>
      <c r="G813" s="39" t="s">
        <v>830</v>
      </c>
      <c r="H813" s="39">
        <v>920.0</v>
      </c>
      <c r="N813" s="39" t="s">
        <v>938</v>
      </c>
      <c r="R813" s="39" t="s">
        <v>832</v>
      </c>
      <c r="S813" s="39" t="s">
        <v>966</v>
      </c>
      <c r="T813" s="39" t="s">
        <v>741</v>
      </c>
      <c r="U813" s="39" t="s">
        <v>938</v>
      </c>
      <c r="X813" s="39" t="s">
        <v>1494</v>
      </c>
      <c r="Y813" s="39" t="s">
        <v>1074</v>
      </c>
      <c r="Z813" s="39" t="s">
        <v>828</v>
      </c>
      <c r="AB813" s="39">
        <v>0.266666666666666</v>
      </c>
    </row>
    <row r="814">
      <c r="A814" s="39" t="s">
        <v>1495</v>
      </c>
      <c r="B814" s="39" t="s">
        <v>1496</v>
      </c>
      <c r="C814" s="39">
        <v>0.166666666666666</v>
      </c>
      <c r="D814" s="41">
        <v>44083.0</v>
      </c>
      <c r="E814" s="39" t="s">
        <v>828</v>
      </c>
      <c r="F814" s="39" t="s">
        <v>829</v>
      </c>
      <c r="G814" s="39" t="s">
        <v>830</v>
      </c>
      <c r="H814" s="39">
        <v>920.0</v>
      </c>
      <c r="N814" s="39" t="s">
        <v>938</v>
      </c>
      <c r="R814" s="39" t="s">
        <v>832</v>
      </c>
      <c r="S814" s="39" t="s">
        <v>939</v>
      </c>
      <c r="T814" s="39" t="s">
        <v>741</v>
      </c>
      <c r="U814" s="39" t="s">
        <v>938</v>
      </c>
      <c r="X814" s="39" t="s">
        <v>1497</v>
      </c>
      <c r="Y814" s="39" t="s">
        <v>1074</v>
      </c>
      <c r="Z814" s="39" t="s">
        <v>828</v>
      </c>
      <c r="AB814" s="39">
        <v>0.166666666666666</v>
      </c>
    </row>
    <row r="815">
      <c r="A815" s="39" t="s">
        <v>1498</v>
      </c>
      <c r="B815" s="39" t="s">
        <v>1499</v>
      </c>
      <c r="C815" s="39">
        <v>0.45</v>
      </c>
      <c r="D815" s="41">
        <v>44083.0</v>
      </c>
      <c r="E815" s="39" t="s">
        <v>828</v>
      </c>
      <c r="F815" s="39" t="s">
        <v>829</v>
      </c>
      <c r="G815" s="39" t="s">
        <v>830</v>
      </c>
      <c r="H815" s="39">
        <v>920.0</v>
      </c>
      <c r="N815" s="39" t="s">
        <v>883</v>
      </c>
      <c r="R815" s="39" t="s">
        <v>832</v>
      </c>
      <c r="S815" s="39" t="s">
        <v>833</v>
      </c>
      <c r="T815" s="39" t="s">
        <v>884</v>
      </c>
      <c r="U815" s="39" t="s">
        <v>883</v>
      </c>
      <c r="W815" s="39" t="s">
        <v>835</v>
      </c>
      <c r="X815" s="39" t="s">
        <v>1500</v>
      </c>
      <c r="Z815" s="39" t="s">
        <v>876</v>
      </c>
      <c r="AB815" s="39">
        <v>0.45</v>
      </c>
      <c r="AC815" s="39">
        <v>8.0</v>
      </c>
      <c r="AD815" s="39">
        <v>0.0</v>
      </c>
    </row>
    <row r="816">
      <c r="A816" s="39" t="s">
        <v>1347</v>
      </c>
      <c r="B816" s="39" t="s">
        <v>1378</v>
      </c>
      <c r="C816" s="39">
        <v>1.0</v>
      </c>
      <c r="D816" s="41">
        <v>44083.0</v>
      </c>
      <c r="E816" s="39" t="s">
        <v>1048</v>
      </c>
      <c r="F816" s="39" t="s">
        <v>1049</v>
      </c>
      <c r="G816" s="39" t="s">
        <v>1050</v>
      </c>
      <c r="H816" s="39">
        <v>920.0</v>
      </c>
      <c r="N816" s="39" t="s">
        <v>1051</v>
      </c>
      <c r="R816" s="39" t="s">
        <v>832</v>
      </c>
      <c r="S816" s="39" t="s">
        <v>1052</v>
      </c>
      <c r="T816" s="39" t="s">
        <v>1053</v>
      </c>
      <c r="U816" s="39" t="s">
        <v>1051</v>
      </c>
      <c r="X816" s="39" t="s">
        <v>1501</v>
      </c>
      <c r="Z816" s="39" t="s">
        <v>872</v>
      </c>
      <c r="AB816" s="39">
        <v>1.0</v>
      </c>
    </row>
    <row r="817">
      <c r="A817" s="39" t="s">
        <v>1347</v>
      </c>
      <c r="B817" s="39" t="s">
        <v>1378</v>
      </c>
      <c r="C817" s="39">
        <v>1.0</v>
      </c>
      <c r="D817" s="41">
        <v>44083.0</v>
      </c>
      <c r="E817" s="39" t="s">
        <v>1048</v>
      </c>
      <c r="F817" s="39" t="s">
        <v>1049</v>
      </c>
      <c r="G817" s="39" t="s">
        <v>1050</v>
      </c>
      <c r="H817" s="39">
        <v>920.0</v>
      </c>
      <c r="N817" s="39" t="s">
        <v>1051</v>
      </c>
      <c r="R817" s="39" t="s">
        <v>832</v>
      </c>
      <c r="S817" s="39" t="s">
        <v>1052</v>
      </c>
      <c r="T817" s="39" t="s">
        <v>1053</v>
      </c>
      <c r="U817" s="39" t="s">
        <v>1051</v>
      </c>
      <c r="X817" s="39" t="s">
        <v>1502</v>
      </c>
      <c r="Z817" s="39" t="s">
        <v>872</v>
      </c>
      <c r="AB817" s="39">
        <v>1.0</v>
      </c>
    </row>
    <row r="818">
      <c r="A818" s="39" t="s">
        <v>1470</v>
      </c>
      <c r="B818" s="39" t="s">
        <v>1471</v>
      </c>
      <c r="C818" s="39">
        <v>5.0</v>
      </c>
      <c r="D818" s="41">
        <v>44083.0</v>
      </c>
      <c r="E818" s="39" t="s">
        <v>1048</v>
      </c>
      <c r="F818" s="39" t="s">
        <v>1049</v>
      </c>
      <c r="G818" s="39" t="s">
        <v>1050</v>
      </c>
      <c r="H818" s="39">
        <v>920.0</v>
      </c>
      <c r="N818" s="39" t="s">
        <v>1051</v>
      </c>
      <c r="R818" s="39" t="s">
        <v>957</v>
      </c>
      <c r="S818" s="39" t="s">
        <v>1052</v>
      </c>
      <c r="T818" s="39" t="s">
        <v>1053</v>
      </c>
      <c r="U818" s="39" t="s">
        <v>1051</v>
      </c>
      <c r="X818" s="39" t="s">
        <v>1503</v>
      </c>
      <c r="Y818" s="39" t="s">
        <v>1347</v>
      </c>
      <c r="Z818" s="39" t="s">
        <v>1048</v>
      </c>
      <c r="AB818" s="39">
        <v>5.0</v>
      </c>
    </row>
    <row r="819">
      <c r="A819" s="39" t="s">
        <v>1477</v>
      </c>
      <c r="B819" s="39" t="s">
        <v>1478</v>
      </c>
      <c r="C819" s="39">
        <v>7.0</v>
      </c>
      <c r="D819" s="41">
        <v>44083.0</v>
      </c>
      <c r="E819" s="39" t="s">
        <v>1059</v>
      </c>
      <c r="F819" s="39" t="s">
        <v>1060</v>
      </c>
      <c r="G819" s="39" t="s">
        <v>1050</v>
      </c>
      <c r="H819" s="39">
        <v>920.0</v>
      </c>
      <c r="N819" s="39" t="s">
        <v>1051</v>
      </c>
      <c r="R819" s="39" t="s">
        <v>957</v>
      </c>
      <c r="S819" s="39" t="s">
        <v>1052</v>
      </c>
      <c r="T819" s="39" t="s">
        <v>1053</v>
      </c>
      <c r="U819" s="39" t="s">
        <v>1051</v>
      </c>
      <c r="X819" s="39" t="s">
        <v>1504</v>
      </c>
      <c r="Y819" s="39" t="s">
        <v>1380</v>
      </c>
      <c r="Z819" s="39" t="s">
        <v>1153</v>
      </c>
      <c r="AB819" s="39">
        <v>7.0</v>
      </c>
    </row>
    <row r="820">
      <c r="A820" s="39" t="s">
        <v>1293</v>
      </c>
      <c r="B820" s="39" t="s">
        <v>1294</v>
      </c>
      <c r="C820" s="39">
        <v>2.0</v>
      </c>
      <c r="D820" s="41">
        <v>44083.333333333336</v>
      </c>
      <c r="E820" s="39" t="s">
        <v>1291</v>
      </c>
      <c r="F820" s="39" t="s">
        <v>1292</v>
      </c>
      <c r="G820" s="39" t="s">
        <v>1050</v>
      </c>
      <c r="H820" s="39">
        <v>920.0</v>
      </c>
      <c r="N820" s="39" t="s">
        <v>938</v>
      </c>
      <c r="R820" s="39" t="s">
        <v>832</v>
      </c>
      <c r="S820" s="39" t="s">
        <v>842</v>
      </c>
      <c r="T820" s="39" t="s">
        <v>741</v>
      </c>
      <c r="U820" s="39" t="s">
        <v>938</v>
      </c>
      <c r="X820" s="39" t="s">
        <v>1295</v>
      </c>
      <c r="Y820" s="39" t="s">
        <v>1074</v>
      </c>
      <c r="Z820" s="39" t="s">
        <v>828</v>
      </c>
      <c r="AB820" s="39">
        <v>2.0</v>
      </c>
    </row>
    <row r="821">
      <c r="A821" s="39" t="s">
        <v>1505</v>
      </c>
      <c r="B821" s="39" t="s">
        <v>1506</v>
      </c>
      <c r="C821" s="39">
        <v>2.0</v>
      </c>
      <c r="D821" s="41">
        <v>44083.416666666664</v>
      </c>
      <c r="E821" s="39" t="s">
        <v>1291</v>
      </c>
      <c r="F821" s="39" t="s">
        <v>1292</v>
      </c>
      <c r="G821" s="39" t="s">
        <v>1050</v>
      </c>
      <c r="H821" s="39">
        <v>920.0</v>
      </c>
      <c r="N821" s="39" t="s">
        <v>938</v>
      </c>
      <c r="R821" s="39" t="s">
        <v>832</v>
      </c>
      <c r="S821" s="39" t="s">
        <v>939</v>
      </c>
      <c r="T821" s="39" t="s">
        <v>741</v>
      </c>
      <c r="U821" s="39" t="s">
        <v>938</v>
      </c>
      <c r="X821" s="39" t="s">
        <v>1507</v>
      </c>
      <c r="Y821" s="39" t="s">
        <v>1115</v>
      </c>
      <c r="Z821" s="39" t="s">
        <v>872</v>
      </c>
      <c r="AB821" s="39">
        <v>2.0</v>
      </c>
    </row>
    <row r="822">
      <c r="A822" s="39" t="s">
        <v>1505</v>
      </c>
      <c r="B822" s="39" t="s">
        <v>1506</v>
      </c>
      <c r="C822" s="39">
        <v>4.0</v>
      </c>
      <c r="D822" s="41">
        <v>44083.541666666664</v>
      </c>
      <c r="E822" s="39" t="s">
        <v>1291</v>
      </c>
      <c r="F822" s="39" t="s">
        <v>1292</v>
      </c>
      <c r="G822" s="39" t="s">
        <v>1050</v>
      </c>
      <c r="H822" s="39">
        <v>920.0</v>
      </c>
      <c r="N822" s="39" t="s">
        <v>938</v>
      </c>
      <c r="R822" s="39" t="s">
        <v>832</v>
      </c>
      <c r="S822" s="39" t="s">
        <v>939</v>
      </c>
      <c r="T822" s="39" t="s">
        <v>741</v>
      </c>
      <c r="U822" s="39" t="s">
        <v>938</v>
      </c>
      <c r="X822" s="39" t="s">
        <v>1507</v>
      </c>
      <c r="Y822" s="39" t="s">
        <v>1115</v>
      </c>
      <c r="Z822" s="39" t="s">
        <v>872</v>
      </c>
      <c r="AB822" s="39">
        <v>4.0</v>
      </c>
    </row>
    <row r="823">
      <c r="A823" s="39" t="s">
        <v>1508</v>
      </c>
      <c r="B823" s="39" t="s">
        <v>1509</v>
      </c>
      <c r="C823" s="39">
        <v>0.216666666666666</v>
      </c>
      <c r="D823" s="41">
        <v>44084.0</v>
      </c>
      <c r="E823" s="39" t="s">
        <v>828</v>
      </c>
      <c r="F823" s="39" t="s">
        <v>829</v>
      </c>
      <c r="G823" s="39" t="s">
        <v>830</v>
      </c>
      <c r="H823" s="39">
        <v>920.0</v>
      </c>
      <c r="N823" s="39" t="s">
        <v>938</v>
      </c>
      <c r="R823" s="39" t="s">
        <v>957</v>
      </c>
      <c r="S823" s="39" t="s">
        <v>966</v>
      </c>
      <c r="T823" s="39" t="s">
        <v>741</v>
      </c>
      <c r="U823" s="39" t="s">
        <v>938</v>
      </c>
      <c r="X823" s="39" t="s">
        <v>1510</v>
      </c>
      <c r="Y823" s="39" t="s">
        <v>1219</v>
      </c>
      <c r="Z823" s="39" t="s">
        <v>872</v>
      </c>
      <c r="AB823" s="39">
        <v>0.216666666666666</v>
      </c>
    </row>
    <row r="824">
      <c r="A824" s="39" t="s">
        <v>1480</v>
      </c>
      <c r="B824" s="39" t="s">
        <v>1481</v>
      </c>
      <c r="C824" s="39">
        <v>0.2</v>
      </c>
      <c r="D824" s="41">
        <v>44084.0</v>
      </c>
      <c r="E824" s="39" t="s">
        <v>828</v>
      </c>
      <c r="F824" s="39" t="s">
        <v>829</v>
      </c>
      <c r="G824" s="39" t="s">
        <v>830</v>
      </c>
      <c r="H824" s="39">
        <v>920.0</v>
      </c>
      <c r="N824" s="39" t="s">
        <v>938</v>
      </c>
      <c r="R824" s="39" t="s">
        <v>957</v>
      </c>
      <c r="S824" s="39" t="s">
        <v>966</v>
      </c>
      <c r="T824" s="39" t="s">
        <v>741</v>
      </c>
      <c r="U824" s="39" t="s">
        <v>938</v>
      </c>
      <c r="X824" s="39" t="s">
        <v>1482</v>
      </c>
      <c r="Y824" s="39" t="s">
        <v>1219</v>
      </c>
      <c r="Z824" s="39" t="s">
        <v>872</v>
      </c>
      <c r="AB824" s="39">
        <v>0.2</v>
      </c>
    </row>
    <row r="825">
      <c r="A825" s="39" t="s">
        <v>1457</v>
      </c>
      <c r="B825" s="39" t="s">
        <v>1458</v>
      </c>
      <c r="C825" s="39">
        <v>0.35</v>
      </c>
      <c r="D825" s="41">
        <v>44084.0</v>
      </c>
      <c r="E825" s="39" t="s">
        <v>828</v>
      </c>
      <c r="F825" s="39" t="s">
        <v>829</v>
      </c>
      <c r="G825" s="39" t="s">
        <v>830</v>
      </c>
      <c r="H825" s="39">
        <v>920.0</v>
      </c>
      <c r="N825" s="39" t="s">
        <v>938</v>
      </c>
      <c r="R825" s="39" t="s">
        <v>832</v>
      </c>
      <c r="S825" s="39" t="s">
        <v>939</v>
      </c>
      <c r="T825" s="39" t="s">
        <v>741</v>
      </c>
      <c r="U825" s="39" t="s">
        <v>938</v>
      </c>
      <c r="X825" s="39" t="s">
        <v>1459</v>
      </c>
      <c r="Y825" s="39" t="s">
        <v>1074</v>
      </c>
      <c r="Z825" s="39" t="s">
        <v>828</v>
      </c>
      <c r="AB825" s="39">
        <v>0.35</v>
      </c>
    </row>
    <row r="826">
      <c r="A826" s="39" t="s">
        <v>1511</v>
      </c>
      <c r="B826" s="39" t="s">
        <v>1512</v>
      </c>
      <c r="C826" s="39">
        <v>0.116666666666666</v>
      </c>
      <c r="D826" s="41">
        <v>44084.0</v>
      </c>
      <c r="E826" s="39" t="s">
        <v>828</v>
      </c>
      <c r="F826" s="39" t="s">
        <v>829</v>
      </c>
      <c r="G826" s="39" t="s">
        <v>830</v>
      </c>
      <c r="H826" s="39">
        <v>920.0</v>
      </c>
      <c r="N826" s="39" t="s">
        <v>938</v>
      </c>
      <c r="R826" s="39" t="s">
        <v>832</v>
      </c>
      <c r="S826" s="39" t="s">
        <v>939</v>
      </c>
      <c r="T826" s="39" t="s">
        <v>741</v>
      </c>
      <c r="U826" s="39" t="s">
        <v>938</v>
      </c>
      <c r="X826" s="39" t="s">
        <v>1513</v>
      </c>
      <c r="Y826" s="39" t="s">
        <v>1514</v>
      </c>
      <c r="Z826" s="39" t="s">
        <v>828</v>
      </c>
      <c r="AB826" s="39">
        <v>0.116666666666666</v>
      </c>
      <c r="AD826" s="39">
        <v>0.25</v>
      </c>
    </row>
    <row r="827">
      <c r="A827" s="39" t="s">
        <v>1423</v>
      </c>
      <c r="B827" s="39" t="s">
        <v>1424</v>
      </c>
      <c r="C827" s="39">
        <v>0.316666666666666</v>
      </c>
      <c r="D827" s="41">
        <v>44084.0</v>
      </c>
      <c r="E827" s="39" t="s">
        <v>828</v>
      </c>
      <c r="F827" s="39" t="s">
        <v>829</v>
      </c>
      <c r="G827" s="39" t="s">
        <v>830</v>
      </c>
      <c r="H827" s="39">
        <v>920.0</v>
      </c>
      <c r="N827" s="39" t="s">
        <v>938</v>
      </c>
      <c r="R827" s="39" t="s">
        <v>957</v>
      </c>
      <c r="S827" s="39" t="s">
        <v>966</v>
      </c>
      <c r="T827" s="39" t="s">
        <v>741</v>
      </c>
      <c r="U827" s="39" t="s">
        <v>938</v>
      </c>
      <c r="X827" s="39" t="s">
        <v>1425</v>
      </c>
      <c r="Y827" s="39" t="s">
        <v>1219</v>
      </c>
      <c r="Z827" s="39" t="s">
        <v>872</v>
      </c>
      <c r="AB827" s="39">
        <v>0.316666666666666</v>
      </c>
    </row>
    <row r="828">
      <c r="A828" s="39" t="s">
        <v>1112</v>
      </c>
      <c r="B828" s="39" t="s">
        <v>1113</v>
      </c>
      <c r="C828" s="39">
        <v>0.516666666666666</v>
      </c>
      <c r="D828" s="41">
        <v>44084.0</v>
      </c>
      <c r="E828" s="39" t="s">
        <v>828</v>
      </c>
      <c r="F828" s="39" t="s">
        <v>829</v>
      </c>
      <c r="G828" s="39" t="s">
        <v>830</v>
      </c>
      <c r="H828" s="39">
        <v>920.0</v>
      </c>
      <c r="N828" s="39" t="s">
        <v>938</v>
      </c>
      <c r="R828" s="39" t="s">
        <v>832</v>
      </c>
      <c r="S828" s="39" t="s">
        <v>889</v>
      </c>
      <c r="T828" s="39" t="s">
        <v>741</v>
      </c>
      <c r="U828" s="39" t="s">
        <v>938</v>
      </c>
      <c r="X828" s="39" t="s">
        <v>1114</v>
      </c>
      <c r="Y828" s="39" t="s">
        <v>1115</v>
      </c>
      <c r="Z828" s="39" t="s">
        <v>872</v>
      </c>
      <c r="AB828" s="39">
        <v>0.516666666666666</v>
      </c>
    </row>
    <row r="829">
      <c r="A829" s="39" t="s">
        <v>1515</v>
      </c>
      <c r="B829" s="39" t="s">
        <v>1516</v>
      </c>
      <c r="C829" s="39">
        <v>0.2</v>
      </c>
      <c r="D829" s="41">
        <v>44084.0</v>
      </c>
      <c r="E829" s="39" t="s">
        <v>828</v>
      </c>
      <c r="F829" s="39" t="s">
        <v>829</v>
      </c>
      <c r="G829" s="39" t="s">
        <v>830</v>
      </c>
      <c r="H829" s="39">
        <v>920.0</v>
      </c>
      <c r="N829" s="39" t="s">
        <v>938</v>
      </c>
      <c r="R829" s="39" t="s">
        <v>957</v>
      </c>
      <c r="S829" s="39" t="s">
        <v>966</v>
      </c>
      <c r="T829" s="39" t="s">
        <v>741</v>
      </c>
      <c r="U829" s="39" t="s">
        <v>938</v>
      </c>
      <c r="X829" s="39" t="s">
        <v>1517</v>
      </c>
      <c r="Y829" s="39" t="s">
        <v>1283</v>
      </c>
      <c r="Z829" s="39" t="s">
        <v>1153</v>
      </c>
      <c r="AB829" s="39">
        <v>0.2</v>
      </c>
    </row>
    <row r="830">
      <c r="A830" s="39" t="s">
        <v>1115</v>
      </c>
      <c r="B830" s="39" t="s">
        <v>1122</v>
      </c>
      <c r="C830" s="39">
        <v>0.766666666666666</v>
      </c>
      <c r="D830" s="41">
        <v>44084.0</v>
      </c>
      <c r="E830" s="39" t="s">
        <v>828</v>
      </c>
      <c r="F830" s="39" t="s">
        <v>829</v>
      </c>
      <c r="G830" s="39" t="s">
        <v>830</v>
      </c>
      <c r="H830" s="39">
        <v>920.0</v>
      </c>
      <c r="N830" s="39" t="s">
        <v>938</v>
      </c>
      <c r="R830" s="39" t="s">
        <v>72</v>
      </c>
      <c r="S830" s="39" t="s">
        <v>842</v>
      </c>
      <c r="T830" s="39" t="s">
        <v>741</v>
      </c>
      <c r="U830" s="39" t="s">
        <v>938</v>
      </c>
      <c r="X830" s="39" t="s">
        <v>1123</v>
      </c>
      <c r="Z830" s="39" t="s">
        <v>872</v>
      </c>
      <c r="AB830" s="39">
        <v>0.766666666666666</v>
      </c>
    </row>
    <row r="831">
      <c r="A831" s="39" t="s">
        <v>1518</v>
      </c>
      <c r="B831" s="39" t="s">
        <v>1519</v>
      </c>
      <c r="C831" s="39">
        <v>0.533333333333333</v>
      </c>
      <c r="D831" s="41">
        <v>44084.0</v>
      </c>
      <c r="E831" s="39" t="s">
        <v>828</v>
      </c>
      <c r="F831" s="39" t="s">
        <v>829</v>
      </c>
      <c r="G831" s="39" t="s">
        <v>830</v>
      </c>
      <c r="H831" s="39">
        <v>920.0</v>
      </c>
      <c r="N831" s="39" t="s">
        <v>883</v>
      </c>
      <c r="R831" s="39" t="s">
        <v>832</v>
      </c>
      <c r="S831" s="39" t="s">
        <v>833</v>
      </c>
      <c r="T831" s="39" t="s">
        <v>884</v>
      </c>
      <c r="U831" s="39" t="s">
        <v>883</v>
      </c>
      <c r="W831" s="39" t="s">
        <v>904</v>
      </c>
      <c r="X831" s="39" t="s">
        <v>1520</v>
      </c>
      <c r="Z831" s="39" t="s">
        <v>847</v>
      </c>
      <c r="AB831" s="39">
        <v>0.533333333333333</v>
      </c>
      <c r="AC831" s="39">
        <v>2.0</v>
      </c>
      <c r="AD831" s="39">
        <v>0.0</v>
      </c>
    </row>
    <row r="832">
      <c r="A832" s="39" t="s">
        <v>1505</v>
      </c>
      <c r="B832" s="39" t="s">
        <v>1506</v>
      </c>
      <c r="C832" s="39">
        <v>1.31666666666666</v>
      </c>
      <c r="D832" s="41">
        <v>44084.0</v>
      </c>
      <c r="E832" s="39" t="s">
        <v>828</v>
      </c>
      <c r="F832" s="39" t="s">
        <v>829</v>
      </c>
      <c r="G832" s="39" t="s">
        <v>830</v>
      </c>
      <c r="H832" s="39">
        <v>920.0</v>
      </c>
      <c r="N832" s="39" t="s">
        <v>938</v>
      </c>
      <c r="R832" s="39" t="s">
        <v>832</v>
      </c>
      <c r="S832" s="39" t="s">
        <v>939</v>
      </c>
      <c r="T832" s="39" t="s">
        <v>741</v>
      </c>
      <c r="U832" s="39" t="s">
        <v>938</v>
      </c>
      <c r="X832" s="39" t="s">
        <v>1507</v>
      </c>
      <c r="Y832" s="39" t="s">
        <v>1115</v>
      </c>
      <c r="Z832" s="39" t="s">
        <v>872</v>
      </c>
      <c r="AB832" s="39">
        <v>1.31666666666666</v>
      </c>
    </row>
    <row r="833">
      <c r="A833" s="39" t="s">
        <v>1394</v>
      </c>
      <c r="B833" s="39" t="s">
        <v>1395</v>
      </c>
      <c r="C833" s="39">
        <v>1.0</v>
      </c>
      <c r="D833" s="41">
        <v>44084.0</v>
      </c>
      <c r="E833" s="39" t="s">
        <v>1048</v>
      </c>
      <c r="F833" s="39" t="s">
        <v>1049</v>
      </c>
      <c r="G833" s="39" t="s">
        <v>1050</v>
      </c>
      <c r="H833" s="39">
        <v>920.0</v>
      </c>
      <c r="N833" s="39" t="s">
        <v>1051</v>
      </c>
      <c r="R833" s="39" t="s">
        <v>957</v>
      </c>
      <c r="S833" s="39" t="s">
        <v>1052</v>
      </c>
      <c r="T833" s="39" t="s">
        <v>1053</v>
      </c>
      <c r="U833" s="39" t="s">
        <v>1051</v>
      </c>
      <c r="X833" s="39" t="s">
        <v>1521</v>
      </c>
      <c r="Y833" s="39" t="s">
        <v>1347</v>
      </c>
      <c r="Z833" s="39" t="s">
        <v>1048</v>
      </c>
      <c r="AB833" s="39">
        <v>1.0</v>
      </c>
    </row>
    <row r="834">
      <c r="A834" s="39" t="s">
        <v>1440</v>
      </c>
      <c r="B834" s="39" t="s">
        <v>1441</v>
      </c>
      <c r="C834" s="39">
        <v>3.0</v>
      </c>
      <c r="D834" s="41">
        <v>44084.0</v>
      </c>
      <c r="E834" s="39" t="s">
        <v>1048</v>
      </c>
      <c r="F834" s="39" t="s">
        <v>1049</v>
      </c>
      <c r="G834" s="39" t="s">
        <v>1050</v>
      </c>
      <c r="H834" s="39">
        <v>920.0</v>
      </c>
      <c r="N834" s="39" t="s">
        <v>1051</v>
      </c>
      <c r="R834" s="39" t="s">
        <v>832</v>
      </c>
      <c r="S834" s="39" t="s">
        <v>842</v>
      </c>
      <c r="T834" s="39" t="s">
        <v>1053</v>
      </c>
      <c r="U834" s="39" t="s">
        <v>1051</v>
      </c>
      <c r="X834" s="39" t="s">
        <v>1522</v>
      </c>
      <c r="Y834" s="39" t="s">
        <v>1386</v>
      </c>
      <c r="Z834" s="39" t="s">
        <v>1048</v>
      </c>
      <c r="AB834" s="39">
        <v>3.0</v>
      </c>
    </row>
    <row r="835">
      <c r="A835" s="39" t="s">
        <v>1394</v>
      </c>
      <c r="B835" s="39" t="s">
        <v>1395</v>
      </c>
      <c r="C835" s="39">
        <v>2.0</v>
      </c>
      <c r="D835" s="41">
        <v>44084.0</v>
      </c>
      <c r="E835" s="39" t="s">
        <v>1048</v>
      </c>
      <c r="F835" s="39" t="s">
        <v>1049</v>
      </c>
      <c r="G835" s="39" t="s">
        <v>1050</v>
      </c>
      <c r="H835" s="39">
        <v>920.0</v>
      </c>
      <c r="N835" s="39" t="s">
        <v>1051</v>
      </c>
      <c r="R835" s="39" t="s">
        <v>957</v>
      </c>
      <c r="S835" s="39" t="s">
        <v>1052</v>
      </c>
      <c r="T835" s="39" t="s">
        <v>1053</v>
      </c>
      <c r="U835" s="39" t="s">
        <v>1051</v>
      </c>
      <c r="X835" s="39" t="s">
        <v>1523</v>
      </c>
      <c r="Y835" s="39" t="s">
        <v>1347</v>
      </c>
      <c r="Z835" s="39" t="s">
        <v>1048</v>
      </c>
      <c r="AB835" s="39">
        <v>2.0</v>
      </c>
    </row>
    <row r="836">
      <c r="A836" s="39" t="s">
        <v>1524</v>
      </c>
      <c r="B836" s="39" t="s">
        <v>1525</v>
      </c>
      <c r="C836" s="39">
        <v>7.0</v>
      </c>
      <c r="D836" s="41">
        <v>44084.0</v>
      </c>
      <c r="E836" s="39" t="s">
        <v>1059</v>
      </c>
      <c r="F836" s="39" t="s">
        <v>1060</v>
      </c>
      <c r="G836" s="39" t="s">
        <v>1050</v>
      </c>
      <c r="H836" s="39">
        <v>920.0</v>
      </c>
      <c r="N836" s="39" t="s">
        <v>1051</v>
      </c>
      <c r="R836" s="39" t="s">
        <v>957</v>
      </c>
      <c r="S836" s="39" t="s">
        <v>1052</v>
      </c>
      <c r="T836" s="39" t="s">
        <v>1053</v>
      </c>
      <c r="U836" s="39" t="s">
        <v>1051</v>
      </c>
      <c r="X836" s="39" t="s">
        <v>1526</v>
      </c>
      <c r="Y836" s="39" t="s">
        <v>1288</v>
      </c>
      <c r="Z836" s="39" t="s">
        <v>872</v>
      </c>
      <c r="AB836" s="39">
        <v>7.0</v>
      </c>
    </row>
    <row r="837">
      <c r="A837" s="39" t="s">
        <v>1505</v>
      </c>
      <c r="B837" s="39" t="s">
        <v>1506</v>
      </c>
      <c r="C837" s="39">
        <v>4.0</v>
      </c>
      <c r="D837" s="41">
        <v>44084.333333333336</v>
      </c>
      <c r="E837" s="39" t="s">
        <v>1291</v>
      </c>
      <c r="F837" s="39" t="s">
        <v>1292</v>
      </c>
      <c r="G837" s="39" t="s">
        <v>1050</v>
      </c>
      <c r="H837" s="39">
        <v>920.0</v>
      </c>
      <c r="N837" s="39" t="s">
        <v>938</v>
      </c>
      <c r="R837" s="39" t="s">
        <v>832</v>
      </c>
      <c r="S837" s="39" t="s">
        <v>939</v>
      </c>
      <c r="T837" s="39" t="s">
        <v>741</v>
      </c>
      <c r="U837" s="39" t="s">
        <v>938</v>
      </c>
      <c r="X837" s="39" t="s">
        <v>1507</v>
      </c>
      <c r="Y837" s="39" t="s">
        <v>1115</v>
      </c>
      <c r="Z837" s="39" t="s">
        <v>872</v>
      </c>
      <c r="AB837" s="39">
        <v>4.0</v>
      </c>
    </row>
    <row r="838">
      <c r="A838" s="39" t="s">
        <v>1505</v>
      </c>
      <c r="B838" s="39" t="s">
        <v>1506</v>
      </c>
      <c r="C838" s="39">
        <v>4.0</v>
      </c>
      <c r="D838" s="41">
        <v>44084.541666666664</v>
      </c>
      <c r="E838" s="39" t="s">
        <v>1291</v>
      </c>
      <c r="F838" s="39" t="s">
        <v>1292</v>
      </c>
      <c r="G838" s="39" t="s">
        <v>1050</v>
      </c>
      <c r="H838" s="39">
        <v>920.0</v>
      </c>
      <c r="N838" s="39" t="s">
        <v>938</v>
      </c>
      <c r="R838" s="39" t="s">
        <v>832</v>
      </c>
      <c r="S838" s="39" t="s">
        <v>939</v>
      </c>
      <c r="T838" s="39" t="s">
        <v>741</v>
      </c>
      <c r="U838" s="39" t="s">
        <v>938</v>
      </c>
      <c r="X838" s="39" t="s">
        <v>1507</v>
      </c>
      <c r="Y838" s="39" t="s">
        <v>1115</v>
      </c>
      <c r="Z838" s="39" t="s">
        <v>872</v>
      </c>
      <c r="AB838" s="39">
        <v>4.0</v>
      </c>
    </row>
    <row r="839">
      <c r="A839" s="39" t="s">
        <v>1394</v>
      </c>
      <c r="B839" s="39" t="s">
        <v>1395</v>
      </c>
      <c r="C839" s="39">
        <v>0.5</v>
      </c>
      <c r="D839" s="41">
        <v>44084.604166666664</v>
      </c>
      <c r="E839" s="39" t="s">
        <v>872</v>
      </c>
      <c r="F839" s="39" t="s">
        <v>724</v>
      </c>
      <c r="G839" s="39" t="s">
        <v>830</v>
      </c>
      <c r="H839" s="39">
        <v>920.0</v>
      </c>
      <c r="N839" s="39" t="s">
        <v>1051</v>
      </c>
      <c r="R839" s="39" t="s">
        <v>957</v>
      </c>
      <c r="S839" s="39" t="s">
        <v>1052</v>
      </c>
      <c r="T839" s="39" t="s">
        <v>1053</v>
      </c>
      <c r="U839" s="39" t="s">
        <v>1051</v>
      </c>
      <c r="X839" s="39" t="s">
        <v>1527</v>
      </c>
      <c r="Y839" s="39" t="s">
        <v>1347</v>
      </c>
      <c r="Z839" s="39" t="s">
        <v>1048</v>
      </c>
      <c r="AB839" s="39">
        <v>0.5</v>
      </c>
    </row>
    <row r="840">
      <c r="A840" s="39" t="s">
        <v>1528</v>
      </c>
      <c r="B840" s="39" t="s">
        <v>1529</v>
      </c>
      <c r="C840" s="39">
        <v>0.55</v>
      </c>
      <c r="D840" s="41">
        <v>44085.0</v>
      </c>
      <c r="E840" s="39" t="s">
        <v>828</v>
      </c>
      <c r="F840" s="39" t="s">
        <v>829</v>
      </c>
      <c r="G840" s="39" t="s">
        <v>830</v>
      </c>
      <c r="H840" s="39">
        <v>920.0</v>
      </c>
      <c r="N840" s="39" t="s">
        <v>938</v>
      </c>
      <c r="R840" s="39" t="s">
        <v>957</v>
      </c>
      <c r="S840" s="39" t="s">
        <v>966</v>
      </c>
      <c r="T840" s="39" t="s">
        <v>741</v>
      </c>
      <c r="U840" s="39" t="s">
        <v>938</v>
      </c>
      <c r="X840" s="39" t="s">
        <v>1530</v>
      </c>
      <c r="Y840" s="39" t="s">
        <v>1192</v>
      </c>
      <c r="Z840" s="39" t="s">
        <v>872</v>
      </c>
      <c r="AB840" s="39">
        <v>0.55</v>
      </c>
    </row>
    <row r="841">
      <c r="A841" s="39" t="s">
        <v>1486</v>
      </c>
      <c r="B841" s="39" t="s">
        <v>1487</v>
      </c>
      <c r="C841" s="39">
        <v>0.0666666666666666</v>
      </c>
      <c r="D841" s="41">
        <v>44085.0</v>
      </c>
      <c r="E841" s="39" t="s">
        <v>828</v>
      </c>
      <c r="F841" s="39" t="s">
        <v>829</v>
      </c>
      <c r="G841" s="39" t="s">
        <v>830</v>
      </c>
      <c r="H841" s="39">
        <v>920.0</v>
      </c>
      <c r="N841" s="39" t="s">
        <v>938</v>
      </c>
      <c r="R841" s="39" t="s">
        <v>957</v>
      </c>
      <c r="S841" s="39" t="s">
        <v>966</v>
      </c>
      <c r="T841" s="39" t="s">
        <v>741</v>
      </c>
      <c r="U841" s="39" t="s">
        <v>938</v>
      </c>
      <c r="X841" s="39" t="s">
        <v>1488</v>
      </c>
      <c r="Y841" s="39" t="s">
        <v>1042</v>
      </c>
      <c r="Z841" s="39" t="s">
        <v>872</v>
      </c>
      <c r="AB841" s="39">
        <v>0.0666666666666666</v>
      </c>
    </row>
    <row r="842">
      <c r="A842" s="39" t="s">
        <v>1531</v>
      </c>
      <c r="B842" s="39" t="s">
        <v>1532</v>
      </c>
      <c r="C842" s="39">
        <v>0.833333333333333</v>
      </c>
      <c r="D842" s="41">
        <v>44085.0</v>
      </c>
      <c r="E842" s="39" t="s">
        <v>828</v>
      </c>
      <c r="F842" s="39" t="s">
        <v>829</v>
      </c>
      <c r="G842" s="39" t="s">
        <v>830</v>
      </c>
      <c r="H842" s="39">
        <v>920.0</v>
      </c>
      <c r="N842" s="39" t="s">
        <v>938</v>
      </c>
      <c r="R842" s="39" t="s">
        <v>832</v>
      </c>
      <c r="S842" s="39" t="s">
        <v>939</v>
      </c>
      <c r="T842" s="39" t="s">
        <v>741</v>
      </c>
      <c r="U842" s="39" t="s">
        <v>938</v>
      </c>
      <c r="X842" s="39" t="s">
        <v>1533</v>
      </c>
      <c r="Y842" s="39" t="s">
        <v>1027</v>
      </c>
      <c r="Z842" s="39" t="s">
        <v>872</v>
      </c>
      <c r="AB842" s="39">
        <v>0.833333333333333</v>
      </c>
    </row>
    <row r="843">
      <c r="A843" s="39" t="s">
        <v>1505</v>
      </c>
      <c r="B843" s="39" t="s">
        <v>1506</v>
      </c>
      <c r="C843" s="39">
        <v>0.833333333333333</v>
      </c>
      <c r="D843" s="41">
        <v>44085.0</v>
      </c>
      <c r="E843" s="39" t="s">
        <v>828</v>
      </c>
      <c r="F843" s="39" t="s">
        <v>829</v>
      </c>
      <c r="G843" s="39" t="s">
        <v>830</v>
      </c>
      <c r="H843" s="39">
        <v>920.0</v>
      </c>
      <c r="N843" s="39" t="s">
        <v>938</v>
      </c>
      <c r="R843" s="39" t="s">
        <v>832</v>
      </c>
      <c r="S843" s="39" t="s">
        <v>939</v>
      </c>
      <c r="T843" s="39" t="s">
        <v>741</v>
      </c>
      <c r="U843" s="39" t="s">
        <v>938</v>
      </c>
      <c r="X843" s="39" t="s">
        <v>1507</v>
      </c>
      <c r="Y843" s="39" t="s">
        <v>1115</v>
      </c>
      <c r="Z843" s="39" t="s">
        <v>872</v>
      </c>
      <c r="AB843" s="39">
        <v>0.833333333333333</v>
      </c>
    </row>
    <row r="844">
      <c r="A844" s="39" t="s">
        <v>1515</v>
      </c>
      <c r="B844" s="39" t="s">
        <v>1516</v>
      </c>
      <c r="C844" s="39">
        <v>0.05</v>
      </c>
      <c r="D844" s="41">
        <v>44085.0</v>
      </c>
      <c r="E844" s="39" t="s">
        <v>828</v>
      </c>
      <c r="F844" s="39" t="s">
        <v>829</v>
      </c>
      <c r="G844" s="39" t="s">
        <v>830</v>
      </c>
      <c r="H844" s="39">
        <v>920.0</v>
      </c>
      <c r="N844" s="39" t="s">
        <v>938</v>
      </c>
      <c r="R844" s="39" t="s">
        <v>957</v>
      </c>
      <c r="S844" s="39" t="s">
        <v>966</v>
      </c>
      <c r="T844" s="39" t="s">
        <v>741</v>
      </c>
      <c r="U844" s="39" t="s">
        <v>938</v>
      </c>
      <c r="X844" s="39" t="s">
        <v>1517</v>
      </c>
      <c r="Y844" s="39" t="s">
        <v>1283</v>
      </c>
      <c r="Z844" s="39" t="s">
        <v>1153</v>
      </c>
      <c r="AB844" s="39">
        <v>0.05</v>
      </c>
    </row>
    <row r="845">
      <c r="A845" s="39" t="s">
        <v>1534</v>
      </c>
      <c r="B845" s="39" t="s">
        <v>1535</v>
      </c>
      <c r="C845" s="39">
        <v>0.566666666666666</v>
      </c>
      <c r="D845" s="41">
        <v>44085.0</v>
      </c>
      <c r="E845" s="39" t="s">
        <v>828</v>
      </c>
      <c r="F845" s="39" t="s">
        <v>829</v>
      </c>
      <c r="G845" s="39" t="s">
        <v>830</v>
      </c>
      <c r="H845" s="39">
        <v>920.0</v>
      </c>
      <c r="N845" s="39" t="s">
        <v>883</v>
      </c>
      <c r="R845" s="39" t="s">
        <v>832</v>
      </c>
      <c r="S845" s="39" t="s">
        <v>833</v>
      </c>
      <c r="T845" s="39" t="s">
        <v>884</v>
      </c>
      <c r="U845" s="39" t="s">
        <v>883</v>
      </c>
      <c r="W845" s="39" t="s">
        <v>904</v>
      </c>
      <c r="X845" s="39" t="s">
        <v>1536</v>
      </c>
      <c r="Z845" s="39" t="s">
        <v>837</v>
      </c>
      <c r="AB845" s="39">
        <v>0.566666666666666</v>
      </c>
      <c r="AC845" s="39">
        <v>8.0</v>
      </c>
      <c r="AD845" s="39">
        <v>0.0</v>
      </c>
    </row>
    <row r="846">
      <c r="A846" s="39" t="s">
        <v>1338</v>
      </c>
      <c r="B846" s="39" t="s">
        <v>1339</v>
      </c>
      <c r="C846" s="39">
        <v>0.133333333333333</v>
      </c>
      <c r="D846" s="41">
        <v>44085.0</v>
      </c>
      <c r="E846" s="39" t="s">
        <v>828</v>
      </c>
      <c r="F846" s="39" t="s">
        <v>829</v>
      </c>
      <c r="G846" s="39" t="s">
        <v>830</v>
      </c>
      <c r="H846" s="39">
        <v>920.0</v>
      </c>
      <c r="N846" s="39" t="s">
        <v>883</v>
      </c>
      <c r="R846" s="39" t="s">
        <v>832</v>
      </c>
      <c r="S846" s="39" t="s">
        <v>842</v>
      </c>
      <c r="T846" s="39" t="s">
        <v>884</v>
      </c>
      <c r="U846" s="39" t="s">
        <v>883</v>
      </c>
      <c r="X846" s="39" t="s">
        <v>1340</v>
      </c>
      <c r="Z846" s="39" t="s">
        <v>951</v>
      </c>
      <c r="AB846" s="39">
        <v>0.133333333333333</v>
      </c>
      <c r="AC846" s="39">
        <v>4.0</v>
      </c>
      <c r="AD846" s="39">
        <v>1.61666666666666</v>
      </c>
    </row>
    <row r="847">
      <c r="A847" s="39" t="s">
        <v>1394</v>
      </c>
      <c r="B847" s="39" t="s">
        <v>1395</v>
      </c>
      <c r="C847" s="39">
        <v>4.0</v>
      </c>
      <c r="D847" s="41">
        <v>44085.0</v>
      </c>
      <c r="E847" s="39" t="s">
        <v>1048</v>
      </c>
      <c r="F847" s="39" t="s">
        <v>1049</v>
      </c>
      <c r="G847" s="39" t="s">
        <v>1050</v>
      </c>
      <c r="H847" s="39">
        <v>920.0</v>
      </c>
      <c r="N847" s="39" t="s">
        <v>1051</v>
      </c>
      <c r="R847" s="39" t="s">
        <v>957</v>
      </c>
      <c r="S847" s="39" t="s">
        <v>1052</v>
      </c>
      <c r="T847" s="39" t="s">
        <v>1053</v>
      </c>
      <c r="U847" s="39" t="s">
        <v>1051</v>
      </c>
      <c r="X847" s="39" t="s">
        <v>1537</v>
      </c>
      <c r="Y847" s="39" t="s">
        <v>1347</v>
      </c>
      <c r="Z847" s="39" t="s">
        <v>1048</v>
      </c>
      <c r="AB847" s="39">
        <v>4.0</v>
      </c>
    </row>
    <row r="848">
      <c r="A848" s="39" t="s">
        <v>1538</v>
      </c>
      <c r="B848" s="39" t="s">
        <v>1539</v>
      </c>
      <c r="C848" s="39">
        <v>3.0</v>
      </c>
      <c r="D848" s="41">
        <v>44085.0</v>
      </c>
      <c r="E848" s="39" t="s">
        <v>1048</v>
      </c>
      <c r="F848" s="39" t="s">
        <v>1049</v>
      </c>
      <c r="G848" s="39" t="s">
        <v>1050</v>
      </c>
      <c r="H848" s="39">
        <v>920.0</v>
      </c>
      <c r="N848" s="39" t="s">
        <v>1051</v>
      </c>
      <c r="R848" s="39" t="s">
        <v>957</v>
      </c>
      <c r="S848" s="39" t="s">
        <v>1274</v>
      </c>
      <c r="T848" s="39" t="s">
        <v>1053</v>
      </c>
      <c r="U848" s="39" t="s">
        <v>1051</v>
      </c>
      <c r="X848" s="39" t="s">
        <v>1540</v>
      </c>
      <c r="Y848" s="39" t="s">
        <v>1262</v>
      </c>
      <c r="Z848" s="39" t="s">
        <v>872</v>
      </c>
      <c r="AB848" s="39">
        <v>3.0</v>
      </c>
    </row>
    <row r="849">
      <c r="A849" s="39" t="s">
        <v>1505</v>
      </c>
      <c r="B849" s="39" t="s">
        <v>1506</v>
      </c>
      <c r="C849" s="39">
        <v>4.0</v>
      </c>
      <c r="D849" s="41">
        <v>44085.333333333336</v>
      </c>
      <c r="E849" s="39" t="s">
        <v>1291</v>
      </c>
      <c r="F849" s="39" t="s">
        <v>1292</v>
      </c>
      <c r="G849" s="39" t="s">
        <v>1050</v>
      </c>
      <c r="H849" s="39">
        <v>920.0</v>
      </c>
      <c r="N849" s="39" t="s">
        <v>938</v>
      </c>
      <c r="R849" s="39" t="s">
        <v>832</v>
      </c>
      <c r="S849" s="39" t="s">
        <v>939</v>
      </c>
      <c r="T849" s="39" t="s">
        <v>741</v>
      </c>
      <c r="U849" s="39" t="s">
        <v>938</v>
      </c>
      <c r="X849" s="39" t="s">
        <v>1507</v>
      </c>
      <c r="Y849" s="39" t="s">
        <v>1115</v>
      </c>
      <c r="Z849" s="39" t="s">
        <v>872</v>
      </c>
      <c r="AB849" s="39">
        <v>4.0</v>
      </c>
    </row>
    <row r="850">
      <c r="A850" s="39" t="s">
        <v>1515</v>
      </c>
      <c r="B850" s="39" t="s">
        <v>1516</v>
      </c>
      <c r="C850" s="39">
        <v>4.0</v>
      </c>
      <c r="D850" s="41">
        <v>44085.541666666664</v>
      </c>
      <c r="E850" s="39" t="s">
        <v>1291</v>
      </c>
      <c r="F850" s="39" t="s">
        <v>1292</v>
      </c>
      <c r="G850" s="39" t="s">
        <v>1050</v>
      </c>
      <c r="H850" s="39">
        <v>920.0</v>
      </c>
      <c r="N850" s="39" t="s">
        <v>938</v>
      </c>
      <c r="R850" s="39" t="s">
        <v>957</v>
      </c>
      <c r="S850" s="39" t="s">
        <v>966</v>
      </c>
      <c r="T850" s="39" t="s">
        <v>741</v>
      </c>
      <c r="U850" s="39" t="s">
        <v>938</v>
      </c>
      <c r="X850" s="39" t="s">
        <v>1517</v>
      </c>
      <c r="Y850" s="39" t="s">
        <v>1283</v>
      </c>
      <c r="Z850" s="39" t="s">
        <v>1153</v>
      </c>
      <c r="AB850" s="39">
        <v>4.0</v>
      </c>
    </row>
    <row r="851">
      <c r="A851" s="39" t="s">
        <v>1434</v>
      </c>
      <c r="B851" s="39" t="s">
        <v>1435</v>
      </c>
      <c r="C851" s="39">
        <v>1.06666666666666</v>
      </c>
      <c r="D851" s="41">
        <v>44088.0</v>
      </c>
      <c r="E851" s="39" t="s">
        <v>828</v>
      </c>
      <c r="F851" s="39" t="s">
        <v>829</v>
      </c>
      <c r="G851" s="39" t="s">
        <v>830</v>
      </c>
      <c r="H851" s="39">
        <v>920.0</v>
      </c>
      <c r="N851" s="39" t="s">
        <v>938</v>
      </c>
      <c r="R851" s="39" t="s">
        <v>832</v>
      </c>
      <c r="S851" s="39" t="s">
        <v>939</v>
      </c>
      <c r="T851" s="39" t="s">
        <v>741</v>
      </c>
      <c r="U851" s="39" t="s">
        <v>938</v>
      </c>
      <c r="X851" s="39" t="s">
        <v>1436</v>
      </c>
      <c r="Y851" s="39" t="s">
        <v>1115</v>
      </c>
      <c r="Z851" s="39" t="s">
        <v>872</v>
      </c>
      <c r="AB851" s="39">
        <v>1.06666666666666</v>
      </c>
      <c r="AD851" s="39">
        <v>0.0</v>
      </c>
    </row>
    <row r="852">
      <c r="A852" s="39" t="s">
        <v>1541</v>
      </c>
      <c r="B852" s="39" t="s">
        <v>1542</v>
      </c>
      <c r="C852" s="39">
        <v>0.0833333333333333</v>
      </c>
      <c r="D852" s="41">
        <v>44088.0</v>
      </c>
      <c r="E852" s="39" t="s">
        <v>828</v>
      </c>
      <c r="F852" s="39" t="s">
        <v>829</v>
      </c>
      <c r="G852" s="39" t="s">
        <v>830</v>
      </c>
      <c r="H852" s="39">
        <v>920.0</v>
      </c>
      <c r="N852" s="39" t="s">
        <v>938</v>
      </c>
      <c r="R852" s="39" t="s">
        <v>832</v>
      </c>
      <c r="S852" s="39" t="s">
        <v>939</v>
      </c>
      <c r="T852" s="39" t="s">
        <v>741</v>
      </c>
      <c r="U852" s="39" t="s">
        <v>938</v>
      </c>
      <c r="X852" s="39" t="s">
        <v>1543</v>
      </c>
      <c r="Y852" s="39" t="s">
        <v>1115</v>
      </c>
      <c r="Z852" s="39" t="s">
        <v>828</v>
      </c>
      <c r="AB852" s="39">
        <v>0.0833333333333333</v>
      </c>
    </row>
    <row r="853">
      <c r="A853" s="39" t="s">
        <v>1505</v>
      </c>
      <c r="B853" s="39" t="s">
        <v>1506</v>
      </c>
      <c r="C853" s="39">
        <v>0.216666666666666</v>
      </c>
      <c r="D853" s="41">
        <v>44088.0</v>
      </c>
      <c r="E853" s="39" t="s">
        <v>828</v>
      </c>
      <c r="F853" s="39" t="s">
        <v>829</v>
      </c>
      <c r="G853" s="39" t="s">
        <v>830</v>
      </c>
      <c r="H853" s="39">
        <v>920.0</v>
      </c>
      <c r="N853" s="39" t="s">
        <v>938</v>
      </c>
      <c r="R853" s="39" t="s">
        <v>832</v>
      </c>
      <c r="S853" s="39" t="s">
        <v>939</v>
      </c>
      <c r="T853" s="39" t="s">
        <v>741</v>
      </c>
      <c r="U853" s="39" t="s">
        <v>938</v>
      </c>
      <c r="X853" s="39" t="s">
        <v>1507</v>
      </c>
      <c r="Y853" s="39" t="s">
        <v>1115</v>
      </c>
      <c r="Z853" s="39" t="s">
        <v>872</v>
      </c>
      <c r="AB853" s="39">
        <v>0.216666666666666</v>
      </c>
    </row>
    <row r="854">
      <c r="A854" s="39" t="s">
        <v>1544</v>
      </c>
      <c r="B854" s="39" t="s">
        <v>1545</v>
      </c>
      <c r="C854" s="39">
        <v>0.266666666666666</v>
      </c>
      <c r="D854" s="41">
        <v>44088.0</v>
      </c>
      <c r="E854" s="39" t="s">
        <v>828</v>
      </c>
      <c r="F854" s="39" t="s">
        <v>829</v>
      </c>
      <c r="G854" s="39" t="s">
        <v>830</v>
      </c>
      <c r="H854" s="39">
        <v>920.0</v>
      </c>
      <c r="N854" s="39" t="s">
        <v>938</v>
      </c>
      <c r="R854" s="39" t="s">
        <v>832</v>
      </c>
      <c r="S854" s="39" t="s">
        <v>939</v>
      </c>
      <c r="T854" s="39" t="s">
        <v>741</v>
      </c>
      <c r="U854" s="39" t="s">
        <v>938</v>
      </c>
      <c r="X854" s="39" t="s">
        <v>1546</v>
      </c>
      <c r="Y854" s="39" t="s">
        <v>1074</v>
      </c>
      <c r="Z854" s="39" t="s">
        <v>828</v>
      </c>
      <c r="AB854" s="39">
        <v>0.266666666666666</v>
      </c>
    </row>
    <row r="855">
      <c r="A855" s="39" t="s">
        <v>1489</v>
      </c>
      <c r="B855" s="39" t="s">
        <v>1490</v>
      </c>
      <c r="C855" s="39">
        <v>0.55</v>
      </c>
      <c r="D855" s="41">
        <v>44088.0</v>
      </c>
      <c r="E855" s="39" t="s">
        <v>828</v>
      </c>
      <c r="F855" s="39" t="s">
        <v>829</v>
      </c>
      <c r="G855" s="39" t="s">
        <v>830</v>
      </c>
      <c r="H855" s="39">
        <v>920.0</v>
      </c>
      <c r="N855" s="39" t="s">
        <v>938</v>
      </c>
      <c r="R855" s="39" t="s">
        <v>832</v>
      </c>
      <c r="S855" s="39" t="s">
        <v>939</v>
      </c>
      <c r="T855" s="39" t="s">
        <v>741</v>
      </c>
      <c r="U855" s="39" t="s">
        <v>938</v>
      </c>
      <c r="X855" s="39" t="s">
        <v>1491</v>
      </c>
      <c r="Y855" s="39" t="s">
        <v>1115</v>
      </c>
      <c r="Z855" s="39" t="s">
        <v>828</v>
      </c>
      <c r="AB855" s="39">
        <v>0.55</v>
      </c>
    </row>
    <row r="856">
      <c r="A856" s="39" t="s">
        <v>1019</v>
      </c>
      <c r="B856" s="39" t="s">
        <v>1020</v>
      </c>
      <c r="C856" s="39">
        <v>0.05</v>
      </c>
      <c r="D856" s="41">
        <v>44088.0</v>
      </c>
      <c r="E856" s="39" t="s">
        <v>828</v>
      </c>
      <c r="F856" s="39" t="s">
        <v>829</v>
      </c>
      <c r="G856" s="39" t="s">
        <v>830</v>
      </c>
      <c r="H856" s="39">
        <v>920.0</v>
      </c>
      <c r="N856" s="39" t="s">
        <v>883</v>
      </c>
      <c r="R856" s="39" t="s">
        <v>1021</v>
      </c>
      <c r="S856" s="39" t="s">
        <v>833</v>
      </c>
      <c r="T856" s="39" t="s">
        <v>884</v>
      </c>
      <c r="U856" s="39" t="s">
        <v>883</v>
      </c>
      <c r="W856" s="39" t="s">
        <v>835</v>
      </c>
      <c r="X856" s="39" t="s">
        <v>1022</v>
      </c>
      <c r="Z856" s="39" t="s">
        <v>1023</v>
      </c>
      <c r="AB856" s="39">
        <v>0.05</v>
      </c>
      <c r="AC856" s="39">
        <v>0.0</v>
      </c>
      <c r="AD856" s="39">
        <v>0.0</v>
      </c>
    </row>
    <row r="857">
      <c r="A857" s="39" t="s">
        <v>1009</v>
      </c>
      <c r="B857" s="39" t="s">
        <v>1010</v>
      </c>
      <c r="C857" s="39">
        <v>0.0166666666666666</v>
      </c>
      <c r="D857" s="41">
        <v>44088.0</v>
      </c>
      <c r="E857" s="39" t="s">
        <v>828</v>
      </c>
      <c r="F857" s="39" t="s">
        <v>829</v>
      </c>
      <c r="G857" s="39" t="s">
        <v>830</v>
      </c>
      <c r="H857" s="39">
        <v>920.0</v>
      </c>
      <c r="N857" s="39" t="s">
        <v>883</v>
      </c>
      <c r="R857" s="39" t="s">
        <v>832</v>
      </c>
      <c r="S857" s="39" t="s">
        <v>833</v>
      </c>
      <c r="T857" s="39" t="s">
        <v>884</v>
      </c>
      <c r="U857" s="39" t="s">
        <v>883</v>
      </c>
      <c r="W857" s="39" t="s">
        <v>904</v>
      </c>
      <c r="X857" s="39" t="s">
        <v>1011</v>
      </c>
      <c r="Z857" s="39" t="s">
        <v>900</v>
      </c>
      <c r="AB857" s="39">
        <v>0.0166666666666666</v>
      </c>
      <c r="AC857" s="39">
        <v>3.0</v>
      </c>
      <c r="AD857" s="39">
        <v>0.0</v>
      </c>
    </row>
    <row r="858">
      <c r="A858" s="39" t="s">
        <v>1467</v>
      </c>
      <c r="B858" s="39" t="s">
        <v>1468</v>
      </c>
      <c r="C858" s="39">
        <v>1.95</v>
      </c>
      <c r="D858" s="41">
        <v>44088.0</v>
      </c>
      <c r="E858" s="39" t="s">
        <v>828</v>
      </c>
      <c r="F858" s="39" t="s">
        <v>829</v>
      </c>
      <c r="G858" s="39" t="s">
        <v>830</v>
      </c>
      <c r="H858" s="39">
        <v>920.0</v>
      </c>
      <c r="N858" s="39" t="s">
        <v>938</v>
      </c>
      <c r="R858" s="39" t="s">
        <v>832</v>
      </c>
      <c r="S858" s="39" t="s">
        <v>939</v>
      </c>
      <c r="T858" s="39" t="s">
        <v>741</v>
      </c>
      <c r="U858" s="39" t="s">
        <v>938</v>
      </c>
      <c r="X858" s="39" t="s">
        <v>1469</v>
      </c>
      <c r="Y858" s="39" t="s">
        <v>1115</v>
      </c>
      <c r="Z858" s="39" t="s">
        <v>828</v>
      </c>
      <c r="AB858" s="39">
        <v>1.95</v>
      </c>
    </row>
    <row r="859">
      <c r="A859" s="39" t="s">
        <v>1386</v>
      </c>
      <c r="B859" s="39" t="s">
        <v>1403</v>
      </c>
      <c r="C859" s="39">
        <v>1.0</v>
      </c>
      <c r="D859" s="41">
        <v>44088.0</v>
      </c>
      <c r="E859" s="39" t="s">
        <v>1048</v>
      </c>
      <c r="F859" s="39" t="s">
        <v>1049</v>
      </c>
      <c r="G859" s="39" t="s">
        <v>1050</v>
      </c>
      <c r="H859" s="39">
        <v>920.0</v>
      </c>
      <c r="N859" s="39" t="s">
        <v>1051</v>
      </c>
      <c r="R859" s="39" t="s">
        <v>72</v>
      </c>
      <c r="S859" s="39" t="s">
        <v>842</v>
      </c>
      <c r="T859" s="39" t="s">
        <v>1053</v>
      </c>
      <c r="U859" s="39" t="s">
        <v>1051</v>
      </c>
      <c r="X859" s="39" t="s">
        <v>1547</v>
      </c>
      <c r="Z859" s="39" t="s">
        <v>872</v>
      </c>
      <c r="AB859" s="39">
        <v>1.0</v>
      </c>
    </row>
    <row r="860">
      <c r="A860" s="39" t="s">
        <v>1394</v>
      </c>
      <c r="B860" s="39" t="s">
        <v>1395</v>
      </c>
      <c r="C860" s="39">
        <v>6.0</v>
      </c>
      <c r="D860" s="41">
        <v>44088.0</v>
      </c>
      <c r="E860" s="39" t="s">
        <v>1048</v>
      </c>
      <c r="F860" s="39" t="s">
        <v>1049</v>
      </c>
      <c r="G860" s="39" t="s">
        <v>1050</v>
      </c>
      <c r="H860" s="39">
        <v>920.0</v>
      </c>
      <c r="N860" s="39" t="s">
        <v>1051</v>
      </c>
      <c r="R860" s="39" t="s">
        <v>957</v>
      </c>
      <c r="S860" s="39" t="s">
        <v>1052</v>
      </c>
      <c r="T860" s="39" t="s">
        <v>1053</v>
      </c>
      <c r="U860" s="39" t="s">
        <v>1051</v>
      </c>
      <c r="X860" s="39" t="s">
        <v>1548</v>
      </c>
      <c r="Y860" s="39" t="s">
        <v>1347</v>
      </c>
      <c r="Z860" s="39" t="s">
        <v>1048</v>
      </c>
      <c r="AB860" s="39">
        <v>6.0</v>
      </c>
    </row>
    <row r="861">
      <c r="A861" s="39" t="s">
        <v>1549</v>
      </c>
      <c r="B861" s="39" t="s">
        <v>1550</v>
      </c>
      <c r="C861" s="39">
        <v>7.0</v>
      </c>
      <c r="D861" s="41">
        <v>44088.0</v>
      </c>
      <c r="E861" s="39" t="s">
        <v>1059</v>
      </c>
      <c r="F861" s="39" t="s">
        <v>1060</v>
      </c>
      <c r="G861" s="39" t="s">
        <v>1050</v>
      </c>
      <c r="H861" s="39">
        <v>920.0</v>
      </c>
      <c r="N861" s="39" t="s">
        <v>1051</v>
      </c>
      <c r="R861" s="39" t="s">
        <v>957</v>
      </c>
      <c r="S861" s="39" t="s">
        <v>1052</v>
      </c>
      <c r="T861" s="39" t="s">
        <v>1053</v>
      </c>
      <c r="U861" s="39" t="s">
        <v>1051</v>
      </c>
      <c r="X861" s="39" t="s">
        <v>1551</v>
      </c>
      <c r="Y861" s="39" t="s">
        <v>1380</v>
      </c>
      <c r="Z861" s="39" t="s">
        <v>872</v>
      </c>
      <c r="AB861" s="39">
        <v>7.0</v>
      </c>
    </row>
    <row r="862">
      <c r="A862" s="39" t="s">
        <v>1489</v>
      </c>
      <c r="B862" s="39" t="s">
        <v>1490</v>
      </c>
      <c r="C862" s="39">
        <v>1.0</v>
      </c>
      <c r="D862" s="41">
        <v>44088.333333333336</v>
      </c>
      <c r="E862" s="39" t="s">
        <v>1291</v>
      </c>
      <c r="F862" s="39" t="s">
        <v>1292</v>
      </c>
      <c r="G862" s="39" t="s">
        <v>1050</v>
      </c>
      <c r="H862" s="39">
        <v>920.0</v>
      </c>
      <c r="N862" s="39" t="s">
        <v>938</v>
      </c>
      <c r="R862" s="39" t="s">
        <v>832</v>
      </c>
      <c r="S862" s="39" t="s">
        <v>939</v>
      </c>
      <c r="T862" s="39" t="s">
        <v>741</v>
      </c>
      <c r="U862" s="39" t="s">
        <v>938</v>
      </c>
      <c r="X862" s="39" t="s">
        <v>1491</v>
      </c>
      <c r="Y862" s="39" t="s">
        <v>1115</v>
      </c>
      <c r="Z862" s="39" t="s">
        <v>828</v>
      </c>
      <c r="AB862" s="39">
        <v>1.0</v>
      </c>
    </row>
    <row r="863">
      <c r="A863" s="39" t="s">
        <v>1467</v>
      </c>
      <c r="B863" s="39" t="s">
        <v>1468</v>
      </c>
      <c r="C863" s="39">
        <v>1.0</v>
      </c>
      <c r="D863" s="41">
        <v>44088.375</v>
      </c>
      <c r="E863" s="39" t="s">
        <v>1291</v>
      </c>
      <c r="F863" s="39" t="s">
        <v>1292</v>
      </c>
      <c r="G863" s="39" t="s">
        <v>1050</v>
      </c>
      <c r="H863" s="39">
        <v>920.0</v>
      </c>
      <c r="N863" s="39" t="s">
        <v>938</v>
      </c>
      <c r="R863" s="39" t="s">
        <v>832</v>
      </c>
      <c r="S863" s="39" t="s">
        <v>939</v>
      </c>
      <c r="T863" s="39" t="s">
        <v>741</v>
      </c>
      <c r="U863" s="39" t="s">
        <v>938</v>
      </c>
      <c r="X863" s="39" t="s">
        <v>1469</v>
      </c>
      <c r="Y863" s="39" t="s">
        <v>1115</v>
      </c>
      <c r="Z863" s="39" t="s">
        <v>828</v>
      </c>
      <c r="AB863" s="39">
        <v>1.0</v>
      </c>
    </row>
    <row r="864">
      <c r="A864" s="39" t="s">
        <v>1552</v>
      </c>
      <c r="B864" s="39" t="s">
        <v>1553</v>
      </c>
      <c r="C864" s="39">
        <v>2.0</v>
      </c>
      <c r="D864" s="41">
        <v>44088.416666666664</v>
      </c>
      <c r="E864" s="39" t="s">
        <v>1291</v>
      </c>
      <c r="F864" s="39" t="s">
        <v>1292</v>
      </c>
      <c r="G864" s="39" t="s">
        <v>1050</v>
      </c>
      <c r="H864" s="39">
        <v>920.0</v>
      </c>
      <c r="N864" s="39" t="s">
        <v>938</v>
      </c>
      <c r="R864" s="39" t="s">
        <v>832</v>
      </c>
      <c r="S864" s="39" t="s">
        <v>939</v>
      </c>
      <c r="T864" s="39" t="s">
        <v>741</v>
      </c>
      <c r="U864" s="39" t="s">
        <v>938</v>
      </c>
      <c r="X864" s="39" t="s">
        <v>1554</v>
      </c>
      <c r="Y864" s="39" t="s">
        <v>1115</v>
      </c>
      <c r="Z864" s="39" t="s">
        <v>1153</v>
      </c>
      <c r="AB864" s="39">
        <v>2.0</v>
      </c>
    </row>
    <row r="865">
      <c r="A865" s="39" t="s">
        <v>1434</v>
      </c>
      <c r="B865" s="39" t="s">
        <v>1435</v>
      </c>
      <c r="C865" s="39">
        <v>2.0</v>
      </c>
      <c r="D865" s="41">
        <v>44088.541666666664</v>
      </c>
      <c r="E865" s="39" t="s">
        <v>1291</v>
      </c>
      <c r="F865" s="39" t="s">
        <v>1292</v>
      </c>
      <c r="G865" s="39" t="s">
        <v>1050</v>
      </c>
      <c r="H865" s="39">
        <v>920.0</v>
      </c>
      <c r="N865" s="39" t="s">
        <v>938</v>
      </c>
      <c r="R865" s="39" t="s">
        <v>832</v>
      </c>
      <c r="S865" s="39" t="s">
        <v>939</v>
      </c>
      <c r="T865" s="39" t="s">
        <v>741</v>
      </c>
      <c r="U865" s="39" t="s">
        <v>938</v>
      </c>
      <c r="X865" s="39" t="s">
        <v>1436</v>
      </c>
      <c r="Y865" s="39" t="s">
        <v>1115</v>
      </c>
      <c r="Z865" s="39" t="s">
        <v>872</v>
      </c>
      <c r="AB865" s="39">
        <v>2.0</v>
      </c>
      <c r="AD865" s="39">
        <v>0.0</v>
      </c>
    </row>
    <row r="866">
      <c r="A866" s="39" t="s">
        <v>1394</v>
      </c>
      <c r="B866" s="39" t="s">
        <v>1395</v>
      </c>
      <c r="C866" s="39">
        <v>0.25</v>
      </c>
      <c r="D866" s="41">
        <v>44088.604166666664</v>
      </c>
      <c r="E866" s="39" t="s">
        <v>872</v>
      </c>
      <c r="F866" s="39" t="s">
        <v>724</v>
      </c>
      <c r="G866" s="39" t="s">
        <v>830</v>
      </c>
      <c r="H866" s="39">
        <v>920.0</v>
      </c>
      <c r="N866" s="39" t="s">
        <v>1051</v>
      </c>
      <c r="R866" s="39" t="s">
        <v>957</v>
      </c>
      <c r="S866" s="39" t="s">
        <v>1052</v>
      </c>
      <c r="T866" s="39" t="s">
        <v>1053</v>
      </c>
      <c r="U866" s="39" t="s">
        <v>1051</v>
      </c>
      <c r="X866" s="39" t="s">
        <v>1527</v>
      </c>
      <c r="Y866" s="39" t="s">
        <v>1347</v>
      </c>
      <c r="Z866" s="39" t="s">
        <v>1048</v>
      </c>
      <c r="AB866" s="39">
        <v>0.25</v>
      </c>
    </row>
    <row r="867">
      <c r="A867" s="39" t="s">
        <v>1541</v>
      </c>
      <c r="B867" s="39" t="s">
        <v>1542</v>
      </c>
      <c r="C867" s="39">
        <v>2.0</v>
      </c>
      <c r="D867" s="41">
        <v>44088.625</v>
      </c>
      <c r="E867" s="39" t="s">
        <v>1291</v>
      </c>
      <c r="F867" s="39" t="s">
        <v>1292</v>
      </c>
      <c r="G867" s="39" t="s">
        <v>1050</v>
      </c>
      <c r="H867" s="39">
        <v>920.0</v>
      </c>
      <c r="N867" s="39" t="s">
        <v>938</v>
      </c>
      <c r="R867" s="39" t="s">
        <v>832</v>
      </c>
      <c r="S867" s="39" t="s">
        <v>939</v>
      </c>
      <c r="T867" s="39" t="s">
        <v>741</v>
      </c>
      <c r="U867" s="39" t="s">
        <v>938</v>
      </c>
      <c r="X867" s="39" t="s">
        <v>1543</v>
      </c>
      <c r="Y867" s="39" t="s">
        <v>1115</v>
      </c>
      <c r="Z867" s="39" t="s">
        <v>828</v>
      </c>
      <c r="AB867" s="39">
        <v>2.0</v>
      </c>
    </row>
    <row r="868">
      <c r="A868" s="39" t="s">
        <v>1555</v>
      </c>
      <c r="B868" s="39" t="s">
        <v>1556</v>
      </c>
      <c r="C868" s="39">
        <v>1.6</v>
      </c>
      <c r="D868" s="41">
        <v>44089.0</v>
      </c>
      <c r="E868" s="39" t="s">
        <v>828</v>
      </c>
      <c r="F868" s="39" t="s">
        <v>829</v>
      </c>
      <c r="G868" s="39" t="s">
        <v>830</v>
      </c>
      <c r="H868" s="39">
        <v>920.0</v>
      </c>
      <c r="N868" s="39" t="s">
        <v>938</v>
      </c>
      <c r="R868" s="39" t="s">
        <v>832</v>
      </c>
      <c r="S868" s="39" t="s">
        <v>939</v>
      </c>
      <c r="T868" s="39" t="s">
        <v>741</v>
      </c>
      <c r="U868" s="39" t="s">
        <v>938</v>
      </c>
      <c r="X868" s="39" t="s">
        <v>1557</v>
      </c>
      <c r="Y868" s="39" t="s">
        <v>1115</v>
      </c>
      <c r="Z868" s="39" t="s">
        <v>828</v>
      </c>
      <c r="AB868" s="39">
        <v>1.6</v>
      </c>
    </row>
    <row r="869">
      <c r="A869" s="39" t="s">
        <v>1394</v>
      </c>
      <c r="B869" s="39" t="s">
        <v>1395</v>
      </c>
      <c r="C869" s="39">
        <v>3.0</v>
      </c>
      <c r="D869" s="41">
        <v>44089.0</v>
      </c>
      <c r="E869" s="39" t="s">
        <v>1048</v>
      </c>
      <c r="F869" s="39" t="s">
        <v>1049</v>
      </c>
      <c r="G869" s="39" t="s">
        <v>1050</v>
      </c>
      <c r="H869" s="39">
        <v>920.0</v>
      </c>
      <c r="N869" s="39" t="s">
        <v>1051</v>
      </c>
      <c r="R869" s="39" t="s">
        <v>957</v>
      </c>
      <c r="S869" s="39" t="s">
        <v>1052</v>
      </c>
      <c r="T869" s="39" t="s">
        <v>1053</v>
      </c>
      <c r="U869" s="39" t="s">
        <v>1051</v>
      </c>
      <c r="X869" s="39" t="s">
        <v>1558</v>
      </c>
      <c r="Y869" s="39" t="s">
        <v>1347</v>
      </c>
      <c r="Z869" s="39" t="s">
        <v>1048</v>
      </c>
      <c r="AB869" s="39">
        <v>3.0</v>
      </c>
    </row>
    <row r="870">
      <c r="A870" s="39" t="s">
        <v>1505</v>
      </c>
      <c r="B870" s="39" t="s">
        <v>1506</v>
      </c>
      <c r="C870" s="39">
        <v>0.0666666666666666</v>
      </c>
      <c r="D870" s="41">
        <v>44090.0</v>
      </c>
      <c r="E870" s="39" t="s">
        <v>828</v>
      </c>
      <c r="F870" s="39" t="s">
        <v>829</v>
      </c>
      <c r="G870" s="39" t="s">
        <v>830</v>
      </c>
      <c r="H870" s="39">
        <v>920.0</v>
      </c>
      <c r="N870" s="39" t="s">
        <v>938</v>
      </c>
      <c r="R870" s="39" t="s">
        <v>832</v>
      </c>
      <c r="S870" s="39" t="s">
        <v>939</v>
      </c>
      <c r="T870" s="39" t="s">
        <v>741</v>
      </c>
      <c r="U870" s="39" t="s">
        <v>938</v>
      </c>
      <c r="X870" s="39" t="s">
        <v>1507</v>
      </c>
      <c r="Y870" s="39" t="s">
        <v>1115</v>
      </c>
      <c r="Z870" s="39" t="s">
        <v>872</v>
      </c>
      <c r="AB870" s="39">
        <v>0.0666666666666666</v>
      </c>
    </row>
    <row r="871">
      <c r="A871" s="39" t="s">
        <v>1555</v>
      </c>
      <c r="B871" s="39" t="s">
        <v>1556</v>
      </c>
      <c r="C871" s="39">
        <v>1.71666666666666</v>
      </c>
      <c r="D871" s="41">
        <v>44090.0</v>
      </c>
      <c r="E871" s="39" t="s">
        <v>828</v>
      </c>
      <c r="F871" s="39" t="s">
        <v>829</v>
      </c>
      <c r="G871" s="39" t="s">
        <v>830</v>
      </c>
      <c r="H871" s="39">
        <v>920.0</v>
      </c>
      <c r="N871" s="39" t="s">
        <v>938</v>
      </c>
      <c r="R871" s="39" t="s">
        <v>832</v>
      </c>
      <c r="S871" s="39" t="s">
        <v>939</v>
      </c>
      <c r="T871" s="39" t="s">
        <v>741</v>
      </c>
      <c r="U871" s="39" t="s">
        <v>938</v>
      </c>
      <c r="X871" s="39" t="s">
        <v>1557</v>
      </c>
      <c r="Y871" s="39" t="s">
        <v>1115</v>
      </c>
      <c r="Z871" s="39" t="s">
        <v>828</v>
      </c>
      <c r="AB871" s="39">
        <v>1.71666666666666</v>
      </c>
    </row>
    <row r="872">
      <c r="A872" s="39" t="s">
        <v>1434</v>
      </c>
      <c r="B872" s="39" t="s">
        <v>1435</v>
      </c>
      <c r="C872" s="39">
        <v>2.5</v>
      </c>
      <c r="D872" s="41">
        <v>44090.541666666664</v>
      </c>
      <c r="E872" s="39" t="s">
        <v>1291</v>
      </c>
      <c r="F872" s="39" t="s">
        <v>1292</v>
      </c>
      <c r="G872" s="39" t="s">
        <v>1050</v>
      </c>
      <c r="H872" s="39">
        <v>920.0</v>
      </c>
      <c r="N872" s="39" t="s">
        <v>938</v>
      </c>
      <c r="R872" s="39" t="s">
        <v>832</v>
      </c>
      <c r="S872" s="39" t="s">
        <v>939</v>
      </c>
      <c r="T872" s="39" t="s">
        <v>741</v>
      </c>
      <c r="U872" s="39" t="s">
        <v>938</v>
      </c>
      <c r="X872" s="39" t="s">
        <v>1436</v>
      </c>
      <c r="Y872" s="39" t="s">
        <v>1115</v>
      </c>
      <c r="Z872" s="39" t="s">
        <v>872</v>
      </c>
      <c r="AB872" s="39">
        <v>2.5</v>
      </c>
      <c r="AD872" s="39">
        <v>0.0</v>
      </c>
    </row>
    <row r="873">
      <c r="A873" s="39" t="s">
        <v>1495</v>
      </c>
      <c r="B873" s="39" t="s">
        <v>1496</v>
      </c>
      <c r="C873" s="39">
        <v>0.5</v>
      </c>
      <c r="D873" s="41">
        <v>44090.645833333336</v>
      </c>
      <c r="E873" s="39" t="s">
        <v>1291</v>
      </c>
      <c r="F873" s="39" t="s">
        <v>1292</v>
      </c>
      <c r="G873" s="39" t="s">
        <v>1050</v>
      </c>
      <c r="H873" s="39">
        <v>920.0</v>
      </c>
      <c r="N873" s="39" t="s">
        <v>938</v>
      </c>
      <c r="R873" s="39" t="s">
        <v>832</v>
      </c>
      <c r="S873" s="39" t="s">
        <v>939</v>
      </c>
      <c r="T873" s="39" t="s">
        <v>741</v>
      </c>
      <c r="U873" s="39" t="s">
        <v>938</v>
      </c>
      <c r="X873" s="39" t="s">
        <v>1497</v>
      </c>
      <c r="Y873" s="39" t="s">
        <v>1074</v>
      </c>
      <c r="Z873" s="39" t="s">
        <v>828</v>
      </c>
      <c r="AB873" s="39">
        <v>0.5</v>
      </c>
    </row>
    <row r="874">
      <c r="A874" s="39" t="s">
        <v>1559</v>
      </c>
      <c r="B874" s="39" t="s">
        <v>1560</v>
      </c>
      <c r="C874" s="39">
        <v>0.5</v>
      </c>
      <c r="D874" s="41">
        <v>44090.666666666664</v>
      </c>
      <c r="E874" s="39" t="s">
        <v>1291</v>
      </c>
      <c r="F874" s="39" t="s">
        <v>1292</v>
      </c>
      <c r="G874" s="39" t="s">
        <v>1050</v>
      </c>
      <c r="H874" s="39">
        <v>920.0</v>
      </c>
      <c r="N874" s="39" t="s">
        <v>938</v>
      </c>
      <c r="R874" s="39" t="s">
        <v>832</v>
      </c>
      <c r="S874" s="39" t="s">
        <v>939</v>
      </c>
      <c r="T874" s="39" t="s">
        <v>741</v>
      </c>
      <c r="U874" s="39" t="s">
        <v>938</v>
      </c>
      <c r="X874" s="39" t="s">
        <v>1561</v>
      </c>
      <c r="Y874" s="39" t="s">
        <v>1074</v>
      </c>
      <c r="Z874" s="39" t="s">
        <v>828</v>
      </c>
      <c r="AB874" s="39">
        <v>0.5</v>
      </c>
    </row>
    <row r="875">
      <c r="A875" s="39" t="s">
        <v>1562</v>
      </c>
      <c r="B875" s="39" t="s">
        <v>1563</v>
      </c>
      <c r="C875" s="39">
        <v>0.5</v>
      </c>
      <c r="D875" s="41">
        <v>44090.6875</v>
      </c>
      <c r="E875" s="39" t="s">
        <v>1291</v>
      </c>
      <c r="F875" s="39" t="s">
        <v>1292</v>
      </c>
      <c r="G875" s="39" t="s">
        <v>1050</v>
      </c>
      <c r="H875" s="39">
        <v>920.0</v>
      </c>
      <c r="N875" s="39" t="s">
        <v>938</v>
      </c>
      <c r="R875" s="39" t="s">
        <v>832</v>
      </c>
      <c r="S875" s="39" t="s">
        <v>939</v>
      </c>
      <c r="T875" s="39" t="s">
        <v>741</v>
      </c>
      <c r="U875" s="39" t="s">
        <v>938</v>
      </c>
      <c r="X875" s="39" t="s">
        <v>1564</v>
      </c>
      <c r="Y875" s="39" t="s">
        <v>1074</v>
      </c>
      <c r="Z875" s="39" t="s">
        <v>1153</v>
      </c>
      <c r="AB875" s="39">
        <v>0.5</v>
      </c>
    </row>
    <row r="876">
      <c r="A876" s="39" t="s">
        <v>1565</v>
      </c>
      <c r="B876" s="39" t="s">
        <v>1566</v>
      </c>
      <c r="C876" s="39">
        <v>0.25</v>
      </c>
      <c r="D876" s="41">
        <v>44091.479166666664</v>
      </c>
      <c r="E876" s="39" t="s">
        <v>1153</v>
      </c>
      <c r="F876" s="39" t="s">
        <v>1154</v>
      </c>
      <c r="G876" s="39" t="s">
        <v>830</v>
      </c>
      <c r="H876" s="39">
        <v>920.0</v>
      </c>
      <c r="N876" s="39" t="s">
        <v>938</v>
      </c>
      <c r="R876" s="39" t="s">
        <v>832</v>
      </c>
      <c r="S876" s="39" t="s">
        <v>939</v>
      </c>
      <c r="T876" s="39" t="s">
        <v>741</v>
      </c>
      <c r="U876" s="39" t="s">
        <v>938</v>
      </c>
      <c r="X876" s="39" t="s">
        <v>1567</v>
      </c>
      <c r="Y876" s="39" t="s">
        <v>1074</v>
      </c>
      <c r="Z876" s="39" t="s">
        <v>1153</v>
      </c>
      <c r="AB876" s="39">
        <v>0.25</v>
      </c>
    </row>
    <row r="877">
      <c r="A877" s="39" t="s">
        <v>1293</v>
      </c>
      <c r="B877" s="39" t="s">
        <v>1294</v>
      </c>
      <c r="C877" s="39">
        <v>2.0</v>
      </c>
      <c r="D877" s="41">
        <v>44091.625</v>
      </c>
      <c r="E877" s="39" t="s">
        <v>1291</v>
      </c>
      <c r="F877" s="39" t="s">
        <v>1292</v>
      </c>
      <c r="G877" s="39" t="s">
        <v>1050</v>
      </c>
      <c r="H877" s="39">
        <v>920.0</v>
      </c>
      <c r="N877" s="39" t="s">
        <v>938</v>
      </c>
      <c r="R877" s="39" t="s">
        <v>832</v>
      </c>
      <c r="S877" s="39" t="s">
        <v>842</v>
      </c>
      <c r="T877" s="39" t="s">
        <v>741</v>
      </c>
      <c r="U877" s="39" t="s">
        <v>938</v>
      </c>
      <c r="X877" s="39" t="s">
        <v>1295</v>
      </c>
      <c r="Y877" s="39" t="s">
        <v>1074</v>
      </c>
      <c r="Z877" s="39" t="s">
        <v>828</v>
      </c>
      <c r="AB877" s="39">
        <v>2.0</v>
      </c>
    </row>
    <row r="878">
      <c r="A878" s="39" t="s">
        <v>1457</v>
      </c>
      <c r="B878" s="39" t="s">
        <v>1458</v>
      </c>
      <c r="C878" s="39">
        <v>2.0</v>
      </c>
      <c r="D878" s="41">
        <v>44091.625</v>
      </c>
      <c r="E878" s="39" t="s">
        <v>1291</v>
      </c>
      <c r="F878" s="39" t="s">
        <v>1292</v>
      </c>
      <c r="G878" s="39" t="s">
        <v>1050</v>
      </c>
      <c r="H878" s="39">
        <v>920.0</v>
      </c>
      <c r="N878" s="39" t="s">
        <v>938</v>
      </c>
      <c r="R878" s="39" t="s">
        <v>832</v>
      </c>
      <c r="S878" s="39" t="s">
        <v>939</v>
      </c>
      <c r="T878" s="39" t="s">
        <v>741</v>
      </c>
      <c r="U878" s="39" t="s">
        <v>938</v>
      </c>
      <c r="X878" s="39" t="s">
        <v>1459</v>
      </c>
      <c r="Y878" s="39" t="s">
        <v>1074</v>
      </c>
      <c r="Z878" s="39" t="s">
        <v>828</v>
      </c>
      <c r="AB878" s="39">
        <v>2.0</v>
      </c>
    </row>
    <row r="879">
      <c r="A879" s="39" t="s">
        <v>1568</v>
      </c>
      <c r="B879" s="39" t="s">
        <v>1569</v>
      </c>
      <c r="C879" s="39">
        <v>0.383333333333333</v>
      </c>
      <c r="D879" s="41">
        <v>44092.0</v>
      </c>
      <c r="E879" s="39" t="s">
        <v>828</v>
      </c>
      <c r="F879" s="39" t="s">
        <v>829</v>
      </c>
      <c r="G879" s="39" t="s">
        <v>830</v>
      </c>
      <c r="H879" s="39">
        <v>920.0</v>
      </c>
      <c r="N879" s="39" t="s">
        <v>938</v>
      </c>
      <c r="R879" s="39" t="s">
        <v>957</v>
      </c>
      <c r="S879" s="39" t="s">
        <v>939</v>
      </c>
      <c r="T879" s="39" t="s">
        <v>741</v>
      </c>
      <c r="U879" s="39" t="s">
        <v>938</v>
      </c>
      <c r="X879" s="39" t="s">
        <v>1570</v>
      </c>
      <c r="Y879" s="39" t="s">
        <v>1042</v>
      </c>
      <c r="Z879" s="39" t="s">
        <v>1153</v>
      </c>
      <c r="AB879" s="39">
        <v>0.383333333333333</v>
      </c>
    </row>
    <row r="880">
      <c r="A880" s="39" t="s">
        <v>1531</v>
      </c>
      <c r="B880" s="39" t="s">
        <v>1532</v>
      </c>
      <c r="C880" s="39">
        <v>0.283333333333333</v>
      </c>
      <c r="D880" s="41">
        <v>44092.0</v>
      </c>
      <c r="E880" s="39" t="s">
        <v>828</v>
      </c>
      <c r="F880" s="39" t="s">
        <v>829</v>
      </c>
      <c r="G880" s="39" t="s">
        <v>830</v>
      </c>
      <c r="H880" s="39">
        <v>920.0</v>
      </c>
      <c r="N880" s="39" t="s">
        <v>938</v>
      </c>
      <c r="R880" s="39" t="s">
        <v>832</v>
      </c>
      <c r="S880" s="39" t="s">
        <v>939</v>
      </c>
      <c r="T880" s="39" t="s">
        <v>741</v>
      </c>
      <c r="U880" s="39" t="s">
        <v>938</v>
      </c>
      <c r="X880" s="39" t="s">
        <v>1533</v>
      </c>
      <c r="Y880" s="39" t="s">
        <v>1027</v>
      </c>
      <c r="Z880" s="39" t="s">
        <v>872</v>
      </c>
      <c r="AB880" s="39">
        <v>0.283333333333333</v>
      </c>
    </row>
    <row r="881">
      <c r="A881" s="39" t="s">
        <v>1074</v>
      </c>
      <c r="B881" s="39" t="s">
        <v>1571</v>
      </c>
      <c r="C881" s="39">
        <v>0.533333333333333</v>
      </c>
      <c r="D881" s="41">
        <v>44092.0</v>
      </c>
      <c r="E881" s="39" t="s">
        <v>828</v>
      </c>
      <c r="F881" s="39" t="s">
        <v>829</v>
      </c>
      <c r="G881" s="39" t="s">
        <v>830</v>
      </c>
      <c r="H881" s="39">
        <v>920.0</v>
      </c>
      <c r="N881" s="39" t="s">
        <v>938</v>
      </c>
      <c r="R881" s="39" t="s">
        <v>72</v>
      </c>
      <c r="S881" s="39" t="s">
        <v>889</v>
      </c>
      <c r="T881" s="39" t="s">
        <v>741</v>
      </c>
      <c r="U881" s="39" t="s">
        <v>938</v>
      </c>
      <c r="X881" s="39" t="s">
        <v>1572</v>
      </c>
      <c r="Z881" s="39" t="s">
        <v>872</v>
      </c>
      <c r="AB881" s="39">
        <v>0.533333333333333</v>
      </c>
    </row>
    <row r="882">
      <c r="A882" s="39" t="s">
        <v>1434</v>
      </c>
      <c r="B882" s="39" t="s">
        <v>1435</v>
      </c>
      <c r="C882" s="39">
        <v>4.0</v>
      </c>
      <c r="D882" s="41">
        <v>44092.541666666664</v>
      </c>
      <c r="E882" s="39" t="s">
        <v>1291</v>
      </c>
      <c r="F882" s="39" t="s">
        <v>1292</v>
      </c>
      <c r="G882" s="39" t="s">
        <v>1050</v>
      </c>
      <c r="H882" s="39">
        <v>920.0</v>
      </c>
      <c r="N882" s="39" t="s">
        <v>938</v>
      </c>
      <c r="R882" s="39" t="s">
        <v>832</v>
      </c>
      <c r="S882" s="39" t="s">
        <v>939</v>
      </c>
      <c r="T882" s="39" t="s">
        <v>741</v>
      </c>
      <c r="U882" s="39" t="s">
        <v>938</v>
      </c>
      <c r="X882" s="39" t="s">
        <v>1436</v>
      </c>
      <c r="Y882" s="39" t="s">
        <v>1115</v>
      </c>
      <c r="Z882" s="39" t="s">
        <v>872</v>
      </c>
      <c r="AB882" s="39">
        <v>4.0</v>
      </c>
      <c r="AD882" s="39">
        <v>0.0</v>
      </c>
    </row>
    <row r="883">
      <c r="A883" s="39" t="s">
        <v>1347</v>
      </c>
      <c r="B883" s="39" t="s">
        <v>1378</v>
      </c>
      <c r="C883" s="39">
        <v>7.0</v>
      </c>
      <c r="D883" s="41">
        <v>44095.0</v>
      </c>
      <c r="E883" s="39" t="s">
        <v>1048</v>
      </c>
      <c r="F883" s="39" t="s">
        <v>1049</v>
      </c>
      <c r="G883" s="39" t="s">
        <v>1050</v>
      </c>
      <c r="H883" s="39">
        <v>920.0</v>
      </c>
      <c r="N883" s="39" t="s">
        <v>1051</v>
      </c>
      <c r="R883" s="39" t="s">
        <v>832</v>
      </c>
      <c r="S883" s="39" t="s">
        <v>1052</v>
      </c>
      <c r="T883" s="39" t="s">
        <v>1053</v>
      </c>
      <c r="U883" s="39" t="s">
        <v>1051</v>
      </c>
      <c r="X883" s="39" t="s">
        <v>1573</v>
      </c>
      <c r="Z883" s="39" t="s">
        <v>872</v>
      </c>
      <c r="AB883" s="39">
        <v>7.0</v>
      </c>
    </row>
    <row r="884">
      <c r="A884" s="39" t="s">
        <v>1549</v>
      </c>
      <c r="B884" s="39" t="s">
        <v>1550</v>
      </c>
      <c r="C884" s="39">
        <v>7.0</v>
      </c>
      <c r="D884" s="41">
        <v>44095.0</v>
      </c>
      <c r="E884" s="39" t="s">
        <v>1059</v>
      </c>
      <c r="F884" s="39" t="s">
        <v>1060</v>
      </c>
      <c r="G884" s="39" t="s">
        <v>1050</v>
      </c>
      <c r="H884" s="39">
        <v>920.0</v>
      </c>
      <c r="N884" s="39" t="s">
        <v>1051</v>
      </c>
      <c r="R884" s="39" t="s">
        <v>957</v>
      </c>
      <c r="S884" s="39" t="s">
        <v>1052</v>
      </c>
      <c r="T884" s="39" t="s">
        <v>1053</v>
      </c>
      <c r="U884" s="39" t="s">
        <v>1051</v>
      </c>
      <c r="X884" s="39" t="s">
        <v>1574</v>
      </c>
      <c r="Y884" s="39" t="s">
        <v>1380</v>
      </c>
      <c r="Z884" s="39" t="s">
        <v>872</v>
      </c>
      <c r="AB884" s="39">
        <v>7.0</v>
      </c>
    </row>
    <row r="885">
      <c r="A885" s="39" t="s">
        <v>1575</v>
      </c>
      <c r="B885" s="39" t="s">
        <v>1576</v>
      </c>
      <c r="C885" s="39">
        <v>0.166666666666666</v>
      </c>
      <c r="D885" s="41">
        <v>44096.0</v>
      </c>
      <c r="E885" s="39" t="s">
        <v>828</v>
      </c>
      <c r="F885" s="39" t="s">
        <v>829</v>
      </c>
      <c r="G885" s="39" t="s">
        <v>830</v>
      </c>
      <c r="H885" s="39">
        <v>920.0</v>
      </c>
      <c r="N885" s="39" t="s">
        <v>938</v>
      </c>
      <c r="R885" s="39" t="s">
        <v>832</v>
      </c>
      <c r="S885" s="39" t="s">
        <v>842</v>
      </c>
      <c r="T885" s="39" t="s">
        <v>741</v>
      </c>
      <c r="U885" s="39" t="s">
        <v>938</v>
      </c>
      <c r="X885" s="39" t="s">
        <v>1577</v>
      </c>
      <c r="Y885" s="39" t="s">
        <v>1074</v>
      </c>
      <c r="Z885" s="39" t="s">
        <v>828</v>
      </c>
      <c r="AB885" s="39">
        <v>0.166666666666666</v>
      </c>
    </row>
    <row r="886">
      <c r="A886" s="39" t="s">
        <v>1578</v>
      </c>
      <c r="B886" s="39" t="s">
        <v>1579</v>
      </c>
      <c r="C886" s="39">
        <v>0.25</v>
      </c>
      <c r="D886" s="41">
        <v>44096.0</v>
      </c>
      <c r="E886" s="39" t="s">
        <v>872</v>
      </c>
      <c r="F886" s="39" t="s">
        <v>724</v>
      </c>
      <c r="G886" s="39" t="s">
        <v>830</v>
      </c>
      <c r="H886" s="39">
        <v>920.0</v>
      </c>
      <c r="N886" s="39" t="s">
        <v>1051</v>
      </c>
      <c r="R886" s="39" t="s">
        <v>832</v>
      </c>
      <c r="S886" s="39" t="s">
        <v>889</v>
      </c>
      <c r="T886" s="39" t="s">
        <v>1053</v>
      </c>
      <c r="U886" s="39" t="s">
        <v>1051</v>
      </c>
      <c r="X886" s="39" t="s">
        <v>1580</v>
      </c>
      <c r="Y886" s="39" t="s">
        <v>1131</v>
      </c>
      <c r="Z886" s="39" t="s">
        <v>872</v>
      </c>
      <c r="AB886" s="39">
        <v>0.25</v>
      </c>
    </row>
    <row r="887">
      <c r="A887" s="39" t="s">
        <v>1581</v>
      </c>
      <c r="B887" s="39" t="s">
        <v>1582</v>
      </c>
      <c r="C887" s="39">
        <v>0.5</v>
      </c>
      <c r="D887" s="41">
        <v>44096.0</v>
      </c>
      <c r="E887" s="39" t="s">
        <v>872</v>
      </c>
      <c r="F887" s="39" t="s">
        <v>724</v>
      </c>
      <c r="G887" s="39" t="s">
        <v>830</v>
      </c>
      <c r="H887" s="39">
        <v>920.0</v>
      </c>
      <c r="N887" s="39" t="s">
        <v>1583</v>
      </c>
      <c r="R887" s="39" t="s">
        <v>1584</v>
      </c>
      <c r="S887" s="39" t="s">
        <v>1052</v>
      </c>
      <c r="T887" s="39" t="s">
        <v>1585</v>
      </c>
      <c r="U887" s="39" t="s">
        <v>1583</v>
      </c>
      <c r="X887" s="39" t="s">
        <v>1586</v>
      </c>
      <c r="Z887" s="39" t="s">
        <v>872</v>
      </c>
      <c r="AB887" s="39">
        <v>0.5</v>
      </c>
    </row>
    <row r="888">
      <c r="A888" s="39" t="s">
        <v>1587</v>
      </c>
      <c r="B888" s="39" t="s">
        <v>1588</v>
      </c>
      <c r="C888" s="39">
        <v>0.5</v>
      </c>
      <c r="D888" s="41">
        <v>44096.0</v>
      </c>
      <c r="E888" s="39" t="s">
        <v>872</v>
      </c>
      <c r="F888" s="39" t="s">
        <v>724</v>
      </c>
      <c r="G888" s="39" t="s">
        <v>830</v>
      </c>
      <c r="H888" s="39">
        <v>920.0</v>
      </c>
      <c r="N888" s="39" t="s">
        <v>1051</v>
      </c>
      <c r="R888" s="39" t="s">
        <v>957</v>
      </c>
      <c r="S888" s="39" t="s">
        <v>889</v>
      </c>
      <c r="T888" s="39" t="s">
        <v>1053</v>
      </c>
      <c r="U888" s="39" t="s">
        <v>1051</v>
      </c>
      <c r="X888" s="39" t="s">
        <v>1589</v>
      </c>
      <c r="Y888" s="39" t="s">
        <v>1405</v>
      </c>
      <c r="Z888" s="39" t="s">
        <v>872</v>
      </c>
      <c r="AB888" s="39">
        <v>0.5</v>
      </c>
    </row>
    <row r="889">
      <c r="A889" s="39" t="s">
        <v>1587</v>
      </c>
      <c r="B889" s="39" t="s">
        <v>1588</v>
      </c>
      <c r="C889" s="39">
        <v>7.0</v>
      </c>
      <c r="D889" s="41">
        <v>44096.0</v>
      </c>
      <c r="E889" s="39" t="s">
        <v>1059</v>
      </c>
      <c r="F889" s="39" t="s">
        <v>1060</v>
      </c>
      <c r="G889" s="39" t="s">
        <v>1050</v>
      </c>
      <c r="H889" s="39">
        <v>920.0</v>
      </c>
      <c r="N889" s="39" t="s">
        <v>1051</v>
      </c>
      <c r="R889" s="39" t="s">
        <v>957</v>
      </c>
      <c r="S889" s="39" t="s">
        <v>889</v>
      </c>
      <c r="T889" s="39" t="s">
        <v>1053</v>
      </c>
      <c r="U889" s="39" t="s">
        <v>1051</v>
      </c>
      <c r="X889" s="39" t="s">
        <v>1590</v>
      </c>
      <c r="Y889" s="39" t="s">
        <v>1405</v>
      </c>
      <c r="Z889" s="39" t="s">
        <v>872</v>
      </c>
      <c r="AB889" s="39">
        <v>7.0</v>
      </c>
    </row>
    <row r="890">
      <c r="A890" s="39" t="s">
        <v>1131</v>
      </c>
      <c r="B890" s="39" t="s">
        <v>1591</v>
      </c>
      <c r="C890" s="39">
        <v>0.5</v>
      </c>
      <c r="D890" s="41">
        <v>44097.0</v>
      </c>
      <c r="E890" s="39" t="s">
        <v>872</v>
      </c>
      <c r="F890" s="39" t="s">
        <v>724</v>
      </c>
      <c r="G890" s="39" t="s">
        <v>830</v>
      </c>
      <c r="H890" s="39">
        <v>920.0</v>
      </c>
      <c r="N890" s="39" t="s">
        <v>1051</v>
      </c>
      <c r="R890" s="39" t="s">
        <v>72</v>
      </c>
      <c r="S890" s="39" t="s">
        <v>889</v>
      </c>
      <c r="T890" s="39" t="s">
        <v>1053</v>
      </c>
      <c r="U890" s="39" t="s">
        <v>1051</v>
      </c>
      <c r="X890" s="39" t="s">
        <v>1592</v>
      </c>
      <c r="Z890" s="39" t="s">
        <v>872</v>
      </c>
      <c r="AB890" s="39">
        <v>0.5</v>
      </c>
      <c r="AD890" s="39">
        <v>0.0</v>
      </c>
    </row>
    <row r="891">
      <c r="A891" s="39" t="s">
        <v>1593</v>
      </c>
      <c r="B891" s="39" t="s">
        <v>1594</v>
      </c>
      <c r="C891" s="39">
        <v>0.5</v>
      </c>
      <c r="D891" s="41">
        <v>44097.0</v>
      </c>
      <c r="E891" s="39" t="s">
        <v>872</v>
      </c>
      <c r="F891" s="39" t="s">
        <v>724</v>
      </c>
      <c r="G891" s="39" t="s">
        <v>830</v>
      </c>
      <c r="H891" s="39">
        <v>920.0</v>
      </c>
      <c r="N891" s="39" t="s">
        <v>1051</v>
      </c>
      <c r="R891" s="39" t="s">
        <v>957</v>
      </c>
      <c r="S891" s="39" t="s">
        <v>1052</v>
      </c>
      <c r="T891" s="39" t="s">
        <v>1053</v>
      </c>
      <c r="U891" s="39" t="s">
        <v>1051</v>
      </c>
      <c r="X891" s="39" t="s">
        <v>1595</v>
      </c>
      <c r="Y891" s="39" t="s">
        <v>1596</v>
      </c>
      <c r="Z891" s="39" t="s">
        <v>872</v>
      </c>
      <c r="AB891" s="39">
        <v>0.5</v>
      </c>
    </row>
    <row r="892">
      <c r="A892" s="39" t="s">
        <v>1597</v>
      </c>
      <c r="B892" s="39" t="s">
        <v>1598</v>
      </c>
      <c r="C892" s="39">
        <v>7.0</v>
      </c>
      <c r="D892" s="41">
        <v>44097.0</v>
      </c>
      <c r="E892" s="39" t="s">
        <v>1059</v>
      </c>
      <c r="F892" s="39" t="s">
        <v>1060</v>
      </c>
      <c r="G892" s="39" t="s">
        <v>1050</v>
      </c>
      <c r="H892" s="39">
        <v>920.0</v>
      </c>
      <c r="N892" s="39" t="s">
        <v>1051</v>
      </c>
      <c r="R892" s="39" t="s">
        <v>957</v>
      </c>
      <c r="S892" s="39" t="s">
        <v>889</v>
      </c>
      <c r="T892" s="39" t="s">
        <v>1053</v>
      </c>
      <c r="U892" s="39" t="s">
        <v>1051</v>
      </c>
      <c r="X892" s="39" t="s">
        <v>1599</v>
      </c>
      <c r="Y892" s="39" t="s">
        <v>1405</v>
      </c>
      <c r="Z892" s="39" t="s">
        <v>1059</v>
      </c>
      <c r="AB892" s="39">
        <v>7.0</v>
      </c>
    </row>
    <row r="893">
      <c r="A893" s="39" t="s">
        <v>1581</v>
      </c>
      <c r="B893" s="39" t="s">
        <v>1582</v>
      </c>
      <c r="C893" s="39">
        <v>0.116666666666666</v>
      </c>
      <c r="D893" s="41">
        <v>44097.46666666667</v>
      </c>
      <c r="E893" s="39" t="s">
        <v>828</v>
      </c>
      <c r="F893" s="39" t="s">
        <v>829</v>
      </c>
      <c r="G893" s="39" t="s">
        <v>830</v>
      </c>
      <c r="H893" s="39">
        <v>920.0</v>
      </c>
      <c r="N893" s="39" t="s">
        <v>1583</v>
      </c>
      <c r="R893" s="39" t="s">
        <v>1584</v>
      </c>
      <c r="S893" s="39" t="s">
        <v>1052</v>
      </c>
      <c r="T893" s="39" t="s">
        <v>1585</v>
      </c>
      <c r="U893" s="39" t="s">
        <v>1583</v>
      </c>
      <c r="X893" s="39" t="s">
        <v>1586</v>
      </c>
      <c r="Z893" s="39" t="s">
        <v>872</v>
      </c>
      <c r="AB893" s="39">
        <v>0.116666666666666</v>
      </c>
    </row>
    <row r="894">
      <c r="A894" s="39" t="s">
        <v>1518</v>
      </c>
      <c r="B894" s="39" t="s">
        <v>1519</v>
      </c>
      <c r="C894" s="39">
        <v>0.5</v>
      </c>
      <c r="D894" s="41">
        <v>44097.6875</v>
      </c>
      <c r="E894" s="39" t="s">
        <v>1600</v>
      </c>
      <c r="F894" s="39" t="s">
        <v>1601</v>
      </c>
      <c r="G894" s="39" t="s">
        <v>830</v>
      </c>
      <c r="H894" s="39">
        <v>920.0</v>
      </c>
      <c r="N894" s="39" t="s">
        <v>883</v>
      </c>
      <c r="R894" s="39" t="s">
        <v>832</v>
      </c>
      <c r="S894" s="39" t="s">
        <v>833</v>
      </c>
      <c r="T894" s="39" t="s">
        <v>884</v>
      </c>
      <c r="U894" s="39" t="s">
        <v>883</v>
      </c>
      <c r="W894" s="39" t="s">
        <v>904</v>
      </c>
      <c r="X894" s="39" t="s">
        <v>1602</v>
      </c>
      <c r="Z894" s="39" t="s">
        <v>847</v>
      </c>
      <c r="AB894" s="39">
        <v>0.5</v>
      </c>
      <c r="AC894" s="39">
        <v>2.0</v>
      </c>
      <c r="AD894" s="39">
        <v>0.0</v>
      </c>
    </row>
    <row r="895">
      <c r="A895" s="39" t="s">
        <v>1115</v>
      </c>
      <c r="B895" s="39" t="s">
        <v>1122</v>
      </c>
      <c r="C895" s="39">
        <v>0.5</v>
      </c>
      <c r="D895" s="41">
        <v>44098.0</v>
      </c>
      <c r="E895" s="39" t="s">
        <v>872</v>
      </c>
      <c r="F895" s="39" t="s">
        <v>724</v>
      </c>
      <c r="G895" s="39" t="s">
        <v>830</v>
      </c>
      <c r="H895" s="39">
        <v>920.0</v>
      </c>
      <c r="N895" s="39" t="s">
        <v>938</v>
      </c>
      <c r="R895" s="39" t="s">
        <v>72</v>
      </c>
      <c r="S895" s="39" t="s">
        <v>842</v>
      </c>
      <c r="T895" s="39" t="s">
        <v>741</v>
      </c>
      <c r="U895" s="39" t="s">
        <v>938</v>
      </c>
      <c r="X895" s="39" t="s">
        <v>1123</v>
      </c>
      <c r="Z895" s="39" t="s">
        <v>872</v>
      </c>
      <c r="AB895" s="39">
        <v>0.5</v>
      </c>
    </row>
    <row r="896">
      <c r="A896" s="39" t="s">
        <v>1074</v>
      </c>
      <c r="B896" s="39" t="s">
        <v>1571</v>
      </c>
      <c r="C896" s="39">
        <v>3.0</v>
      </c>
      <c r="D896" s="41">
        <v>44098.0</v>
      </c>
      <c r="E896" s="39" t="s">
        <v>872</v>
      </c>
      <c r="F896" s="39" t="s">
        <v>724</v>
      </c>
      <c r="G896" s="39" t="s">
        <v>830</v>
      </c>
      <c r="H896" s="39">
        <v>920.0</v>
      </c>
      <c r="N896" s="39" t="s">
        <v>938</v>
      </c>
      <c r="R896" s="39" t="s">
        <v>72</v>
      </c>
      <c r="S896" s="39" t="s">
        <v>889</v>
      </c>
      <c r="T896" s="39" t="s">
        <v>741</v>
      </c>
      <c r="U896" s="39" t="s">
        <v>938</v>
      </c>
      <c r="X896" s="39" t="s">
        <v>1572</v>
      </c>
      <c r="Z896" s="39" t="s">
        <v>872</v>
      </c>
      <c r="AB896" s="39">
        <v>3.0</v>
      </c>
    </row>
    <row r="897">
      <c r="A897" s="39" t="s">
        <v>1174</v>
      </c>
      <c r="B897" s="39" t="s">
        <v>1175</v>
      </c>
      <c r="C897" s="39">
        <v>0.5</v>
      </c>
      <c r="D897" s="41">
        <v>44098.0</v>
      </c>
      <c r="E897" s="39" t="s">
        <v>872</v>
      </c>
      <c r="F897" s="39" t="s">
        <v>724</v>
      </c>
      <c r="G897" s="39" t="s">
        <v>830</v>
      </c>
      <c r="H897" s="39">
        <v>920.0</v>
      </c>
      <c r="N897" s="39" t="s">
        <v>947</v>
      </c>
      <c r="R897" s="39" t="s">
        <v>832</v>
      </c>
      <c r="S897" s="39" t="s">
        <v>833</v>
      </c>
      <c r="T897" s="39" t="s">
        <v>949</v>
      </c>
      <c r="U897" s="39" t="s">
        <v>947</v>
      </c>
      <c r="X897" s="39" t="s">
        <v>1245</v>
      </c>
      <c r="Z897" s="39" t="s">
        <v>828</v>
      </c>
      <c r="AB897" s="39">
        <v>0.5</v>
      </c>
    </row>
    <row r="898">
      <c r="A898" s="39" t="s">
        <v>1603</v>
      </c>
      <c r="B898" s="39" t="s">
        <v>1604</v>
      </c>
      <c r="C898" s="39">
        <v>7.0</v>
      </c>
      <c r="D898" s="41">
        <v>44098.0</v>
      </c>
      <c r="E898" s="39" t="s">
        <v>1059</v>
      </c>
      <c r="F898" s="39" t="s">
        <v>1060</v>
      </c>
      <c r="G898" s="39" t="s">
        <v>1050</v>
      </c>
      <c r="H898" s="39">
        <v>920.0</v>
      </c>
      <c r="N898" s="39" t="s">
        <v>1051</v>
      </c>
      <c r="R898" s="39" t="s">
        <v>832</v>
      </c>
      <c r="S898" s="39" t="s">
        <v>889</v>
      </c>
      <c r="T898" s="39" t="s">
        <v>1053</v>
      </c>
      <c r="U898" s="39" t="s">
        <v>1051</v>
      </c>
      <c r="X898" s="39" t="s">
        <v>1605</v>
      </c>
      <c r="Y898" s="39" t="s">
        <v>1256</v>
      </c>
      <c r="Z898" s="39" t="s">
        <v>872</v>
      </c>
      <c r="AB898" s="39">
        <v>7.0</v>
      </c>
    </row>
    <row r="899">
      <c r="A899" s="39" t="s">
        <v>1518</v>
      </c>
      <c r="B899" s="39" t="s">
        <v>1519</v>
      </c>
      <c r="C899" s="39">
        <v>3.0</v>
      </c>
      <c r="D899" s="41">
        <v>44098.354166666664</v>
      </c>
      <c r="E899" s="39" t="s">
        <v>1600</v>
      </c>
      <c r="F899" s="39" t="s">
        <v>1601</v>
      </c>
      <c r="G899" s="39" t="s">
        <v>830</v>
      </c>
      <c r="H899" s="39">
        <v>920.0</v>
      </c>
      <c r="N899" s="39" t="s">
        <v>883</v>
      </c>
      <c r="R899" s="39" t="s">
        <v>832</v>
      </c>
      <c r="S899" s="39" t="s">
        <v>833</v>
      </c>
      <c r="T899" s="39" t="s">
        <v>884</v>
      </c>
      <c r="U899" s="39" t="s">
        <v>883</v>
      </c>
      <c r="W899" s="39" t="s">
        <v>904</v>
      </c>
      <c r="X899" s="39" t="s">
        <v>1606</v>
      </c>
      <c r="Z899" s="39" t="s">
        <v>847</v>
      </c>
      <c r="AB899" s="39">
        <v>3.0</v>
      </c>
      <c r="AC899" s="39">
        <v>2.0</v>
      </c>
      <c r="AD899" s="39">
        <v>0.0</v>
      </c>
    </row>
    <row r="900">
      <c r="A900" s="39" t="s">
        <v>1518</v>
      </c>
      <c r="B900" s="39" t="s">
        <v>1519</v>
      </c>
      <c r="C900" s="39">
        <v>0.25</v>
      </c>
      <c r="D900" s="41">
        <v>44098.385416666664</v>
      </c>
      <c r="E900" s="39" t="s">
        <v>828</v>
      </c>
      <c r="F900" s="39" t="s">
        <v>829</v>
      </c>
      <c r="G900" s="39" t="s">
        <v>830</v>
      </c>
      <c r="H900" s="39">
        <v>920.0</v>
      </c>
      <c r="N900" s="39" t="s">
        <v>883</v>
      </c>
      <c r="R900" s="39" t="s">
        <v>832</v>
      </c>
      <c r="S900" s="39" t="s">
        <v>833</v>
      </c>
      <c r="T900" s="39" t="s">
        <v>884</v>
      </c>
      <c r="U900" s="39" t="s">
        <v>883</v>
      </c>
      <c r="W900" s="39" t="s">
        <v>904</v>
      </c>
      <c r="X900" s="39" t="s">
        <v>1520</v>
      </c>
      <c r="Z900" s="39" t="s">
        <v>847</v>
      </c>
      <c r="AB900" s="39">
        <v>0.25</v>
      </c>
      <c r="AC900" s="39">
        <v>2.0</v>
      </c>
      <c r="AD900" s="39">
        <v>0.0</v>
      </c>
    </row>
    <row r="901">
      <c r="A901" s="39" t="s">
        <v>1518</v>
      </c>
      <c r="B901" s="39" t="s">
        <v>1519</v>
      </c>
      <c r="C901" s="39">
        <v>0.25</v>
      </c>
      <c r="D901" s="41">
        <v>44098.416666666664</v>
      </c>
      <c r="E901" s="39" t="s">
        <v>828</v>
      </c>
      <c r="F901" s="39" t="s">
        <v>829</v>
      </c>
      <c r="G901" s="39" t="s">
        <v>830</v>
      </c>
      <c r="H901" s="39">
        <v>920.0</v>
      </c>
      <c r="N901" s="39" t="s">
        <v>883</v>
      </c>
      <c r="R901" s="39" t="s">
        <v>832</v>
      </c>
      <c r="S901" s="39" t="s">
        <v>833</v>
      </c>
      <c r="T901" s="39" t="s">
        <v>884</v>
      </c>
      <c r="U901" s="39" t="s">
        <v>883</v>
      </c>
      <c r="W901" s="39" t="s">
        <v>904</v>
      </c>
      <c r="X901" s="39" t="s">
        <v>1520</v>
      </c>
      <c r="Z901" s="39" t="s">
        <v>847</v>
      </c>
      <c r="AB901" s="39">
        <v>0.25</v>
      </c>
      <c r="AC901" s="39">
        <v>2.0</v>
      </c>
      <c r="AD901" s="39">
        <v>0.0</v>
      </c>
    </row>
    <row r="902">
      <c r="A902" s="39" t="s">
        <v>1074</v>
      </c>
      <c r="B902" s="39" t="s">
        <v>1571</v>
      </c>
      <c r="C902" s="39">
        <v>0.5</v>
      </c>
      <c r="D902" s="41">
        <v>44098.447916666664</v>
      </c>
      <c r="E902" s="39" t="s">
        <v>828</v>
      </c>
      <c r="F902" s="39" t="s">
        <v>829</v>
      </c>
      <c r="G902" s="39" t="s">
        <v>830</v>
      </c>
      <c r="H902" s="39">
        <v>920.0</v>
      </c>
      <c r="N902" s="39" t="s">
        <v>938</v>
      </c>
      <c r="R902" s="39" t="s">
        <v>72</v>
      </c>
      <c r="S902" s="39" t="s">
        <v>889</v>
      </c>
      <c r="T902" s="39" t="s">
        <v>741</v>
      </c>
      <c r="U902" s="39" t="s">
        <v>938</v>
      </c>
      <c r="X902" s="39" t="s">
        <v>1607</v>
      </c>
      <c r="Z902" s="39" t="s">
        <v>872</v>
      </c>
      <c r="AB902" s="39">
        <v>0.5</v>
      </c>
    </row>
    <row r="903">
      <c r="A903" s="39" t="s">
        <v>1071</v>
      </c>
      <c r="B903" s="39" t="s">
        <v>1072</v>
      </c>
      <c r="C903" s="39">
        <v>0.5</v>
      </c>
      <c r="D903" s="41">
        <v>44098.479166666664</v>
      </c>
      <c r="E903" s="39" t="s">
        <v>828</v>
      </c>
      <c r="F903" s="39" t="s">
        <v>829</v>
      </c>
      <c r="G903" s="39" t="s">
        <v>830</v>
      </c>
      <c r="H903" s="39">
        <v>920.0</v>
      </c>
      <c r="N903" s="39" t="s">
        <v>938</v>
      </c>
      <c r="R903" s="39" t="s">
        <v>832</v>
      </c>
      <c r="S903" s="39" t="s">
        <v>889</v>
      </c>
      <c r="T903" s="39" t="s">
        <v>741</v>
      </c>
      <c r="U903" s="39" t="s">
        <v>938</v>
      </c>
      <c r="X903" s="39" t="s">
        <v>1295</v>
      </c>
      <c r="Y903" s="39" t="s">
        <v>1074</v>
      </c>
      <c r="Z903" s="39" t="s">
        <v>828</v>
      </c>
      <c r="AB903" s="39">
        <v>0.5</v>
      </c>
    </row>
    <row r="904">
      <c r="A904" s="39" t="s">
        <v>1518</v>
      </c>
      <c r="B904" s="39" t="s">
        <v>1519</v>
      </c>
      <c r="C904" s="39">
        <v>1.25</v>
      </c>
      <c r="D904" s="41">
        <v>44098.489583333336</v>
      </c>
      <c r="E904" s="39" t="s">
        <v>1600</v>
      </c>
      <c r="F904" s="39" t="s">
        <v>1601</v>
      </c>
      <c r="G904" s="39" t="s">
        <v>830</v>
      </c>
      <c r="H904" s="39">
        <v>920.0</v>
      </c>
      <c r="N904" s="39" t="s">
        <v>883</v>
      </c>
      <c r="R904" s="39" t="s">
        <v>832</v>
      </c>
      <c r="S904" s="39" t="s">
        <v>833</v>
      </c>
      <c r="T904" s="39" t="s">
        <v>884</v>
      </c>
      <c r="U904" s="39" t="s">
        <v>883</v>
      </c>
      <c r="W904" s="39" t="s">
        <v>904</v>
      </c>
      <c r="X904" s="39" t="s">
        <v>1608</v>
      </c>
      <c r="Z904" s="39" t="s">
        <v>847</v>
      </c>
      <c r="AB904" s="39">
        <v>1.25</v>
      </c>
      <c r="AC904" s="39">
        <v>2.0</v>
      </c>
      <c r="AD904" s="39">
        <v>0.0</v>
      </c>
    </row>
    <row r="905">
      <c r="A905" s="39" t="s">
        <v>1518</v>
      </c>
      <c r="B905" s="39" t="s">
        <v>1519</v>
      </c>
      <c r="C905" s="39">
        <v>0.5</v>
      </c>
      <c r="D905" s="41">
        <v>44098.5</v>
      </c>
      <c r="E905" s="39" t="s">
        <v>828</v>
      </c>
      <c r="F905" s="39" t="s">
        <v>829</v>
      </c>
      <c r="G905" s="39" t="s">
        <v>830</v>
      </c>
      <c r="H905" s="39">
        <v>920.0</v>
      </c>
      <c r="N905" s="39" t="s">
        <v>883</v>
      </c>
      <c r="R905" s="39" t="s">
        <v>832</v>
      </c>
      <c r="S905" s="39" t="s">
        <v>833</v>
      </c>
      <c r="T905" s="39" t="s">
        <v>884</v>
      </c>
      <c r="U905" s="39" t="s">
        <v>883</v>
      </c>
      <c r="W905" s="39" t="s">
        <v>904</v>
      </c>
      <c r="X905" s="39" t="s">
        <v>1520</v>
      </c>
      <c r="Z905" s="39" t="s">
        <v>847</v>
      </c>
      <c r="AB905" s="39">
        <v>0.5</v>
      </c>
      <c r="AC905" s="39">
        <v>2.0</v>
      </c>
      <c r="AD905" s="39">
        <v>0.0</v>
      </c>
    </row>
    <row r="906">
      <c r="A906" s="39" t="s">
        <v>1562</v>
      </c>
      <c r="B906" s="39" t="s">
        <v>1563</v>
      </c>
      <c r="C906" s="39">
        <v>0.25</v>
      </c>
      <c r="D906" s="41">
        <v>44098.5625</v>
      </c>
      <c r="E906" s="39" t="s">
        <v>828</v>
      </c>
      <c r="F906" s="39" t="s">
        <v>829</v>
      </c>
      <c r="G906" s="39" t="s">
        <v>830</v>
      </c>
      <c r="H906" s="39">
        <v>920.0</v>
      </c>
      <c r="N906" s="39" t="s">
        <v>938</v>
      </c>
      <c r="R906" s="39" t="s">
        <v>832</v>
      </c>
      <c r="S906" s="39" t="s">
        <v>939</v>
      </c>
      <c r="T906" s="39" t="s">
        <v>741</v>
      </c>
      <c r="U906" s="39" t="s">
        <v>938</v>
      </c>
      <c r="X906" s="39" t="s">
        <v>1609</v>
      </c>
      <c r="Y906" s="39" t="s">
        <v>1074</v>
      </c>
      <c r="Z906" s="39" t="s">
        <v>1153</v>
      </c>
      <c r="AB906" s="39">
        <v>0.25</v>
      </c>
    </row>
    <row r="907">
      <c r="A907" s="39" t="s">
        <v>1518</v>
      </c>
      <c r="B907" s="39" t="s">
        <v>1519</v>
      </c>
      <c r="C907" s="39">
        <v>2.25</v>
      </c>
      <c r="D907" s="41">
        <v>44098.5625</v>
      </c>
      <c r="E907" s="39" t="s">
        <v>1600</v>
      </c>
      <c r="F907" s="39" t="s">
        <v>1601</v>
      </c>
      <c r="G907" s="39" t="s">
        <v>830</v>
      </c>
      <c r="H907" s="39">
        <v>920.0</v>
      </c>
      <c r="N907" s="39" t="s">
        <v>883</v>
      </c>
      <c r="R907" s="39" t="s">
        <v>832</v>
      </c>
      <c r="S907" s="39" t="s">
        <v>833</v>
      </c>
      <c r="T907" s="39" t="s">
        <v>884</v>
      </c>
      <c r="U907" s="39" t="s">
        <v>883</v>
      </c>
      <c r="W907" s="39" t="s">
        <v>904</v>
      </c>
      <c r="X907" s="39" t="s">
        <v>1610</v>
      </c>
      <c r="Z907" s="39" t="s">
        <v>847</v>
      </c>
      <c r="AB907" s="39">
        <v>2.25</v>
      </c>
      <c r="AC907" s="39">
        <v>2.0</v>
      </c>
      <c r="AD907" s="39">
        <v>0.0</v>
      </c>
    </row>
    <row r="908">
      <c r="A908" s="39" t="s">
        <v>1434</v>
      </c>
      <c r="B908" s="39" t="s">
        <v>1435</v>
      </c>
      <c r="C908" s="39">
        <v>0.25</v>
      </c>
      <c r="D908" s="41">
        <v>44098.572916666664</v>
      </c>
      <c r="E908" s="39" t="s">
        <v>828</v>
      </c>
      <c r="F908" s="39" t="s">
        <v>829</v>
      </c>
      <c r="G908" s="39" t="s">
        <v>830</v>
      </c>
      <c r="H908" s="39">
        <v>920.0</v>
      </c>
      <c r="N908" s="39" t="s">
        <v>938</v>
      </c>
      <c r="R908" s="39" t="s">
        <v>832</v>
      </c>
      <c r="S908" s="39" t="s">
        <v>939</v>
      </c>
      <c r="T908" s="39" t="s">
        <v>741</v>
      </c>
      <c r="U908" s="39" t="s">
        <v>938</v>
      </c>
      <c r="X908" s="39" t="s">
        <v>1609</v>
      </c>
      <c r="Y908" s="39" t="s">
        <v>1115</v>
      </c>
      <c r="Z908" s="39" t="s">
        <v>872</v>
      </c>
      <c r="AB908" s="39">
        <v>0.25</v>
      </c>
      <c r="AD908" s="39">
        <v>0.0</v>
      </c>
    </row>
    <row r="909">
      <c r="A909" s="39" t="s">
        <v>1434</v>
      </c>
      <c r="B909" s="39" t="s">
        <v>1435</v>
      </c>
      <c r="C909" s="39">
        <v>0.25</v>
      </c>
      <c r="D909" s="41">
        <v>44098.583333333336</v>
      </c>
      <c r="E909" s="39" t="s">
        <v>828</v>
      </c>
      <c r="F909" s="39" t="s">
        <v>829</v>
      </c>
      <c r="G909" s="39" t="s">
        <v>830</v>
      </c>
      <c r="H909" s="39">
        <v>920.0</v>
      </c>
      <c r="N909" s="39" t="s">
        <v>938</v>
      </c>
      <c r="R909" s="39" t="s">
        <v>832</v>
      </c>
      <c r="S909" s="39" t="s">
        <v>939</v>
      </c>
      <c r="T909" s="39" t="s">
        <v>741</v>
      </c>
      <c r="U909" s="39" t="s">
        <v>938</v>
      </c>
      <c r="X909" s="39" t="s">
        <v>1609</v>
      </c>
      <c r="Y909" s="39" t="s">
        <v>1115</v>
      </c>
      <c r="Z909" s="39" t="s">
        <v>872</v>
      </c>
      <c r="AB909" s="39">
        <v>0.25</v>
      </c>
      <c r="AD909" s="39">
        <v>0.0</v>
      </c>
    </row>
    <row r="910">
      <c r="A910" s="39" t="s">
        <v>1518</v>
      </c>
      <c r="B910" s="39" t="s">
        <v>1519</v>
      </c>
      <c r="C910" s="39">
        <v>0.25</v>
      </c>
      <c r="D910" s="41">
        <v>44098.59375</v>
      </c>
      <c r="E910" s="39" t="s">
        <v>828</v>
      </c>
      <c r="F910" s="39" t="s">
        <v>829</v>
      </c>
      <c r="G910" s="39" t="s">
        <v>830</v>
      </c>
      <c r="H910" s="39">
        <v>920.0</v>
      </c>
      <c r="N910" s="39" t="s">
        <v>883</v>
      </c>
      <c r="R910" s="39" t="s">
        <v>832</v>
      </c>
      <c r="S910" s="39" t="s">
        <v>833</v>
      </c>
      <c r="T910" s="39" t="s">
        <v>884</v>
      </c>
      <c r="U910" s="39" t="s">
        <v>883</v>
      </c>
      <c r="W910" s="39" t="s">
        <v>904</v>
      </c>
      <c r="X910" s="39" t="s">
        <v>1611</v>
      </c>
      <c r="Z910" s="39" t="s">
        <v>847</v>
      </c>
      <c r="AB910" s="39">
        <v>0.25</v>
      </c>
      <c r="AC910" s="39">
        <v>2.0</v>
      </c>
      <c r="AD910" s="39">
        <v>0.0</v>
      </c>
    </row>
    <row r="911">
      <c r="A911" s="39" t="s">
        <v>1080</v>
      </c>
      <c r="B911" s="39" t="s">
        <v>1081</v>
      </c>
      <c r="C911" s="39">
        <v>0.5</v>
      </c>
      <c r="D911" s="41">
        <v>44098.604166666664</v>
      </c>
      <c r="E911" s="39" t="s">
        <v>828</v>
      </c>
      <c r="F911" s="39" t="s">
        <v>829</v>
      </c>
      <c r="G911" s="39" t="s">
        <v>830</v>
      </c>
      <c r="H911" s="39">
        <v>920.0</v>
      </c>
      <c r="N911" s="39" t="s">
        <v>938</v>
      </c>
      <c r="R911" s="39" t="s">
        <v>957</v>
      </c>
      <c r="S911" s="39" t="s">
        <v>889</v>
      </c>
      <c r="T911" s="39" t="s">
        <v>741</v>
      </c>
      <c r="U911" s="39" t="s">
        <v>938</v>
      </c>
      <c r="X911" s="39" t="s">
        <v>1612</v>
      </c>
      <c r="Y911" s="39" t="s">
        <v>1042</v>
      </c>
      <c r="Z911" s="39" t="s">
        <v>828</v>
      </c>
      <c r="AB911" s="39">
        <v>0.5</v>
      </c>
    </row>
    <row r="912">
      <c r="A912" s="39" t="s">
        <v>1575</v>
      </c>
      <c r="B912" s="39" t="s">
        <v>1576</v>
      </c>
      <c r="C912" s="39">
        <v>0.25</v>
      </c>
      <c r="D912" s="41">
        <v>44098.625</v>
      </c>
      <c r="E912" s="39" t="s">
        <v>828</v>
      </c>
      <c r="F912" s="39" t="s">
        <v>829</v>
      </c>
      <c r="G912" s="39" t="s">
        <v>830</v>
      </c>
      <c r="H912" s="39">
        <v>920.0</v>
      </c>
      <c r="N912" s="39" t="s">
        <v>938</v>
      </c>
      <c r="R912" s="39" t="s">
        <v>832</v>
      </c>
      <c r="S912" s="39" t="s">
        <v>842</v>
      </c>
      <c r="T912" s="39" t="s">
        <v>741</v>
      </c>
      <c r="U912" s="39" t="s">
        <v>938</v>
      </c>
      <c r="X912" s="39" t="s">
        <v>1577</v>
      </c>
      <c r="Y912" s="39" t="s">
        <v>1074</v>
      </c>
      <c r="Z912" s="39" t="s">
        <v>828</v>
      </c>
      <c r="AB912" s="39">
        <v>0.25</v>
      </c>
    </row>
    <row r="913">
      <c r="A913" s="39" t="s">
        <v>1518</v>
      </c>
      <c r="B913" s="39" t="s">
        <v>1519</v>
      </c>
      <c r="C913" s="39">
        <v>0.5</v>
      </c>
      <c r="D913" s="41">
        <v>44098.65625</v>
      </c>
      <c r="E913" s="39" t="s">
        <v>828</v>
      </c>
      <c r="F913" s="39" t="s">
        <v>829</v>
      </c>
      <c r="G913" s="39" t="s">
        <v>830</v>
      </c>
      <c r="H913" s="39">
        <v>920.0</v>
      </c>
      <c r="N913" s="39" t="s">
        <v>883</v>
      </c>
      <c r="R913" s="39" t="s">
        <v>832</v>
      </c>
      <c r="S913" s="39" t="s">
        <v>833</v>
      </c>
      <c r="T913" s="39" t="s">
        <v>884</v>
      </c>
      <c r="U913" s="39" t="s">
        <v>883</v>
      </c>
      <c r="W913" s="39" t="s">
        <v>904</v>
      </c>
      <c r="X913" s="39" t="s">
        <v>1520</v>
      </c>
      <c r="Z913" s="39" t="s">
        <v>847</v>
      </c>
      <c r="AB913" s="39">
        <v>0.5</v>
      </c>
      <c r="AC913" s="39">
        <v>2.0</v>
      </c>
      <c r="AD913" s="39">
        <v>0.0</v>
      </c>
    </row>
    <row r="914">
      <c r="A914" s="39" t="s">
        <v>1518</v>
      </c>
      <c r="B914" s="39" t="s">
        <v>1519</v>
      </c>
      <c r="C914" s="39">
        <v>0.5</v>
      </c>
      <c r="D914" s="41">
        <v>44098.6875</v>
      </c>
      <c r="E914" s="39" t="s">
        <v>828</v>
      </c>
      <c r="F914" s="39" t="s">
        <v>829</v>
      </c>
      <c r="G914" s="39" t="s">
        <v>830</v>
      </c>
      <c r="H914" s="39">
        <v>920.0</v>
      </c>
      <c r="N914" s="39" t="s">
        <v>883</v>
      </c>
      <c r="R914" s="39" t="s">
        <v>832</v>
      </c>
      <c r="S914" s="39" t="s">
        <v>833</v>
      </c>
      <c r="T914" s="39" t="s">
        <v>884</v>
      </c>
      <c r="U914" s="39" t="s">
        <v>883</v>
      </c>
      <c r="W914" s="39" t="s">
        <v>904</v>
      </c>
      <c r="X914" s="39" t="s">
        <v>1613</v>
      </c>
      <c r="Z914" s="39" t="s">
        <v>847</v>
      </c>
      <c r="AB914" s="39">
        <v>0.5</v>
      </c>
      <c r="AC914" s="39">
        <v>2.0</v>
      </c>
      <c r="AD914" s="39">
        <v>0.0</v>
      </c>
    </row>
    <row r="915">
      <c r="A915" s="39" t="s">
        <v>1074</v>
      </c>
      <c r="B915" s="39" t="s">
        <v>1571</v>
      </c>
      <c r="C915" s="39">
        <v>0.5</v>
      </c>
      <c r="D915" s="41">
        <v>44098.96111111111</v>
      </c>
      <c r="E915" s="39" t="s">
        <v>872</v>
      </c>
      <c r="F915" s="39" t="s">
        <v>724</v>
      </c>
      <c r="G915" s="39" t="s">
        <v>830</v>
      </c>
      <c r="H915" s="39">
        <v>920.0</v>
      </c>
      <c r="N915" s="39" t="s">
        <v>938</v>
      </c>
      <c r="R915" s="39" t="s">
        <v>72</v>
      </c>
      <c r="S915" s="39" t="s">
        <v>889</v>
      </c>
      <c r="T915" s="39" t="s">
        <v>741</v>
      </c>
      <c r="U915" s="39" t="s">
        <v>938</v>
      </c>
      <c r="X915" s="39" t="s">
        <v>1572</v>
      </c>
      <c r="Z915" s="39" t="s">
        <v>872</v>
      </c>
      <c r="AB915" s="39">
        <v>0.5</v>
      </c>
    </row>
    <row r="916">
      <c r="A916" s="39" t="s">
        <v>1578</v>
      </c>
      <c r="B916" s="39" t="s">
        <v>1579</v>
      </c>
      <c r="C916" s="39">
        <v>1.0</v>
      </c>
      <c r="D916" s="41">
        <v>44098.9875</v>
      </c>
      <c r="E916" s="39" t="s">
        <v>872</v>
      </c>
      <c r="F916" s="39" t="s">
        <v>724</v>
      </c>
      <c r="G916" s="39" t="s">
        <v>830</v>
      </c>
      <c r="H916" s="39">
        <v>920.0</v>
      </c>
      <c r="N916" s="39" t="s">
        <v>1051</v>
      </c>
      <c r="R916" s="39" t="s">
        <v>832</v>
      </c>
      <c r="S916" s="39" t="s">
        <v>889</v>
      </c>
      <c r="T916" s="39" t="s">
        <v>1053</v>
      </c>
      <c r="U916" s="39" t="s">
        <v>1051</v>
      </c>
      <c r="X916" s="39" t="s">
        <v>1580</v>
      </c>
      <c r="Y916" s="39" t="s">
        <v>1131</v>
      </c>
      <c r="Z916" s="39" t="s">
        <v>872</v>
      </c>
      <c r="AB916" s="39">
        <v>1.0</v>
      </c>
    </row>
    <row r="917">
      <c r="A917" s="39" t="s">
        <v>1596</v>
      </c>
      <c r="B917" s="39" t="s">
        <v>1614</v>
      </c>
      <c r="C917" s="39">
        <v>0.5</v>
      </c>
      <c r="D917" s="41">
        <v>44099.0</v>
      </c>
      <c r="E917" s="39" t="s">
        <v>872</v>
      </c>
      <c r="F917" s="39" t="s">
        <v>724</v>
      </c>
      <c r="G917" s="39" t="s">
        <v>830</v>
      </c>
      <c r="H917" s="39">
        <v>920.0</v>
      </c>
      <c r="N917" s="39" t="s">
        <v>1051</v>
      </c>
      <c r="R917" s="39" t="s">
        <v>832</v>
      </c>
      <c r="S917" s="39" t="s">
        <v>1052</v>
      </c>
      <c r="T917" s="39" t="s">
        <v>1053</v>
      </c>
      <c r="U917" s="39" t="s">
        <v>1051</v>
      </c>
      <c r="X917" s="39" t="s">
        <v>1615</v>
      </c>
      <c r="Y917" s="39" t="s">
        <v>1131</v>
      </c>
      <c r="Z917" s="39" t="s">
        <v>872</v>
      </c>
      <c r="AB917" s="39">
        <v>0.5</v>
      </c>
      <c r="AD917" s="39">
        <v>0.5</v>
      </c>
    </row>
    <row r="918">
      <c r="A918" s="39" t="s">
        <v>1616</v>
      </c>
      <c r="B918" s="42" t="s">
        <v>1617</v>
      </c>
      <c r="C918" s="39">
        <v>0.25</v>
      </c>
      <c r="D918" s="41">
        <v>44099.0</v>
      </c>
      <c r="E918" s="39" t="s">
        <v>872</v>
      </c>
      <c r="F918" s="39" t="s">
        <v>724</v>
      </c>
      <c r="G918" s="39" t="s">
        <v>830</v>
      </c>
      <c r="H918" s="39">
        <v>920.0</v>
      </c>
      <c r="N918" s="39" t="s">
        <v>938</v>
      </c>
      <c r="R918" s="39" t="s">
        <v>832</v>
      </c>
      <c r="S918" s="39" t="s">
        <v>939</v>
      </c>
      <c r="T918" s="39" t="s">
        <v>741</v>
      </c>
      <c r="U918" s="39" t="s">
        <v>938</v>
      </c>
      <c r="X918" s="39" t="s">
        <v>1618</v>
      </c>
      <c r="Y918" s="39" t="s">
        <v>1074</v>
      </c>
      <c r="Z918" s="39" t="s">
        <v>872</v>
      </c>
      <c r="AB918" s="39">
        <v>0.25</v>
      </c>
    </row>
    <row r="919">
      <c r="A919" s="39" t="s">
        <v>1080</v>
      </c>
      <c r="B919" s="39" t="s">
        <v>1081</v>
      </c>
      <c r="C919" s="39">
        <v>0.5</v>
      </c>
      <c r="D919" s="41">
        <v>44099.0</v>
      </c>
      <c r="E919" s="39" t="s">
        <v>872</v>
      </c>
      <c r="F919" s="39" t="s">
        <v>724</v>
      </c>
      <c r="G919" s="39" t="s">
        <v>830</v>
      </c>
      <c r="H919" s="39">
        <v>920.0</v>
      </c>
      <c r="N919" s="39" t="s">
        <v>938</v>
      </c>
      <c r="R919" s="39" t="s">
        <v>957</v>
      </c>
      <c r="S919" s="39" t="s">
        <v>889</v>
      </c>
      <c r="T919" s="39" t="s">
        <v>741</v>
      </c>
      <c r="U919" s="39" t="s">
        <v>938</v>
      </c>
      <c r="X919" s="39" t="s">
        <v>1082</v>
      </c>
      <c r="Y919" s="39" t="s">
        <v>1042</v>
      </c>
      <c r="Z919" s="39" t="s">
        <v>828</v>
      </c>
      <c r="AB919" s="39">
        <v>0.5</v>
      </c>
    </row>
    <row r="920">
      <c r="A920" s="39" t="s">
        <v>1619</v>
      </c>
      <c r="B920" s="39" t="s">
        <v>1620</v>
      </c>
      <c r="C920" s="39">
        <v>5.0</v>
      </c>
      <c r="D920" s="41">
        <v>44099.0</v>
      </c>
      <c r="E920" s="39" t="s">
        <v>1059</v>
      </c>
      <c r="F920" s="39" t="s">
        <v>1060</v>
      </c>
      <c r="G920" s="39" t="s">
        <v>1050</v>
      </c>
      <c r="H920" s="39">
        <v>920.0</v>
      </c>
      <c r="N920" s="39" t="s">
        <v>1051</v>
      </c>
      <c r="R920" s="39" t="s">
        <v>957</v>
      </c>
      <c r="S920" s="39" t="s">
        <v>1052</v>
      </c>
      <c r="T920" s="39" t="s">
        <v>1053</v>
      </c>
      <c r="U920" s="39" t="s">
        <v>1051</v>
      </c>
      <c r="X920" s="39" t="s">
        <v>1621</v>
      </c>
      <c r="Y920" s="39" t="s">
        <v>1387</v>
      </c>
      <c r="Z920" s="39" t="s">
        <v>1059</v>
      </c>
      <c r="AB920" s="39">
        <v>5.0</v>
      </c>
    </row>
    <row r="921">
      <c r="A921" s="39" t="s">
        <v>930</v>
      </c>
      <c r="B921" s="39" t="s">
        <v>931</v>
      </c>
      <c r="C921" s="39">
        <v>0.5</v>
      </c>
      <c r="D921" s="41">
        <v>44099.354166666664</v>
      </c>
      <c r="E921" s="39" t="s">
        <v>1600</v>
      </c>
      <c r="F921" s="39" t="s">
        <v>1601</v>
      </c>
      <c r="G921" s="39" t="s">
        <v>830</v>
      </c>
      <c r="H921" s="39">
        <v>920.0</v>
      </c>
      <c r="N921" s="39" t="s">
        <v>883</v>
      </c>
      <c r="R921" s="39" t="s">
        <v>832</v>
      </c>
      <c r="S921" s="39" t="s">
        <v>833</v>
      </c>
      <c r="T921" s="39" t="s">
        <v>884</v>
      </c>
      <c r="U921" s="39" t="s">
        <v>883</v>
      </c>
      <c r="W921" s="39" t="s">
        <v>164</v>
      </c>
      <c r="X921" s="39" t="s">
        <v>1622</v>
      </c>
      <c r="Z921" s="39" t="s">
        <v>847</v>
      </c>
      <c r="AB921" s="39">
        <v>0.5</v>
      </c>
      <c r="AC921" s="39">
        <v>6.0</v>
      </c>
      <c r="AD921" s="39">
        <v>0.0</v>
      </c>
    </row>
    <row r="922">
      <c r="A922" s="39" t="s">
        <v>930</v>
      </c>
      <c r="B922" s="39" t="s">
        <v>931</v>
      </c>
      <c r="C922" s="39">
        <v>3.25</v>
      </c>
      <c r="D922" s="41">
        <v>44099.395833333336</v>
      </c>
      <c r="E922" s="39" t="s">
        <v>1600</v>
      </c>
      <c r="F922" s="39" t="s">
        <v>1601</v>
      </c>
      <c r="G922" s="39" t="s">
        <v>830</v>
      </c>
      <c r="H922" s="39">
        <v>920.0</v>
      </c>
      <c r="N922" s="39" t="s">
        <v>883</v>
      </c>
      <c r="R922" s="39" t="s">
        <v>832</v>
      </c>
      <c r="S922" s="39" t="s">
        <v>833</v>
      </c>
      <c r="T922" s="39" t="s">
        <v>884</v>
      </c>
      <c r="U922" s="39" t="s">
        <v>883</v>
      </c>
      <c r="W922" s="39" t="s">
        <v>164</v>
      </c>
      <c r="X922" s="39" t="s">
        <v>1623</v>
      </c>
      <c r="Z922" s="39" t="s">
        <v>847</v>
      </c>
      <c r="AB922" s="39">
        <v>3.25</v>
      </c>
      <c r="AC922" s="39">
        <v>6.0</v>
      </c>
      <c r="AD922" s="39">
        <v>0.0</v>
      </c>
    </row>
    <row r="923">
      <c r="A923" s="39" t="s">
        <v>1518</v>
      </c>
      <c r="B923" s="39" t="s">
        <v>1519</v>
      </c>
      <c r="C923" s="39">
        <v>0.25</v>
      </c>
      <c r="D923" s="41">
        <v>44099.489583333336</v>
      </c>
      <c r="E923" s="39" t="s">
        <v>828</v>
      </c>
      <c r="F923" s="39" t="s">
        <v>829</v>
      </c>
      <c r="G923" s="39" t="s">
        <v>830</v>
      </c>
      <c r="H923" s="39">
        <v>920.0</v>
      </c>
      <c r="N923" s="39" t="s">
        <v>883</v>
      </c>
      <c r="R923" s="39" t="s">
        <v>832</v>
      </c>
      <c r="S923" s="39" t="s">
        <v>833</v>
      </c>
      <c r="T923" s="39" t="s">
        <v>884</v>
      </c>
      <c r="U923" s="39" t="s">
        <v>883</v>
      </c>
      <c r="W923" s="39" t="s">
        <v>904</v>
      </c>
      <c r="X923" s="39" t="s">
        <v>1609</v>
      </c>
      <c r="Z923" s="39" t="s">
        <v>847</v>
      </c>
      <c r="AB923" s="39">
        <v>0.25</v>
      </c>
      <c r="AC923" s="39">
        <v>2.0</v>
      </c>
      <c r="AD923" s="39">
        <v>0.0</v>
      </c>
    </row>
    <row r="924">
      <c r="A924" s="39" t="s">
        <v>1624</v>
      </c>
      <c r="B924" s="39" t="s">
        <v>1625</v>
      </c>
      <c r="C924" s="39">
        <v>0.25</v>
      </c>
      <c r="D924" s="41">
        <v>44099.510416666664</v>
      </c>
      <c r="E924" s="39" t="s">
        <v>828</v>
      </c>
      <c r="F924" s="39" t="s">
        <v>829</v>
      </c>
      <c r="G924" s="39" t="s">
        <v>830</v>
      </c>
      <c r="H924" s="39">
        <v>920.0</v>
      </c>
      <c r="N924" s="39" t="s">
        <v>938</v>
      </c>
      <c r="R924" s="39" t="s">
        <v>832</v>
      </c>
      <c r="S924" s="39" t="s">
        <v>939</v>
      </c>
      <c r="T924" s="39" t="s">
        <v>741</v>
      </c>
      <c r="U924" s="39" t="s">
        <v>938</v>
      </c>
      <c r="X924" s="39" t="s">
        <v>1609</v>
      </c>
      <c r="Y924" s="39" t="s">
        <v>1514</v>
      </c>
      <c r="Z924" s="39" t="s">
        <v>1291</v>
      </c>
      <c r="AB924" s="39">
        <v>0.25</v>
      </c>
    </row>
    <row r="925">
      <c r="A925" s="39" t="s">
        <v>1624</v>
      </c>
      <c r="B925" s="39" t="s">
        <v>1625</v>
      </c>
      <c r="C925" s="39">
        <v>0.5</v>
      </c>
      <c r="D925" s="41">
        <v>44099.552083333336</v>
      </c>
      <c r="E925" s="39" t="s">
        <v>828</v>
      </c>
      <c r="F925" s="39" t="s">
        <v>829</v>
      </c>
      <c r="G925" s="39" t="s">
        <v>830</v>
      </c>
      <c r="H925" s="39">
        <v>920.0</v>
      </c>
      <c r="N925" s="39" t="s">
        <v>938</v>
      </c>
      <c r="R925" s="39" t="s">
        <v>832</v>
      </c>
      <c r="S925" s="39" t="s">
        <v>939</v>
      </c>
      <c r="T925" s="39" t="s">
        <v>741</v>
      </c>
      <c r="U925" s="39" t="s">
        <v>938</v>
      </c>
      <c r="X925" s="39" t="s">
        <v>1609</v>
      </c>
      <c r="Y925" s="39" t="s">
        <v>1514</v>
      </c>
      <c r="Z925" s="39" t="s">
        <v>1291</v>
      </c>
      <c r="AB925" s="39">
        <v>0.5</v>
      </c>
    </row>
    <row r="926">
      <c r="A926" s="39" t="s">
        <v>1518</v>
      </c>
      <c r="B926" s="39" t="s">
        <v>1519</v>
      </c>
      <c r="C926" s="39">
        <v>1.75</v>
      </c>
      <c r="D926" s="41">
        <v>44099.552083333336</v>
      </c>
      <c r="E926" s="39" t="s">
        <v>1600</v>
      </c>
      <c r="F926" s="39" t="s">
        <v>1601</v>
      </c>
      <c r="G926" s="39" t="s">
        <v>830</v>
      </c>
      <c r="H926" s="39">
        <v>920.0</v>
      </c>
      <c r="N926" s="39" t="s">
        <v>883</v>
      </c>
      <c r="R926" s="39" t="s">
        <v>832</v>
      </c>
      <c r="S926" s="39" t="s">
        <v>833</v>
      </c>
      <c r="T926" s="39" t="s">
        <v>884</v>
      </c>
      <c r="U926" s="39" t="s">
        <v>883</v>
      </c>
      <c r="W926" s="39" t="s">
        <v>904</v>
      </c>
      <c r="X926" s="39" t="s">
        <v>1626</v>
      </c>
      <c r="Z926" s="39" t="s">
        <v>847</v>
      </c>
      <c r="AB926" s="39">
        <v>1.75</v>
      </c>
      <c r="AC926" s="39">
        <v>2.0</v>
      </c>
      <c r="AD926" s="39">
        <v>0.0</v>
      </c>
    </row>
    <row r="927">
      <c r="A927" s="39" t="s">
        <v>930</v>
      </c>
      <c r="B927" s="39" t="s">
        <v>931</v>
      </c>
      <c r="C927" s="39">
        <v>1.25</v>
      </c>
      <c r="D927" s="41">
        <v>44099.572916666664</v>
      </c>
      <c r="E927" s="39" t="s">
        <v>828</v>
      </c>
      <c r="F927" s="39" t="s">
        <v>829</v>
      </c>
      <c r="G927" s="39" t="s">
        <v>830</v>
      </c>
      <c r="H927" s="39">
        <v>920.0</v>
      </c>
      <c r="N927" s="39" t="s">
        <v>883</v>
      </c>
      <c r="R927" s="39" t="s">
        <v>832</v>
      </c>
      <c r="S927" s="39" t="s">
        <v>833</v>
      </c>
      <c r="T927" s="39" t="s">
        <v>884</v>
      </c>
      <c r="U927" s="39" t="s">
        <v>883</v>
      </c>
      <c r="W927" s="39" t="s">
        <v>164</v>
      </c>
      <c r="X927" s="39" t="s">
        <v>1627</v>
      </c>
      <c r="Z927" s="39" t="s">
        <v>847</v>
      </c>
      <c r="AB927" s="39">
        <v>1.25</v>
      </c>
      <c r="AC927" s="39">
        <v>6.0</v>
      </c>
      <c r="AD927" s="39">
        <v>0.0</v>
      </c>
    </row>
    <row r="928">
      <c r="A928" s="39" t="s">
        <v>1338</v>
      </c>
      <c r="B928" s="39" t="s">
        <v>1339</v>
      </c>
      <c r="C928" s="39">
        <v>1.25</v>
      </c>
      <c r="D928" s="41">
        <v>44099.625</v>
      </c>
      <c r="E928" s="39" t="s">
        <v>828</v>
      </c>
      <c r="F928" s="39" t="s">
        <v>829</v>
      </c>
      <c r="G928" s="39" t="s">
        <v>830</v>
      </c>
      <c r="H928" s="39">
        <v>920.0</v>
      </c>
      <c r="N928" s="39" t="s">
        <v>883</v>
      </c>
      <c r="R928" s="39" t="s">
        <v>832</v>
      </c>
      <c r="S928" s="39" t="s">
        <v>842</v>
      </c>
      <c r="T928" s="39" t="s">
        <v>884</v>
      </c>
      <c r="U928" s="39" t="s">
        <v>883</v>
      </c>
      <c r="X928" s="39" t="s">
        <v>1340</v>
      </c>
      <c r="Z928" s="39" t="s">
        <v>951</v>
      </c>
      <c r="AB928" s="39">
        <v>1.25</v>
      </c>
      <c r="AC928" s="39">
        <v>4.0</v>
      </c>
      <c r="AD928" s="39">
        <v>1.61666666666666</v>
      </c>
    </row>
    <row r="929">
      <c r="A929" s="39" t="s">
        <v>930</v>
      </c>
      <c r="B929" s="39" t="s">
        <v>931</v>
      </c>
      <c r="C929" s="39">
        <v>1.25</v>
      </c>
      <c r="D929" s="41">
        <v>44099.65625</v>
      </c>
      <c r="E929" s="39" t="s">
        <v>1600</v>
      </c>
      <c r="F929" s="39" t="s">
        <v>1601</v>
      </c>
      <c r="G929" s="39" t="s">
        <v>830</v>
      </c>
      <c r="H929" s="39">
        <v>920.0</v>
      </c>
      <c r="N929" s="39" t="s">
        <v>883</v>
      </c>
      <c r="R929" s="39" t="s">
        <v>832</v>
      </c>
      <c r="S929" s="39" t="s">
        <v>833</v>
      </c>
      <c r="T929" s="39" t="s">
        <v>884</v>
      </c>
      <c r="U929" s="39" t="s">
        <v>883</v>
      </c>
      <c r="W929" s="39" t="s">
        <v>164</v>
      </c>
      <c r="X929" s="39" t="s">
        <v>1628</v>
      </c>
      <c r="Z929" s="39" t="s">
        <v>847</v>
      </c>
      <c r="AB929" s="39">
        <v>1.25</v>
      </c>
      <c r="AC929" s="39">
        <v>6.0</v>
      </c>
      <c r="AD929" s="39">
        <v>0.0</v>
      </c>
    </row>
    <row r="930">
      <c r="A930" s="39" t="s">
        <v>1624</v>
      </c>
      <c r="B930" s="39" t="s">
        <v>1625</v>
      </c>
      <c r="C930" s="39">
        <v>0.5</v>
      </c>
      <c r="D930" s="41">
        <v>44099.677083333336</v>
      </c>
      <c r="E930" s="39" t="s">
        <v>828</v>
      </c>
      <c r="F930" s="39" t="s">
        <v>829</v>
      </c>
      <c r="G930" s="39" t="s">
        <v>830</v>
      </c>
      <c r="H930" s="39">
        <v>920.0</v>
      </c>
      <c r="N930" s="39" t="s">
        <v>938</v>
      </c>
      <c r="R930" s="39" t="s">
        <v>832</v>
      </c>
      <c r="S930" s="39" t="s">
        <v>939</v>
      </c>
      <c r="T930" s="39" t="s">
        <v>741</v>
      </c>
      <c r="U930" s="39" t="s">
        <v>938</v>
      </c>
      <c r="X930" s="39" t="s">
        <v>1629</v>
      </c>
      <c r="Y930" s="39" t="s">
        <v>1514</v>
      </c>
      <c r="Z930" s="39" t="s">
        <v>1291</v>
      </c>
      <c r="AB930" s="39">
        <v>0.5</v>
      </c>
    </row>
    <row r="931">
      <c r="A931" s="39" t="s">
        <v>894</v>
      </c>
      <c r="B931" s="39" t="s">
        <v>895</v>
      </c>
      <c r="C931" s="39">
        <v>0.25</v>
      </c>
      <c r="D931" s="41">
        <v>44099.697916666664</v>
      </c>
      <c r="E931" s="39" t="s">
        <v>828</v>
      </c>
      <c r="F931" s="39" t="s">
        <v>829</v>
      </c>
      <c r="G931" s="39" t="s">
        <v>830</v>
      </c>
      <c r="H931" s="39">
        <v>920.0</v>
      </c>
      <c r="N931" s="39" t="s">
        <v>883</v>
      </c>
      <c r="R931" s="39" t="s">
        <v>832</v>
      </c>
      <c r="S931" s="39" t="s">
        <v>833</v>
      </c>
      <c r="T931" s="39" t="s">
        <v>884</v>
      </c>
      <c r="U931" s="39" t="s">
        <v>883</v>
      </c>
      <c r="W931" s="39" t="s">
        <v>101</v>
      </c>
      <c r="X931" s="39" t="s">
        <v>896</v>
      </c>
      <c r="Z931" s="39" t="s">
        <v>876</v>
      </c>
      <c r="AB931" s="39">
        <v>0.25</v>
      </c>
      <c r="AC931" s="39">
        <v>12.0</v>
      </c>
      <c r="AD931" s="39">
        <v>0.0</v>
      </c>
    </row>
    <row r="932">
      <c r="A932" s="39" t="s">
        <v>1115</v>
      </c>
      <c r="B932" s="39" t="s">
        <v>1122</v>
      </c>
      <c r="C932" s="39">
        <v>0.5</v>
      </c>
      <c r="D932" s="41">
        <v>44102.0</v>
      </c>
      <c r="E932" s="39" t="s">
        <v>872</v>
      </c>
      <c r="F932" s="39" t="s">
        <v>724</v>
      </c>
      <c r="G932" s="39" t="s">
        <v>830</v>
      </c>
      <c r="H932" s="39">
        <v>920.0</v>
      </c>
      <c r="N932" s="39" t="s">
        <v>938</v>
      </c>
      <c r="R932" s="39" t="s">
        <v>72</v>
      </c>
      <c r="S932" s="39" t="s">
        <v>842</v>
      </c>
      <c r="T932" s="39" t="s">
        <v>741</v>
      </c>
      <c r="U932" s="39" t="s">
        <v>938</v>
      </c>
      <c r="X932" s="39" t="s">
        <v>1630</v>
      </c>
      <c r="Z932" s="39" t="s">
        <v>872</v>
      </c>
      <c r="AB932" s="39">
        <v>0.5</v>
      </c>
    </row>
    <row r="933">
      <c r="A933" s="39" t="s">
        <v>1631</v>
      </c>
      <c r="B933" s="39" t="s">
        <v>1632</v>
      </c>
      <c r="C933" s="39">
        <v>0.25</v>
      </c>
      <c r="D933" s="41">
        <v>44102.0</v>
      </c>
      <c r="E933" s="39" t="s">
        <v>872</v>
      </c>
      <c r="F933" s="39" t="s">
        <v>724</v>
      </c>
      <c r="G933" s="39" t="s">
        <v>830</v>
      </c>
      <c r="H933" s="39">
        <v>920.0</v>
      </c>
      <c r="N933" s="39" t="s">
        <v>1051</v>
      </c>
      <c r="R933" s="39" t="s">
        <v>957</v>
      </c>
      <c r="S933" s="39" t="s">
        <v>1052</v>
      </c>
      <c r="T933" s="39" t="s">
        <v>1053</v>
      </c>
      <c r="U933" s="39" t="s">
        <v>1051</v>
      </c>
      <c r="X933" s="39" t="s">
        <v>1633</v>
      </c>
      <c r="Y933" s="39" t="s">
        <v>1596</v>
      </c>
      <c r="Z933" s="39" t="s">
        <v>872</v>
      </c>
      <c r="AB933" s="39">
        <v>0.25</v>
      </c>
    </row>
    <row r="934">
      <c r="A934" s="39" t="s">
        <v>1634</v>
      </c>
      <c r="B934" s="39" t="s">
        <v>1635</v>
      </c>
      <c r="C934" s="39">
        <v>0.25</v>
      </c>
      <c r="D934" s="41">
        <v>44102.0</v>
      </c>
      <c r="E934" s="39" t="s">
        <v>872</v>
      </c>
      <c r="F934" s="39" t="s">
        <v>724</v>
      </c>
      <c r="G934" s="39" t="s">
        <v>830</v>
      </c>
      <c r="H934" s="39">
        <v>920.0</v>
      </c>
      <c r="N934" s="39" t="s">
        <v>1051</v>
      </c>
      <c r="R934" s="39" t="s">
        <v>832</v>
      </c>
      <c r="S934" s="39" t="s">
        <v>889</v>
      </c>
      <c r="T934" s="39" t="s">
        <v>1053</v>
      </c>
      <c r="U934" s="39" t="s">
        <v>1051</v>
      </c>
      <c r="X934" s="39" t="s">
        <v>1636</v>
      </c>
      <c r="Y934" s="39" t="s">
        <v>1256</v>
      </c>
      <c r="Z934" s="39" t="s">
        <v>872</v>
      </c>
      <c r="AB934" s="39">
        <v>0.25</v>
      </c>
    </row>
    <row r="935">
      <c r="A935" s="39" t="s">
        <v>1624</v>
      </c>
      <c r="B935" s="39" t="s">
        <v>1625</v>
      </c>
      <c r="C935" s="39">
        <v>0.25</v>
      </c>
      <c r="D935" s="41">
        <v>44102.0</v>
      </c>
      <c r="E935" s="39" t="s">
        <v>872</v>
      </c>
      <c r="F935" s="39" t="s">
        <v>724</v>
      </c>
      <c r="G935" s="39" t="s">
        <v>830</v>
      </c>
      <c r="H935" s="39">
        <v>920.0</v>
      </c>
      <c r="N935" s="39" t="s">
        <v>938</v>
      </c>
      <c r="R935" s="39" t="s">
        <v>832</v>
      </c>
      <c r="S935" s="39" t="s">
        <v>939</v>
      </c>
      <c r="T935" s="39" t="s">
        <v>741</v>
      </c>
      <c r="U935" s="39" t="s">
        <v>938</v>
      </c>
      <c r="X935" s="39" t="s">
        <v>1637</v>
      </c>
      <c r="Y935" s="39" t="s">
        <v>1514</v>
      </c>
      <c r="Z935" s="39" t="s">
        <v>1291</v>
      </c>
      <c r="AB935" s="39">
        <v>0.25</v>
      </c>
    </row>
    <row r="936">
      <c r="A936" s="39" t="s">
        <v>1638</v>
      </c>
      <c r="B936" s="39" t="s">
        <v>1639</v>
      </c>
      <c r="C936" s="39">
        <v>0.25</v>
      </c>
      <c r="D936" s="41">
        <v>44102.0</v>
      </c>
      <c r="E936" s="39" t="s">
        <v>872</v>
      </c>
      <c r="F936" s="39" t="s">
        <v>724</v>
      </c>
      <c r="G936" s="39" t="s">
        <v>830</v>
      </c>
      <c r="H936" s="39">
        <v>920.0</v>
      </c>
      <c r="N936" s="39" t="s">
        <v>1051</v>
      </c>
      <c r="R936" s="39" t="s">
        <v>957</v>
      </c>
      <c r="S936" s="39" t="s">
        <v>1052</v>
      </c>
      <c r="T936" s="39" t="s">
        <v>1053</v>
      </c>
      <c r="U936" s="39" t="s">
        <v>1051</v>
      </c>
      <c r="X936" s="39" t="s">
        <v>1640</v>
      </c>
      <c r="Y936" s="39" t="s">
        <v>1634</v>
      </c>
      <c r="Z936" s="39" t="s">
        <v>872</v>
      </c>
      <c r="AB936" s="39">
        <v>0.25</v>
      </c>
    </row>
    <row r="937">
      <c r="A937" s="39" t="s">
        <v>1511</v>
      </c>
      <c r="B937" s="39" t="s">
        <v>1512</v>
      </c>
      <c r="C937" s="39">
        <v>0.25</v>
      </c>
      <c r="D937" s="41">
        <v>44102.0</v>
      </c>
      <c r="E937" s="39" t="s">
        <v>872</v>
      </c>
      <c r="F937" s="39" t="s">
        <v>724</v>
      </c>
      <c r="G937" s="39" t="s">
        <v>830</v>
      </c>
      <c r="H937" s="39">
        <v>920.0</v>
      </c>
      <c r="N937" s="39" t="s">
        <v>938</v>
      </c>
      <c r="R937" s="39" t="s">
        <v>832</v>
      </c>
      <c r="S937" s="39" t="s">
        <v>939</v>
      </c>
      <c r="T937" s="39" t="s">
        <v>741</v>
      </c>
      <c r="U937" s="39" t="s">
        <v>938</v>
      </c>
      <c r="X937" s="39" t="s">
        <v>1513</v>
      </c>
      <c r="Y937" s="39" t="s">
        <v>1514</v>
      </c>
      <c r="Z937" s="39" t="s">
        <v>828</v>
      </c>
      <c r="AB937" s="39">
        <v>0.25</v>
      </c>
      <c r="AD937" s="39">
        <v>0.25</v>
      </c>
    </row>
    <row r="938">
      <c r="A938" s="39" t="s">
        <v>1596</v>
      </c>
      <c r="B938" s="39" t="s">
        <v>1614</v>
      </c>
      <c r="C938" s="39">
        <v>1.0</v>
      </c>
      <c r="D938" s="41">
        <v>44102.0</v>
      </c>
      <c r="E938" s="39" t="s">
        <v>872</v>
      </c>
      <c r="F938" s="39" t="s">
        <v>724</v>
      </c>
      <c r="G938" s="39" t="s">
        <v>830</v>
      </c>
      <c r="H938" s="39">
        <v>920.0</v>
      </c>
      <c r="N938" s="39" t="s">
        <v>1051</v>
      </c>
      <c r="R938" s="39" t="s">
        <v>832</v>
      </c>
      <c r="S938" s="39" t="s">
        <v>1052</v>
      </c>
      <c r="T938" s="39" t="s">
        <v>1053</v>
      </c>
      <c r="U938" s="39" t="s">
        <v>1051</v>
      </c>
      <c r="X938" s="39" t="s">
        <v>1615</v>
      </c>
      <c r="Y938" s="39" t="s">
        <v>1131</v>
      </c>
      <c r="Z938" s="39" t="s">
        <v>872</v>
      </c>
      <c r="AB938" s="39">
        <v>1.0</v>
      </c>
      <c r="AD938" s="39">
        <v>0.5</v>
      </c>
    </row>
    <row r="939">
      <c r="A939" s="39" t="s">
        <v>1641</v>
      </c>
      <c r="B939" s="39" t="s">
        <v>1642</v>
      </c>
      <c r="C939" s="39">
        <v>2.0</v>
      </c>
      <c r="D939" s="41">
        <v>44102.0</v>
      </c>
      <c r="E939" s="39" t="s">
        <v>1048</v>
      </c>
      <c r="F939" s="39" t="s">
        <v>1049</v>
      </c>
      <c r="G939" s="39" t="s">
        <v>1050</v>
      </c>
      <c r="H939" s="39">
        <v>920.0</v>
      </c>
      <c r="N939" s="39" t="s">
        <v>1051</v>
      </c>
      <c r="R939" s="39" t="s">
        <v>957</v>
      </c>
      <c r="S939" s="39" t="s">
        <v>1052</v>
      </c>
      <c r="T939" s="39" t="s">
        <v>1053</v>
      </c>
      <c r="U939" s="39" t="s">
        <v>1051</v>
      </c>
      <c r="X939" s="39" t="s">
        <v>1643</v>
      </c>
      <c r="Y939" s="39" t="s">
        <v>1380</v>
      </c>
      <c r="Z939" s="39" t="s">
        <v>872</v>
      </c>
      <c r="AB939" s="39">
        <v>2.0</v>
      </c>
    </row>
    <row r="940">
      <c r="A940" s="39" t="s">
        <v>1593</v>
      </c>
      <c r="B940" s="39" t="s">
        <v>1594</v>
      </c>
      <c r="C940" s="39">
        <v>7.0</v>
      </c>
      <c r="D940" s="41">
        <v>44102.0</v>
      </c>
      <c r="E940" s="39" t="s">
        <v>1059</v>
      </c>
      <c r="F940" s="39" t="s">
        <v>1060</v>
      </c>
      <c r="G940" s="39" t="s">
        <v>1050</v>
      </c>
      <c r="H940" s="39">
        <v>920.0</v>
      </c>
      <c r="N940" s="39" t="s">
        <v>1051</v>
      </c>
      <c r="R940" s="39" t="s">
        <v>957</v>
      </c>
      <c r="S940" s="39" t="s">
        <v>1052</v>
      </c>
      <c r="T940" s="39" t="s">
        <v>1053</v>
      </c>
      <c r="U940" s="39" t="s">
        <v>1051</v>
      </c>
      <c r="X940" s="39" t="s">
        <v>1644</v>
      </c>
      <c r="Y940" s="39" t="s">
        <v>1596</v>
      </c>
      <c r="Z940" s="39" t="s">
        <v>872</v>
      </c>
      <c r="AB940" s="39">
        <v>7.0</v>
      </c>
    </row>
    <row r="941">
      <c r="A941" s="39" t="s">
        <v>930</v>
      </c>
      <c r="B941" s="39" t="s">
        <v>931</v>
      </c>
      <c r="C941" s="39">
        <v>3.5</v>
      </c>
      <c r="D941" s="41">
        <v>44102.333333333336</v>
      </c>
      <c r="E941" s="39" t="s">
        <v>1600</v>
      </c>
      <c r="F941" s="39" t="s">
        <v>1601</v>
      </c>
      <c r="G941" s="39" t="s">
        <v>830</v>
      </c>
      <c r="H941" s="39">
        <v>920.0</v>
      </c>
      <c r="N941" s="39" t="s">
        <v>883</v>
      </c>
      <c r="R941" s="39" t="s">
        <v>832</v>
      </c>
      <c r="S941" s="39" t="s">
        <v>833</v>
      </c>
      <c r="T941" s="39" t="s">
        <v>884</v>
      </c>
      <c r="U941" s="39" t="s">
        <v>883</v>
      </c>
      <c r="W941" s="39" t="s">
        <v>164</v>
      </c>
      <c r="X941" s="39" t="s">
        <v>1645</v>
      </c>
      <c r="Z941" s="39" t="s">
        <v>847</v>
      </c>
      <c r="AB941" s="39">
        <v>3.5</v>
      </c>
      <c r="AC941" s="39">
        <v>6.0</v>
      </c>
      <c r="AD941" s="39">
        <v>0.0</v>
      </c>
    </row>
    <row r="942">
      <c r="A942" s="39" t="s">
        <v>1646</v>
      </c>
      <c r="B942" s="39" t="s">
        <v>1647</v>
      </c>
      <c r="C942" s="39">
        <v>0.75</v>
      </c>
      <c r="D942" s="41">
        <v>44102.354166666664</v>
      </c>
      <c r="E942" s="39" t="s">
        <v>828</v>
      </c>
      <c r="F942" s="39" t="s">
        <v>829</v>
      </c>
      <c r="G942" s="39" t="s">
        <v>830</v>
      </c>
      <c r="H942" s="39">
        <v>920.0</v>
      </c>
      <c r="N942" s="39" t="s">
        <v>883</v>
      </c>
      <c r="R942" s="39" t="s">
        <v>1021</v>
      </c>
      <c r="S942" s="39" t="s">
        <v>833</v>
      </c>
      <c r="T942" s="39" t="s">
        <v>884</v>
      </c>
      <c r="U942" s="39" t="s">
        <v>883</v>
      </c>
      <c r="X942" s="39" t="s">
        <v>1648</v>
      </c>
      <c r="Z942" s="39" t="s">
        <v>1649</v>
      </c>
      <c r="AB942" s="39">
        <v>0.75</v>
      </c>
    </row>
    <row r="943">
      <c r="A943" s="39" t="s">
        <v>930</v>
      </c>
      <c r="B943" s="39" t="s">
        <v>931</v>
      </c>
      <c r="C943" s="39">
        <v>0.5</v>
      </c>
      <c r="D943" s="41">
        <v>44102.395833333336</v>
      </c>
      <c r="E943" s="39" t="s">
        <v>828</v>
      </c>
      <c r="F943" s="39" t="s">
        <v>829</v>
      </c>
      <c r="G943" s="39" t="s">
        <v>830</v>
      </c>
      <c r="H943" s="39">
        <v>920.0</v>
      </c>
      <c r="N943" s="39" t="s">
        <v>883</v>
      </c>
      <c r="R943" s="39" t="s">
        <v>832</v>
      </c>
      <c r="S943" s="39" t="s">
        <v>833</v>
      </c>
      <c r="T943" s="39" t="s">
        <v>884</v>
      </c>
      <c r="U943" s="39" t="s">
        <v>883</v>
      </c>
      <c r="W943" s="39" t="s">
        <v>164</v>
      </c>
      <c r="X943" s="39" t="s">
        <v>1650</v>
      </c>
      <c r="Z943" s="39" t="s">
        <v>847</v>
      </c>
      <c r="AB943" s="39">
        <v>0.5</v>
      </c>
      <c r="AC943" s="39">
        <v>6.0</v>
      </c>
      <c r="AD943" s="39">
        <v>0.0</v>
      </c>
    </row>
    <row r="944">
      <c r="A944" s="39" t="s">
        <v>1518</v>
      </c>
      <c r="B944" s="39" t="s">
        <v>1519</v>
      </c>
      <c r="C944" s="39">
        <v>0.75</v>
      </c>
      <c r="D944" s="41">
        <v>44102.427083333336</v>
      </c>
      <c r="E944" s="39" t="s">
        <v>828</v>
      </c>
      <c r="F944" s="39" t="s">
        <v>829</v>
      </c>
      <c r="G944" s="39" t="s">
        <v>830</v>
      </c>
      <c r="H944" s="39">
        <v>920.0</v>
      </c>
      <c r="N944" s="39" t="s">
        <v>883</v>
      </c>
      <c r="R944" s="39" t="s">
        <v>832</v>
      </c>
      <c r="S944" s="39" t="s">
        <v>833</v>
      </c>
      <c r="T944" s="39" t="s">
        <v>884</v>
      </c>
      <c r="U944" s="39" t="s">
        <v>883</v>
      </c>
      <c r="W944" s="39" t="s">
        <v>904</v>
      </c>
      <c r="X944" s="39" t="s">
        <v>1609</v>
      </c>
      <c r="Z944" s="39" t="s">
        <v>847</v>
      </c>
      <c r="AB944" s="39">
        <v>0.75</v>
      </c>
      <c r="AC944" s="39">
        <v>2.0</v>
      </c>
      <c r="AD944" s="39">
        <v>0.0</v>
      </c>
    </row>
    <row r="945">
      <c r="A945" s="39" t="s">
        <v>930</v>
      </c>
      <c r="B945" s="39" t="s">
        <v>931</v>
      </c>
      <c r="C945" s="39">
        <v>0.25</v>
      </c>
      <c r="D945" s="41">
        <v>44102.489583333336</v>
      </c>
      <c r="E945" s="39" t="s">
        <v>828</v>
      </c>
      <c r="F945" s="39" t="s">
        <v>829</v>
      </c>
      <c r="G945" s="39" t="s">
        <v>830</v>
      </c>
      <c r="H945" s="39">
        <v>920.0</v>
      </c>
      <c r="N945" s="39" t="s">
        <v>883</v>
      </c>
      <c r="R945" s="39" t="s">
        <v>832</v>
      </c>
      <c r="S945" s="39" t="s">
        <v>833</v>
      </c>
      <c r="T945" s="39" t="s">
        <v>884</v>
      </c>
      <c r="U945" s="39" t="s">
        <v>883</v>
      </c>
      <c r="W945" s="39" t="s">
        <v>164</v>
      </c>
      <c r="X945" s="39" t="s">
        <v>932</v>
      </c>
      <c r="Z945" s="39" t="s">
        <v>847</v>
      </c>
      <c r="AB945" s="39">
        <v>0.25</v>
      </c>
      <c r="AC945" s="39">
        <v>6.0</v>
      </c>
      <c r="AD945" s="39">
        <v>0.0</v>
      </c>
    </row>
    <row r="946">
      <c r="A946" s="39" t="s">
        <v>930</v>
      </c>
      <c r="B946" s="39" t="s">
        <v>931</v>
      </c>
      <c r="C946" s="39">
        <v>0.75</v>
      </c>
      <c r="D946" s="41">
        <v>44102.489583333336</v>
      </c>
      <c r="E946" s="39" t="s">
        <v>1600</v>
      </c>
      <c r="F946" s="39" t="s">
        <v>1601</v>
      </c>
      <c r="G946" s="39" t="s">
        <v>830</v>
      </c>
      <c r="H946" s="39">
        <v>920.0</v>
      </c>
      <c r="N946" s="39" t="s">
        <v>883</v>
      </c>
      <c r="R946" s="39" t="s">
        <v>832</v>
      </c>
      <c r="S946" s="39" t="s">
        <v>833</v>
      </c>
      <c r="T946" s="39" t="s">
        <v>884</v>
      </c>
      <c r="U946" s="39" t="s">
        <v>883</v>
      </c>
      <c r="W946" s="39" t="s">
        <v>164</v>
      </c>
      <c r="X946" s="39" t="s">
        <v>1651</v>
      </c>
      <c r="Z946" s="39" t="s">
        <v>847</v>
      </c>
      <c r="AB946" s="39">
        <v>0.75</v>
      </c>
      <c r="AC946" s="39">
        <v>6.0</v>
      </c>
      <c r="AD946" s="39">
        <v>0.0</v>
      </c>
    </row>
    <row r="947">
      <c r="A947" s="39" t="s">
        <v>1511</v>
      </c>
      <c r="B947" s="39" t="s">
        <v>1512</v>
      </c>
      <c r="C947" s="39">
        <v>4.0</v>
      </c>
      <c r="D947" s="41">
        <v>44102.541666666664</v>
      </c>
      <c r="E947" s="39" t="s">
        <v>1291</v>
      </c>
      <c r="F947" s="39" t="s">
        <v>1292</v>
      </c>
      <c r="G947" s="39" t="s">
        <v>1050</v>
      </c>
      <c r="H947" s="39">
        <v>920.0</v>
      </c>
      <c r="N947" s="39" t="s">
        <v>938</v>
      </c>
      <c r="R947" s="39" t="s">
        <v>832</v>
      </c>
      <c r="S947" s="39" t="s">
        <v>939</v>
      </c>
      <c r="T947" s="39" t="s">
        <v>741</v>
      </c>
      <c r="U947" s="39" t="s">
        <v>938</v>
      </c>
      <c r="X947" s="39" t="s">
        <v>1513</v>
      </c>
      <c r="Y947" s="39" t="s">
        <v>1514</v>
      </c>
      <c r="Z947" s="39" t="s">
        <v>828</v>
      </c>
      <c r="AB947" s="39">
        <v>4.0</v>
      </c>
      <c r="AD947" s="39">
        <v>0.25</v>
      </c>
    </row>
    <row r="948">
      <c r="A948" s="39" t="s">
        <v>1534</v>
      </c>
      <c r="B948" s="39" t="s">
        <v>1535</v>
      </c>
      <c r="C948" s="39">
        <v>3.5</v>
      </c>
      <c r="D948" s="41">
        <v>44102.541666666664</v>
      </c>
      <c r="E948" s="39" t="s">
        <v>1600</v>
      </c>
      <c r="F948" s="39" t="s">
        <v>1601</v>
      </c>
      <c r="G948" s="39" t="s">
        <v>830</v>
      </c>
      <c r="H948" s="39">
        <v>920.0</v>
      </c>
      <c r="N948" s="39" t="s">
        <v>883</v>
      </c>
      <c r="R948" s="39" t="s">
        <v>832</v>
      </c>
      <c r="S948" s="39" t="s">
        <v>833</v>
      </c>
      <c r="T948" s="39" t="s">
        <v>884</v>
      </c>
      <c r="U948" s="39" t="s">
        <v>883</v>
      </c>
      <c r="W948" s="39" t="s">
        <v>904</v>
      </c>
      <c r="X948" s="39" t="s">
        <v>1652</v>
      </c>
      <c r="Z948" s="39" t="s">
        <v>837</v>
      </c>
      <c r="AB948" s="39">
        <v>3.5</v>
      </c>
      <c r="AC948" s="39">
        <v>8.0</v>
      </c>
      <c r="AD948" s="39">
        <v>0.0</v>
      </c>
    </row>
    <row r="949">
      <c r="A949" s="39" t="s">
        <v>1457</v>
      </c>
      <c r="B949" s="39" t="s">
        <v>1458</v>
      </c>
      <c r="C949" s="39">
        <v>0.5</v>
      </c>
      <c r="D949" s="41">
        <v>44102.552083333336</v>
      </c>
      <c r="E949" s="39" t="s">
        <v>828</v>
      </c>
      <c r="F949" s="39" t="s">
        <v>829</v>
      </c>
      <c r="G949" s="39" t="s">
        <v>830</v>
      </c>
      <c r="H949" s="39">
        <v>920.0</v>
      </c>
      <c r="N949" s="39" t="s">
        <v>938</v>
      </c>
      <c r="R949" s="39" t="s">
        <v>832</v>
      </c>
      <c r="S949" s="39" t="s">
        <v>939</v>
      </c>
      <c r="T949" s="39" t="s">
        <v>741</v>
      </c>
      <c r="U949" s="39" t="s">
        <v>938</v>
      </c>
      <c r="X949" s="39" t="s">
        <v>1609</v>
      </c>
      <c r="Y949" s="39" t="s">
        <v>1074</v>
      </c>
      <c r="Z949" s="39" t="s">
        <v>828</v>
      </c>
      <c r="AB949" s="39">
        <v>0.5</v>
      </c>
    </row>
    <row r="950">
      <c r="A950" s="39" t="s">
        <v>1437</v>
      </c>
      <c r="B950" s="39" t="s">
        <v>1438</v>
      </c>
      <c r="C950" s="39">
        <v>0.25</v>
      </c>
      <c r="D950" s="41">
        <v>44102.572916666664</v>
      </c>
      <c r="E950" s="39" t="s">
        <v>828</v>
      </c>
      <c r="F950" s="39" t="s">
        <v>829</v>
      </c>
      <c r="G950" s="39" t="s">
        <v>830</v>
      </c>
      <c r="H950" s="39">
        <v>920.0</v>
      </c>
      <c r="N950" s="39" t="s">
        <v>938</v>
      </c>
      <c r="R950" s="39" t="s">
        <v>957</v>
      </c>
      <c r="S950" s="39" t="s">
        <v>966</v>
      </c>
      <c r="T950" s="39" t="s">
        <v>741</v>
      </c>
      <c r="U950" s="39" t="s">
        <v>938</v>
      </c>
      <c r="X950" s="39" t="s">
        <v>1439</v>
      </c>
      <c r="Y950" s="39" t="s">
        <v>1042</v>
      </c>
      <c r="Z950" s="39" t="s">
        <v>1153</v>
      </c>
      <c r="AB950" s="39">
        <v>0.25</v>
      </c>
    </row>
    <row r="951">
      <c r="A951" s="39" t="s">
        <v>1293</v>
      </c>
      <c r="B951" s="39" t="s">
        <v>1294</v>
      </c>
      <c r="C951" s="39">
        <v>0.5</v>
      </c>
      <c r="D951" s="41">
        <v>44102.583333333336</v>
      </c>
      <c r="E951" s="39" t="s">
        <v>828</v>
      </c>
      <c r="F951" s="39" t="s">
        <v>829</v>
      </c>
      <c r="G951" s="39" t="s">
        <v>830</v>
      </c>
      <c r="H951" s="39">
        <v>920.0</v>
      </c>
      <c r="N951" s="39" t="s">
        <v>938</v>
      </c>
      <c r="R951" s="39" t="s">
        <v>832</v>
      </c>
      <c r="S951" s="39" t="s">
        <v>842</v>
      </c>
      <c r="T951" s="39" t="s">
        <v>741</v>
      </c>
      <c r="U951" s="39" t="s">
        <v>938</v>
      </c>
      <c r="X951" s="39" t="s">
        <v>1609</v>
      </c>
      <c r="Y951" s="39" t="s">
        <v>1074</v>
      </c>
      <c r="Z951" s="39" t="s">
        <v>828</v>
      </c>
      <c r="AB951" s="39">
        <v>0.5</v>
      </c>
    </row>
    <row r="952">
      <c r="A952" s="39" t="s">
        <v>1498</v>
      </c>
      <c r="B952" s="39" t="s">
        <v>1499</v>
      </c>
      <c r="C952" s="39">
        <v>0.5</v>
      </c>
      <c r="D952" s="41">
        <v>44102.625</v>
      </c>
      <c r="E952" s="39" t="s">
        <v>828</v>
      </c>
      <c r="F952" s="39" t="s">
        <v>829</v>
      </c>
      <c r="G952" s="39" t="s">
        <v>830</v>
      </c>
      <c r="H952" s="39">
        <v>920.0</v>
      </c>
      <c r="N952" s="39" t="s">
        <v>883</v>
      </c>
      <c r="R952" s="39" t="s">
        <v>832</v>
      </c>
      <c r="S952" s="39" t="s">
        <v>833</v>
      </c>
      <c r="T952" s="39" t="s">
        <v>884</v>
      </c>
      <c r="U952" s="39" t="s">
        <v>883</v>
      </c>
      <c r="W952" s="39" t="s">
        <v>835</v>
      </c>
      <c r="X952" s="39" t="s">
        <v>1500</v>
      </c>
      <c r="Z952" s="39" t="s">
        <v>876</v>
      </c>
      <c r="AB952" s="39">
        <v>0.5</v>
      </c>
      <c r="AC952" s="39">
        <v>8.0</v>
      </c>
      <c r="AD952" s="39">
        <v>0.0</v>
      </c>
    </row>
    <row r="953">
      <c r="A953" s="39" t="s">
        <v>1534</v>
      </c>
      <c r="B953" s="39" t="s">
        <v>1535</v>
      </c>
      <c r="C953" s="39">
        <v>0.5</v>
      </c>
      <c r="D953" s="41">
        <v>44102.645833333336</v>
      </c>
      <c r="E953" s="39" t="s">
        <v>828</v>
      </c>
      <c r="F953" s="39" t="s">
        <v>829</v>
      </c>
      <c r="G953" s="39" t="s">
        <v>830</v>
      </c>
      <c r="H953" s="39">
        <v>920.0</v>
      </c>
      <c r="N953" s="39" t="s">
        <v>883</v>
      </c>
      <c r="R953" s="39" t="s">
        <v>832</v>
      </c>
      <c r="S953" s="39" t="s">
        <v>833</v>
      </c>
      <c r="T953" s="39" t="s">
        <v>884</v>
      </c>
      <c r="U953" s="39" t="s">
        <v>883</v>
      </c>
      <c r="W953" s="39" t="s">
        <v>904</v>
      </c>
      <c r="X953" s="39" t="s">
        <v>1653</v>
      </c>
      <c r="Z953" s="39" t="s">
        <v>837</v>
      </c>
      <c r="AB953" s="39">
        <v>0.5</v>
      </c>
      <c r="AC953" s="39">
        <v>8.0</v>
      </c>
      <c r="AD953" s="39">
        <v>0.0</v>
      </c>
    </row>
    <row r="954">
      <c r="A954" s="39" t="s">
        <v>1216</v>
      </c>
      <c r="B954" s="39" t="s">
        <v>1217</v>
      </c>
      <c r="C954" s="39">
        <v>0.25</v>
      </c>
      <c r="D954" s="41">
        <v>44102.6875</v>
      </c>
      <c r="E954" s="39" t="s">
        <v>828</v>
      </c>
      <c r="F954" s="39" t="s">
        <v>829</v>
      </c>
      <c r="G954" s="39" t="s">
        <v>830</v>
      </c>
      <c r="H954" s="39">
        <v>920.0</v>
      </c>
      <c r="N954" s="39" t="s">
        <v>883</v>
      </c>
      <c r="R954" s="39" t="s">
        <v>832</v>
      </c>
      <c r="S954" s="39" t="s">
        <v>833</v>
      </c>
      <c r="T954" s="39" t="s">
        <v>884</v>
      </c>
      <c r="U954" s="39" t="s">
        <v>883</v>
      </c>
      <c r="W954" s="39" t="s">
        <v>253</v>
      </c>
      <c r="X954" s="39" t="s">
        <v>1218</v>
      </c>
      <c r="Z954" s="39" t="s">
        <v>872</v>
      </c>
      <c r="AB954" s="39">
        <v>0.25</v>
      </c>
      <c r="AC954" s="39">
        <v>4.0</v>
      </c>
      <c r="AD954" s="39">
        <v>0.0</v>
      </c>
    </row>
    <row r="955">
      <c r="A955" s="39" t="s">
        <v>894</v>
      </c>
      <c r="B955" s="39" t="s">
        <v>895</v>
      </c>
      <c r="C955" s="39">
        <v>0.25</v>
      </c>
      <c r="D955" s="41">
        <v>44102.697916666664</v>
      </c>
      <c r="E955" s="39" t="s">
        <v>828</v>
      </c>
      <c r="F955" s="39" t="s">
        <v>829</v>
      </c>
      <c r="G955" s="39" t="s">
        <v>830</v>
      </c>
      <c r="H955" s="39">
        <v>920.0</v>
      </c>
      <c r="N955" s="39" t="s">
        <v>883</v>
      </c>
      <c r="R955" s="39" t="s">
        <v>832</v>
      </c>
      <c r="S955" s="39" t="s">
        <v>833</v>
      </c>
      <c r="T955" s="39" t="s">
        <v>884</v>
      </c>
      <c r="U955" s="39" t="s">
        <v>883</v>
      </c>
      <c r="W955" s="39" t="s">
        <v>101</v>
      </c>
      <c r="X955" s="39" t="s">
        <v>896</v>
      </c>
      <c r="Z955" s="39" t="s">
        <v>876</v>
      </c>
      <c r="AB955" s="39">
        <v>0.25</v>
      </c>
      <c r="AC955" s="39">
        <v>12.0</v>
      </c>
      <c r="AD955" s="39">
        <v>0.0</v>
      </c>
    </row>
    <row r="956">
      <c r="A956" s="39" t="s">
        <v>1596</v>
      </c>
      <c r="B956" s="39" t="s">
        <v>1614</v>
      </c>
      <c r="C956" s="39">
        <v>0.5</v>
      </c>
      <c r="D956" s="41">
        <v>44103.0</v>
      </c>
      <c r="E956" s="39" t="s">
        <v>872</v>
      </c>
      <c r="F956" s="39" t="s">
        <v>724</v>
      </c>
      <c r="G956" s="39" t="s">
        <v>830</v>
      </c>
      <c r="H956" s="39">
        <v>920.0</v>
      </c>
      <c r="N956" s="39" t="s">
        <v>1051</v>
      </c>
      <c r="R956" s="39" t="s">
        <v>832</v>
      </c>
      <c r="S956" s="39" t="s">
        <v>1052</v>
      </c>
      <c r="T956" s="39" t="s">
        <v>1053</v>
      </c>
      <c r="U956" s="39" t="s">
        <v>1051</v>
      </c>
      <c r="X956" s="39" t="s">
        <v>1615</v>
      </c>
      <c r="Y956" s="39" t="s">
        <v>1131</v>
      </c>
      <c r="Z956" s="39" t="s">
        <v>872</v>
      </c>
      <c r="AB956" s="39">
        <v>0.5</v>
      </c>
      <c r="AD956" s="39">
        <v>0.5</v>
      </c>
    </row>
    <row r="957">
      <c r="A957" s="39" t="s">
        <v>1216</v>
      </c>
      <c r="B957" s="39" t="s">
        <v>1217</v>
      </c>
      <c r="C957" s="39">
        <v>0.25</v>
      </c>
      <c r="D957" s="41">
        <v>44103.0</v>
      </c>
      <c r="E957" s="39" t="s">
        <v>872</v>
      </c>
      <c r="F957" s="39" t="s">
        <v>724</v>
      </c>
      <c r="G957" s="39" t="s">
        <v>830</v>
      </c>
      <c r="H957" s="39">
        <v>920.0</v>
      </c>
      <c r="N957" s="39" t="s">
        <v>883</v>
      </c>
      <c r="R957" s="39" t="s">
        <v>832</v>
      </c>
      <c r="S957" s="39" t="s">
        <v>833</v>
      </c>
      <c r="T957" s="39" t="s">
        <v>884</v>
      </c>
      <c r="U957" s="39" t="s">
        <v>883</v>
      </c>
      <c r="W957" s="39" t="s">
        <v>253</v>
      </c>
      <c r="X957" s="39" t="s">
        <v>1218</v>
      </c>
      <c r="Z957" s="39" t="s">
        <v>872</v>
      </c>
      <c r="AB957" s="39">
        <v>0.25</v>
      </c>
      <c r="AC957" s="39">
        <v>4.0</v>
      </c>
      <c r="AD957" s="39">
        <v>0.0</v>
      </c>
    </row>
    <row r="958">
      <c r="A958" s="39" t="s">
        <v>894</v>
      </c>
      <c r="B958" s="39" t="s">
        <v>895</v>
      </c>
      <c r="C958" s="39">
        <v>0.25</v>
      </c>
      <c r="D958" s="41">
        <v>44103.0</v>
      </c>
      <c r="E958" s="39" t="s">
        <v>872</v>
      </c>
      <c r="F958" s="39" t="s">
        <v>724</v>
      </c>
      <c r="G958" s="39" t="s">
        <v>830</v>
      </c>
      <c r="H958" s="39">
        <v>920.0</v>
      </c>
      <c r="N958" s="39" t="s">
        <v>883</v>
      </c>
      <c r="R958" s="39" t="s">
        <v>832</v>
      </c>
      <c r="S958" s="39" t="s">
        <v>833</v>
      </c>
      <c r="T958" s="39" t="s">
        <v>884</v>
      </c>
      <c r="U958" s="39" t="s">
        <v>883</v>
      </c>
      <c r="W958" s="39" t="s">
        <v>101</v>
      </c>
      <c r="X958" s="39" t="s">
        <v>896</v>
      </c>
      <c r="Z958" s="39" t="s">
        <v>876</v>
      </c>
      <c r="AB958" s="39">
        <v>0.25</v>
      </c>
      <c r="AC958" s="39">
        <v>12.0</v>
      </c>
      <c r="AD958" s="39">
        <v>0.0</v>
      </c>
    </row>
    <row r="959">
      <c r="A959" s="39" t="s">
        <v>1593</v>
      </c>
      <c r="B959" s="39" t="s">
        <v>1594</v>
      </c>
      <c r="C959" s="39">
        <v>1.0</v>
      </c>
      <c r="D959" s="41">
        <v>44103.0</v>
      </c>
      <c r="E959" s="39" t="s">
        <v>872</v>
      </c>
      <c r="F959" s="39" t="s">
        <v>724</v>
      </c>
      <c r="G959" s="39" t="s">
        <v>830</v>
      </c>
      <c r="H959" s="39">
        <v>920.0</v>
      </c>
      <c r="N959" s="39" t="s">
        <v>1051</v>
      </c>
      <c r="R959" s="39" t="s">
        <v>957</v>
      </c>
      <c r="S959" s="39" t="s">
        <v>1052</v>
      </c>
      <c r="T959" s="39" t="s">
        <v>1053</v>
      </c>
      <c r="U959" s="39" t="s">
        <v>1051</v>
      </c>
      <c r="X959" s="39" t="s">
        <v>1595</v>
      </c>
      <c r="Y959" s="39" t="s">
        <v>1596</v>
      </c>
      <c r="Z959" s="39" t="s">
        <v>872</v>
      </c>
      <c r="AB959" s="39">
        <v>1.0</v>
      </c>
    </row>
    <row r="960">
      <c r="A960" s="39" t="s">
        <v>1578</v>
      </c>
      <c r="B960" s="39" t="s">
        <v>1579</v>
      </c>
      <c r="C960" s="39">
        <v>0.5</v>
      </c>
      <c r="D960" s="41">
        <v>44103.0</v>
      </c>
      <c r="E960" s="39" t="s">
        <v>872</v>
      </c>
      <c r="F960" s="39" t="s">
        <v>724</v>
      </c>
      <c r="G960" s="39" t="s">
        <v>830</v>
      </c>
      <c r="H960" s="39">
        <v>920.0</v>
      </c>
      <c r="N960" s="39" t="s">
        <v>1051</v>
      </c>
      <c r="R960" s="39" t="s">
        <v>832</v>
      </c>
      <c r="S960" s="39" t="s">
        <v>889</v>
      </c>
      <c r="T960" s="39" t="s">
        <v>1053</v>
      </c>
      <c r="U960" s="39" t="s">
        <v>1051</v>
      </c>
      <c r="X960" s="39" t="s">
        <v>1580</v>
      </c>
      <c r="Y960" s="39" t="s">
        <v>1131</v>
      </c>
      <c r="Z960" s="39" t="s">
        <v>872</v>
      </c>
      <c r="AB960" s="39">
        <v>0.5</v>
      </c>
    </row>
    <row r="961">
      <c r="A961" s="39" t="s">
        <v>1638</v>
      </c>
      <c r="B961" s="39" t="s">
        <v>1639</v>
      </c>
      <c r="C961" s="39">
        <v>7.0</v>
      </c>
      <c r="D961" s="41">
        <v>44103.0</v>
      </c>
      <c r="E961" s="39" t="s">
        <v>1059</v>
      </c>
      <c r="F961" s="39" t="s">
        <v>1060</v>
      </c>
      <c r="G961" s="39" t="s">
        <v>1050</v>
      </c>
      <c r="H961" s="39">
        <v>920.0</v>
      </c>
      <c r="N961" s="39" t="s">
        <v>1051</v>
      </c>
      <c r="R961" s="39" t="s">
        <v>957</v>
      </c>
      <c r="S961" s="39" t="s">
        <v>1052</v>
      </c>
      <c r="T961" s="39" t="s">
        <v>1053</v>
      </c>
      <c r="U961" s="39" t="s">
        <v>1051</v>
      </c>
      <c r="X961" s="39" t="s">
        <v>1654</v>
      </c>
      <c r="Y961" s="39" t="s">
        <v>1634</v>
      </c>
      <c r="Z961" s="39" t="s">
        <v>872</v>
      </c>
      <c r="AB961" s="39">
        <v>7.0</v>
      </c>
    </row>
    <row r="962">
      <c r="A962" s="39" t="s">
        <v>930</v>
      </c>
      <c r="B962" s="39" t="s">
        <v>931</v>
      </c>
      <c r="C962" s="39">
        <v>0.75</v>
      </c>
      <c r="D962" s="41">
        <v>44103.354166666664</v>
      </c>
      <c r="E962" s="39" t="s">
        <v>1600</v>
      </c>
      <c r="F962" s="39" t="s">
        <v>1601</v>
      </c>
      <c r="G962" s="39" t="s">
        <v>830</v>
      </c>
      <c r="H962" s="39">
        <v>920.0</v>
      </c>
      <c r="N962" s="39" t="s">
        <v>883</v>
      </c>
      <c r="R962" s="39" t="s">
        <v>832</v>
      </c>
      <c r="S962" s="39" t="s">
        <v>833</v>
      </c>
      <c r="T962" s="39" t="s">
        <v>884</v>
      </c>
      <c r="U962" s="39" t="s">
        <v>883</v>
      </c>
      <c r="W962" s="39" t="s">
        <v>164</v>
      </c>
      <c r="X962" s="39" t="s">
        <v>1655</v>
      </c>
      <c r="Z962" s="39" t="s">
        <v>847</v>
      </c>
      <c r="AB962" s="39">
        <v>0.75</v>
      </c>
      <c r="AC962" s="39">
        <v>6.0</v>
      </c>
      <c r="AD962" s="39">
        <v>0.0</v>
      </c>
    </row>
    <row r="963">
      <c r="A963" s="39" t="s">
        <v>1534</v>
      </c>
      <c r="B963" s="39" t="s">
        <v>1535</v>
      </c>
      <c r="C963" s="39">
        <v>0.75</v>
      </c>
      <c r="D963" s="41">
        <v>44103.416666666664</v>
      </c>
      <c r="E963" s="39" t="s">
        <v>828</v>
      </c>
      <c r="F963" s="39" t="s">
        <v>829</v>
      </c>
      <c r="G963" s="39" t="s">
        <v>830</v>
      </c>
      <c r="H963" s="39">
        <v>920.0</v>
      </c>
      <c r="N963" s="39" t="s">
        <v>883</v>
      </c>
      <c r="R963" s="39" t="s">
        <v>832</v>
      </c>
      <c r="S963" s="39" t="s">
        <v>833</v>
      </c>
      <c r="T963" s="39" t="s">
        <v>884</v>
      </c>
      <c r="U963" s="39" t="s">
        <v>883</v>
      </c>
      <c r="W963" s="39" t="s">
        <v>904</v>
      </c>
      <c r="X963" s="39" t="s">
        <v>1536</v>
      </c>
      <c r="Z963" s="39" t="s">
        <v>837</v>
      </c>
      <c r="AB963" s="39">
        <v>0.75</v>
      </c>
      <c r="AC963" s="39">
        <v>8.0</v>
      </c>
      <c r="AD963" s="39">
        <v>0.0</v>
      </c>
    </row>
    <row r="964">
      <c r="A964" s="39" t="s">
        <v>1534</v>
      </c>
      <c r="B964" s="39" t="s">
        <v>1535</v>
      </c>
      <c r="C964" s="39">
        <v>0.75</v>
      </c>
      <c r="D964" s="41">
        <v>44103.46875</v>
      </c>
      <c r="E964" s="39" t="s">
        <v>1600</v>
      </c>
      <c r="F964" s="39" t="s">
        <v>1601</v>
      </c>
      <c r="G964" s="39" t="s">
        <v>830</v>
      </c>
      <c r="H964" s="39">
        <v>920.0</v>
      </c>
      <c r="N964" s="39" t="s">
        <v>883</v>
      </c>
      <c r="R964" s="39" t="s">
        <v>832</v>
      </c>
      <c r="S964" s="39" t="s">
        <v>833</v>
      </c>
      <c r="T964" s="39" t="s">
        <v>884</v>
      </c>
      <c r="U964" s="39" t="s">
        <v>883</v>
      </c>
      <c r="W964" s="39" t="s">
        <v>904</v>
      </c>
      <c r="X964" s="39" t="s">
        <v>1656</v>
      </c>
      <c r="Z964" s="39" t="s">
        <v>837</v>
      </c>
      <c r="AB964" s="39">
        <v>0.75</v>
      </c>
      <c r="AC964" s="39">
        <v>8.0</v>
      </c>
      <c r="AD964" s="39">
        <v>0.0</v>
      </c>
    </row>
    <row r="965">
      <c r="A965" s="39" t="s">
        <v>930</v>
      </c>
      <c r="B965" s="39" t="s">
        <v>931</v>
      </c>
      <c r="C965" s="39">
        <v>0.5</v>
      </c>
      <c r="D965" s="41">
        <v>44103.5</v>
      </c>
      <c r="E965" s="39" t="s">
        <v>1600</v>
      </c>
      <c r="F965" s="39" t="s">
        <v>1601</v>
      </c>
      <c r="G965" s="39" t="s">
        <v>830</v>
      </c>
      <c r="H965" s="39">
        <v>920.0</v>
      </c>
      <c r="N965" s="39" t="s">
        <v>883</v>
      </c>
      <c r="R965" s="39" t="s">
        <v>832</v>
      </c>
      <c r="S965" s="39" t="s">
        <v>833</v>
      </c>
      <c r="T965" s="39" t="s">
        <v>884</v>
      </c>
      <c r="U965" s="39" t="s">
        <v>883</v>
      </c>
      <c r="W965" s="39" t="s">
        <v>164</v>
      </c>
      <c r="X965" s="39" t="s">
        <v>1657</v>
      </c>
      <c r="Z965" s="39" t="s">
        <v>847</v>
      </c>
      <c r="AB965" s="39">
        <v>0.5</v>
      </c>
      <c r="AC965" s="39">
        <v>6.0</v>
      </c>
      <c r="AD965" s="39">
        <v>0.0</v>
      </c>
    </row>
    <row r="966">
      <c r="A966" s="39" t="s">
        <v>1437</v>
      </c>
      <c r="B966" s="39" t="s">
        <v>1438</v>
      </c>
      <c r="C966" s="39">
        <v>0.5</v>
      </c>
      <c r="D966" s="41">
        <v>44103.541666666664</v>
      </c>
      <c r="E966" s="39" t="s">
        <v>828</v>
      </c>
      <c r="F966" s="39" t="s">
        <v>829</v>
      </c>
      <c r="G966" s="39" t="s">
        <v>830</v>
      </c>
      <c r="H966" s="39">
        <v>920.0</v>
      </c>
      <c r="N966" s="39" t="s">
        <v>938</v>
      </c>
      <c r="R966" s="39" t="s">
        <v>957</v>
      </c>
      <c r="S966" s="39" t="s">
        <v>966</v>
      </c>
      <c r="T966" s="39" t="s">
        <v>741</v>
      </c>
      <c r="U966" s="39" t="s">
        <v>938</v>
      </c>
      <c r="X966" s="39" t="s">
        <v>1609</v>
      </c>
      <c r="Y966" s="39" t="s">
        <v>1042</v>
      </c>
      <c r="Z966" s="39" t="s">
        <v>1153</v>
      </c>
      <c r="AB966" s="39">
        <v>0.5</v>
      </c>
    </row>
    <row r="967">
      <c r="A967" s="39" t="s">
        <v>1511</v>
      </c>
      <c r="B967" s="39" t="s">
        <v>1512</v>
      </c>
      <c r="C967" s="39">
        <v>4.0</v>
      </c>
      <c r="D967" s="41">
        <v>44103.541666666664</v>
      </c>
      <c r="E967" s="39" t="s">
        <v>1291</v>
      </c>
      <c r="F967" s="39" t="s">
        <v>1292</v>
      </c>
      <c r="G967" s="39" t="s">
        <v>1050</v>
      </c>
      <c r="H967" s="39">
        <v>920.0</v>
      </c>
      <c r="N967" s="39" t="s">
        <v>938</v>
      </c>
      <c r="R967" s="39" t="s">
        <v>832</v>
      </c>
      <c r="S967" s="39" t="s">
        <v>939</v>
      </c>
      <c r="T967" s="39" t="s">
        <v>741</v>
      </c>
      <c r="U967" s="39" t="s">
        <v>938</v>
      </c>
      <c r="X967" s="39" t="s">
        <v>1513</v>
      </c>
      <c r="Y967" s="39" t="s">
        <v>1514</v>
      </c>
      <c r="Z967" s="39" t="s">
        <v>828</v>
      </c>
      <c r="AB967" s="39">
        <v>4.0</v>
      </c>
      <c r="AD967" s="39">
        <v>0.25</v>
      </c>
    </row>
    <row r="968">
      <c r="A968" s="39" t="s">
        <v>1283</v>
      </c>
      <c r="B968" s="39" t="s">
        <v>1284</v>
      </c>
      <c r="C968" s="39">
        <v>1.0</v>
      </c>
      <c r="D968" s="41">
        <v>44103.5625</v>
      </c>
      <c r="E968" s="39" t="s">
        <v>828</v>
      </c>
      <c r="F968" s="39" t="s">
        <v>829</v>
      </c>
      <c r="G968" s="39" t="s">
        <v>830</v>
      </c>
      <c r="H968" s="39">
        <v>920.0</v>
      </c>
      <c r="N968" s="39" t="s">
        <v>938</v>
      </c>
      <c r="R968" s="39" t="s">
        <v>832</v>
      </c>
      <c r="S968" s="39" t="s">
        <v>966</v>
      </c>
      <c r="T968" s="39" t="s">
        <v>741</v>
      </c>
      <c r="U968" s="39" t="s">
        <v>938</v>
      </c>
      <c r="X968" s="39" t="s">
        <v>1609</v>
      </c>
      <c r="Y968" s="39" t="s">
        <v>1115</v>
      </c>
      <c r="Z968" s="39" t="s">
        <v>872</v>
      </c>
      <c r="AB968" s="39">
        <v>1.0</v>
      </c>
    </row>
    <row r="969">
      <c r="A969" s="39" t="s">
        <v>1518</v>
      </c>
      <c r="B969" s="39" t="s">
        <v>1519</v>
      </c>
      <c r="C969" s="39">
        <v>0.75</v>
      </c>
      <c r="D969" s="41">
        <v>44103.604166666664</v>
      </c>
      <c r="E969" s="39" t="s">
        <v>828</v>
      </c>
      <c r="F969" s="39" t="s">
        <v>829</v>
      </c>
      <c r="G969" s="39" t="s">
        <v>830</v>
      </c>
      <c r="H969" s="39">
        <v>920.0</v>
      </c>
      <c r="N969" s="39" t="s">
        <v>883</v>
      </c>
      <c r="R969" s="39" t="s">
        <v>832</v>
      </c>
      <c r="S969" s="39" t="s">
        <v>833</v>
      </c>
      <c r="T969" s="39" t="s">
        <v>884</v>
      </c>
      <c r="U969" s="39" t="s">
        <v>883</v>
      </c>
      <c r="W969" s="39" t="s">
        <v>904</v>
      </c>
      <c r="X969" s="39" t="s">
        <v>1520</v>
      </c>
      <c r="Z969" s="39" t="s">
        <v>847</v>
      </c>
      <c r="AB969" s="39">
        <v>0.75</v>
      </c>
      <c r="AC969" s="39">
        <v>2.0</v>
      </c>
      <c r="AD969" s="39">
        <v>0.0</v>
      </c>
    </row>
    <row r="970">
      <c r="A970" s="39" t="s">
        <v>1518</v>
      </c>
      <c r="B970" s="39" t="s">
        <v>1519</v>
      </c>
      <c r="C970" s="39">
        <v>1.5</v>
      </c>
      <c r="D970" s="41">
        <v>44103.604166666664</v>
      </c>
      <c r="E970" s="39" t="s">
        <v>1600</v>
      </c>
      <c r="F970" s="39" t="s">
        <v>1601</v>
      </c>
      <c r="G970" s="39" t="s">
        <v>830</v>
      </c>
      <c r="H970" s="39">
        <v>920.0</v>
      </c>
      <c r="N970" s="39" t="s">
        <v>883</v>
      </c>
      <c r="R970" s="39" t="s">
        <v>832</v>
      </c>
      <c r="S970" s="39" t="s">
        <v>833</v>
      </c>
      <c r="T970" s="39" t="s">
        <v>884</v>
      </c>
      <c r="U970" s="39" t="s">
        <v>883</v>
      </c>
      <c r="W970" s="39" t="s">
        <v>904</v>
      </c>
      <c r="X970" s="39" t="s">
        <v>1658</v>
      </c>
      <c r="Z970" s="39" t="s">
        <v>847</v>
      </c>
      <c r="AB970" s="39">
        <v>1.5</v>
      </c>
      <c r="AC970" s="39">
        <v>2.0</v>
      </c>
      <c r="AD970" s="39">
        <v>0.0</v>
      </c>
    </row>
    <row r="971">
      <c r="A971" s="39" t="s">
        <v>894</v>
      </c>
      <c r="B971" s="39" t="s">
        <v>895</v>
      </c>
      <c r="C971" s="39">
        <v>1.25</v>
      </c>
      <c r="D971" s="41">
        <v>44103.635416666664</v>
      </c>
      <c r="E971" s="39" t="s">
        <v>828</v>
      </c>
      <c r="F971" s="39" t="s">
        <v>829</v>
      </c>
      <c r="G971" s="39" t="s">
        <v>830</v>
      </c>
      <c r="H971" s="39">
        <v>920.0</v>
      </c>
      <c r="N971" s="39" t="s">
        <v>883</v>
      </c>
      <c r="R971" s="39" t="s">
        <v>832</v>
      </c>
      <c r="S971" s="39" t="s">
        <v>833</v>
      </c>
      <c r="T971" s="39" t="s">
        <v>884</v>
      </c>
      <c r="U971" s="39" t="s">
        <v>883</v>
      </c>
      <c r="W971" s="39" t="s">
        <v>101</v>
      </c>
      <c r="X971" s="39" t="s">
        <v>896</v>
      </c>
      <c r="Z971" s="39" t="s">
        <v>876</v>
      </c>
      <c r="AB971" s="39">
        <v>1.25</v>
      </c>
      <c r="AC971" s="39">
        <v>12.0</v>
      </c>
      <c r="AD971" s="39">
        <v>0.0</v>
      </c>
    </row>
    <row r="972">
      <c r="A972" s="39" t="s">
        <v>1207</v>
      </c>
      <c r="B972" s="39" t="s">
        <v>1252</v>
      </c>
      <c r="C972" s="39">
        <v>0.5</v>
      </c>
      <c r="D972" s="41">
        <v>44104.0</v>
      </c>
      <c r="E972" s="39" t="s">
        <v>872</v>
      </c>
      <c r="F972" s="39" t="s">
        <v>724</v>
      </c>
      <c r="G972" s="39" t="s">
        <v>830</v>
      </c>
      <c r="H972" s="39">
        <v>920.0</v>
      </c>
      <c r="N972" s="39" t="s">
        <v>1051</v>
      </c>
      <c r="R972" s="39" t="s">
        <v>72</v>
      </c>
      <c r="S972" s="39" t="s">
        <v>889</v>
      </c>
      <c r="T972" s="39" t="s">
        <v>1053</v>
      </c>
      <c r="U972" s="39" t="s">
        <v>1051</v>
      </c>
      <c r="X972" s="39" t="s">
        <v>1253</v>
      </c>
      <c r="Z972" s="39" t="s">
        <v>872</v>
      </c>
      <c r="AB972" s="39">
        <v>0.5</v>
      </c>
    </row>
    <row r="973">
      <c r="A973" s="39" t="s">
        <v>1593</v>
      </c>
      <c r="B973" s="39" t="s">
        <v>1594</v>
      </c>
      <c r="C973" s="39">
        <v>0.5</v>
      </c>
      <c r="D973" s="41">
        <v>44104.0</v>
      </c>
      <c r="E973" s="39" t="s">
        <v>872</v>
      </c>
      <c r="F973" s="39" t="s">
        <v>724</v>
      </c>
      <c r="G973" s="39" t="s">
        <v>830</v>
      </c>
      <c r="H973" s="39">
        <v>920.0</v>
      </c>
      <c r="N973" s="39" t="s">
        <v>1051</v>
      </c>
      <c r="R973" s="39" t="s">
        <v>957</v>
      </c>
      <c r="S973" s="39" t="s">
        <v>1052</v>
      </c>
      <c r="T973" s="39" t="s">
        <v>1053</v>
      </c>
      <c r="U973" s="39" t="s">
        <v>1051</v>
      </c>
      <c r="X973" s="39" t="s">
        <v>1595</v>
      </c>
      <c r="Y973" s="39" t="s">
        <v>1596</v>
      </c>
      <c r="Z973" s="39" t="s">
        <v>872</v>
      </c>
      <c r="AB973" s="39">
        <v>0.5</v>
      </c>
    </row>
    <row r="974">
      <c r="A974" s="39" t="s">
        <v>1514</v>
      </c>
      <c r="B974" s="39" t="s">
        <v>1659</v>
      </c>
      <c r="C974" s="39">
        <v>1.0</v>
      </c>
      <c r="D974" s="41">
        <v>44104.0</v>
      </c>
      <c r="E974" s="39" t="s">
        <v>872</v>
      </c>
      <c r="F974" s="39" t="s">
        <v>724</v>
      </c>
      <c r="G974" s="39" t="s">
        <v>830</v>
      </c>
      <c r="H974" s="39">
        <v>920.0</v>
      </c>
      <c r="N974" s="39" t="s">
        <v>938</v>
      </c>
      <c r="R974" s="39" t="s">
        <v>72</v>
      </c>
      <c r="S974" s="39" t="s">
        <v>939</v>
      </c>
      <c r="T974" s="39" t="s">
        <v>741</v>
      </c>
      <c r="U974" s="39" t="s">
        <v>938</v>
      </c>
      <c r="X974" s="39" t="s">
        <v>1660</v>
      </c>
      <c r="Z974" s="39" t="s">
        <v>872</v>
      </c>
      <c r="AB974" s="39">
        <v>1.0</v>
      </c>
    </row>
    <row r="975">
      <c r="A975" s="39" t="s">
        <v>1581</v>
      </c>
      <c r="B975" s="39" t="s">
        <v>1582</v>
      </c>
      <c r="C975" s="39">
        <v>0.25</v>
      </c>
      <c r="D975" s="41">
        <v>44104.0</v>
      </c>
      <c r="E975" s="39" t="s">
        <v>872</v>
      </c>
      <c r="F975" s="39" t="s">
        <v>724</v>
      </c>
      <c r="G975" s="39" t="s">
        <v>830</v>
      </c>
      <c r="H975" s="39">
        <v>920.0</v>
      </c>
      <c r="N975" s="39" t="s">
        <v>1583</v>
      </c>
      <c r="R975" s="39" t="s">
        <v>1584</v>
      </c>
      <c r="S975" s="39" t="s">
        <v>1052</v>
      </c>
      <c r="T975" s="39" t="s">
        <v>1585</v>
      </c>
      <c r="U975" s="39" t="s">
        <v>1583</v>
      </c>
      <c r="X975" s="39" t="s">
        <v>1586</v>
      </c>
      <c r="Z975" s="39" t="s">
        <v>872</v>
      </c>
      <c r="AB975" s="39">
        <v>0.25</v>
      </c>
    </row>
    <row r="976">
      <c r="A976" s="39" t="s">
        <v>1593</v>
      </c>
      <c r="B976" s="39" t="s">
        <v>1594</v>
      </c>
      <c r="C976" s="39">
        <v>7.0</v>
      </c>
      <c r="D976" s="41">
        <v>44104.0</v>
      </c>
      <c r="E976" s="39" t="s">
        <v>1059</v>
      </c>
      <c r="F976" s="39" t="s">
        <v>1060</v>
      </c>
      <c r="G976" s="39" t="s">
        <v>1050</v>
      </c>
      <c r="H976" s="39">
        <v>920.0</v>
      </c>
      <c r="N976" s="39" t="s">
        <v>1051</v>
      </c>
      <c r="R976" s="39" t="s">
        <v>957</v>
      </c>
      <c r="S976" s="39" t="s">
        <v>1052</v>
      </c>
      <c r="T976" s="39" t="s">
        <v>1053</v>
      </c>
      <c r="U976" s="39" t="s">
        <v>1051</v>
      </c>
      <c r="X976" s="39" t="s">
        <v>1661</v>
      </c>
      <c r="Y976" s="39" t="s">
        <v>1596</v>
      </c>
      <c r="Z976" s="39" t="s">
        <v>872</v>
      </c>
      <c r="AB976" s="39">
        <v>7.0</v>
      </c>
    </row>
    <row r="977">
      <c r="A977" s="39" t="s">
        <v>1518</v>
      </c>
      <c r="B977" s="39" t="s">
        <v>1519</v>
      </c>
      <c r="C977" s="39">
        <v>0.5</v>
      </c>
      <c r="D977" s="41">
        <v>44104.333333333336</v>
      </c>
      <c r="E977" s="39" t="s">
        <v>1600</v>
      </c>
      <c r="F977" s="39" t="s">
        <v>1601</v>
      </c>
      <c r="G977" s="39" t="s">
        <v>830</v>
      </c>
      <c r="H977" s="39">
        <v>920.0</v>
      </c>
      <c r="N977" s="39" t="s">
        <v>883</v>
      </c>
      <c r="R977" s="39" t="s">
        <v>832</v>
      </c>
      <c r="S977" s="39" t="s">
        <v>833</v>
      </c>
      <c r="T977" s="39" t="s">
        <v>884</v>
      </c>
      <c r="U977" s="39" t="s">
        <v>883</v>
      </c>
      <c r="W977" s="39" t="s">
        <v>904</v>
      </c>
      <c r="X977" s="39" t="s">
        <v>1662</v>
      </c>
      <c r="Z977" s="39" t="s">
        <v>847</v>
      </c>
      <c r="AB977" s="39">
        <v>0.5</v>
      </c>
      <c r="AC977" s="39">
        <v>2.0</v>
      </c>
      <c r="AD977" s="39">
        <v>0.0</v>
      </c>
    </row>
    <row r="978">
      <c r="A978" s="39" t="s">
        <v>894</v>
      </c>
      <c r="B978" s="39" t="s">
        <v>895</v>
      </c>
      <c r="C978" s="39">
        <v>1.75</v>
      </c>
      <c r="D978" s="41">
        <v>44104.354166666664</v>
      </c>
      <c r="E978" s="39" t="s">
        <v>828</v>
      </c>
      <c r="F978" s="39" t="s">
        <v>829</v>
      </c>
      <c r="G978" s="39" t="s">
        <v>830</v>
      </c>
      <c r="H978" s="39">
        <v>920.0</v>
      </c>
      <c r="N978" s="39" t="s">
        <v>883</v>
      </c>
      <c r="R978" s="39" t="s">
        <v>832</v>
      </c>
      <c r="S978" s="39" t="s">
        <v>833</v>
      </c>
      <c r="T978" s="39" t="s">
        <v>884</v>
      </c>
      <c r="U978" s="39" t="s">
        <v>883</v>
      </c>
      <c r="W978" s="39" t="s">
        <v>101</v>
      </c>
      <c r="X978" s="39" t="s">
        <v>896</v>
      </c>
      <c r="Z978" s="39" t="s">
        <v>876</v>
      </c>
      <c r="AB978" s="39">
        <v>1.75</v>
      </c>
      <c r="AC978" s="39">
        <v>12.0</v>
      </c>
      <c r="AD978" s="39">
        <v>0.0</v>
      </c>
    </row>
    <row r="979">
      <c r="A979" s="39" t="s">
        <v>1534</v>
      </c>
      <c r="B979" s="39" t="s">
        <v>1535</v>
      </c>
      <c r="C979" s="39">
        <v>4.0</v>
      </c>
      <c r="D979" s="41">
        <v>44104.354166666664</v>
      </c>
      <c r="E979" s="39" t="s">
        <v>1600</v>
      </c>
      <c r="F979" s="39" t="s">
        <v>1601</v>
      </c>
      <c r="G979" s="39" t="s">
        <v>830</v>
      </c>
      <c r="H979" s="39">
        <v>920.0</v>
      </c>
      <c r="N979" s="39" t="s">
        <v>883</v>
      </c>
      <c r="R979" s="39" t="s">
        <v>832</v>
      </c>
      <c r="S979" s="39" t="s">
        <v>833</v>
      </c>
      <c r="T979" s="39" t="s">
        <v>884</v>
      </c>
      <c r="U979" s="39" t="s">
        <v>883</v>
      </c>
      <c r="W979" s="39" t="s">
        <v>904</v>
      </c>
      <c r="X979" s="39" t="s">
        <v>1663</v>
      </c>
      <c r="Z979" s="39" t="s">
        <v>837</v>
      </c>
      <c r="AB979" s="39">
        <v>4.0</v>
      </c>
      <c r="AC979" s="39">
        <v>8.0</v>
      </c>
      <c r="AD979" s="39">
        <v>0.0</v>
      </c>
    </row>
    <row r="980">
      <c r="A980" s="39" t="s">
        <v>894</v>
      </c>
      <c r="B980" s="39" t="s">
        <v>895</v>
      </c>
      <c r="C980" s="39">
        <v>1.5</v>
      </c>
      <c r="D980" s="41">
        <v>44104.447916666664</v>
      </c>
      <c r="E980" s="39" t="s">
        <v>828</v>
      </c>
      <c r="F980" s="39" t="s">
        <v>829</v>
      </c>
      <c r="G980" s="39" t="s">
        <v>830</v>
      </c>
      <c r="H980" s="39">
        <v>920.0</v>
      </c>
      <c r="N980" s="39" t="s">
        <v>883</v>
      </c>
      <c r="R980" s="39" t="s">
        <v>832</v>
      </c>
      <c r="S980" s="39" t="s">
        <v>833</v>
      </c>
      <c r="T980" s="39" t="s">
        <v>884</v>
      </c>
      <c r="U980" s="39" t="s">
        <v>883</v>
      </c>
      <c r="W980" s="39" t="s">
        <v>101</v>
      </c>
      <c r="X980" s="39" t="s">
        <v>896</v>
      </c>
      <c r="Z980" s="39" t="s">
        <v>876</v>
      </c>
      <c r="AB980" s="39">
        <v>1.5</v>
      </c>
      <c r="AC980" s="39">
        <v>12.0</v>
      </c>
      <c r="AD980" s="39">
        <v>0.0</v>
      </c>
    </row>
    <row r="981">
      <c r="A981" s="39" t="s">
        <v>1518</v>
      </c>
      <c r="B981" s="39" t="s">
        <v>1519</v>
      </c>
      <c r="C981" s="39">
        <v>0.25</v>
      </c>
      <c r="D981" s="41">
        <v>44104.510416666664</v>
      </c>
      <c r="E981" s="39" t="s">
        <v>828</v>
      </c>
      <c r="F981" s="39" t="s">
        <v>829</v>
      </c>
      <c r="G981" s="39" t="s">
        <v>830</v>
      </c>
      <c r="H981" s="39">
        <v>920.0</v>
      </c>
      <c r="N981" s="39" t="s">
        <v>883</v>
      </c>
      <c r="R981" s="39" t="s">
        <v>832</v>
      </c>
      <c r="S981" s="39" t="s">
        <v>833</v>
      </c>
      <c r="T981" s="39" t="s">
        <v>884</v>
      </c>
      <c r="U981" s="39" t="s">
        <v>883</v>
      </c>
      <c r="W981" s="39" t="s">
        <v>904</v>
      </c>
      <c r="X981" s="39" t="s">
        <v>1520</v>
      </c>
      <c r="Z981" s="39" t="s">
        <v>847</v>
      </c>
      <c r="AB981" s="39">
        <v>0.25</v>
      </c>
      <c r="AC981" s="39">
        <v>2.0</v>
      </c>
      <c r="AD981" s="39">
        <v>0.0</v>
      </c>
    </row>
    <row r="982">
      <c r="A982" s="39" t="s">
        <v>1518</v>
      </c>
      <c r="B982" s="39" t="s">
        <v>1519</v>
      </c>
      <c r="C982" s="39">
        <v>0.25</v>
      </c>
      <c r="D982" s="41">
        <v>44104.541666666664</v>
      </c>
      <c r="E982" s="39" t="s">
        <v>828</v>
      </c>
      <c r="F982" s="39" t="s">
        <v>829</v>
      </c>
      <c r="G982" s="39" t="s">
        <v>830</v>
      </c>
      <c r="H982" s="39">
        <v>920.0</v>
      </c>
      <c r="N982" s="39" t="s">
        <v>883</v>
      </c>
      <c r="R982" s="39" t="s">
        <v>832</v>
      </c>
      <c r="S982" s="39" t="s">
        <v>833</v>
      </c>
      <c r="T982" s="39" t="s">
        <v>884</v>
      </c>
      <c r="U982" s="39" t="s">
        <v>883</v>
      </c>
      <c r="W982" s="39" t="s">
        <v>904</v>
      </c>
      <c r="X982" s="39" t="s">
        <v>1520</v>
      </c>
      <c r="Z982" s="39" t="s">
        <v>847</v>
      </c>
      <c r="AB982" s="39">
        <v>0.25</v>
      </c>
      <c r="AC982" s="39">
        <v>2.0</v>
      </c>
      <c r="AD982" s="39">
        <v>0.0</v>
      </c>
    </row>
    <row r="983">
      <c r="A983" s="39" t="s">
        <v>1283</v>
      </c>
      <c r="B983" s="39" t="s">
        <v>1284</v>
      </c>
      <c r="C983" s="39">
        <v>4.0</v>
      </c>
      <c r="D983" s="41">
        <v>44104.541666666664</v>
      </c>
      <c r="E983" s="39" t="s">
        <v>1291</v>
      </c>
      <c r="F983" s="39" t="s">
        <v>1292</v>
      </c>
      <c r="G983" s="39" t="s">
        <v>1050</v>
      </c>
      <c r="H983" s="39">
        <v>920.0</v>
      </c>
      <c r="N983" s="39" t="s">
        <v>938</v>
      </c>
      <c r="R983" s="39" t="s">
        <v>832</v>
      </c>
      <c r="S983" s="39" t="s">
        <v>966</v>
      </c>
      <c r="T983" s="39" t="s">
        <v>741</v>
      </c>
      <c r="U983" s="39" t="s">
        <v>938</v>
      </c>
      <c r="X983" s="39" t="s">
        <v>1285</v>
      </c>
      <c r="Y983" s="39" t="s">
        <v>1115</v>
      </c>
      <c r="Z983" s="39" t="s">
        <v>872</v>
      </c>
      <c r="AB983" s="39">
        <v>4.0</v>
      </c>
    </row>
    <row r="984">
      <c r="A984" s="39" t="s">
        <v>1534</v>
      </c>
      <c r="B984" s="39" t="s">
        <v>1535</v>
      </c>
      <c r="C984" s="39">
        <v>0.75</v>
      </c>
      <c r="D984" s="41">
        <v>44104.541666666664</v>
      </c>
      <c r="E984" s="39" t="s">
        <v>1600</v>
      </c>
      <c r="F984" s="39" t="s">
        <v>1601</v>
      </c>
      <c r="G984" s="39" t="s">
        <v>830</v>
      </c>
      <c r="H984" s="39">
        <v>920.0</v>
      </c>
      <c r="N984" s="39" t="s">
        <v>883</v>
      </c>
      <c r="R984" s="39" t="s">
        <v>832</v>
      </c>
      <c r="S984" s="39" t="s">
        <v>833</v>
      </c>
      <c r="T984" s="39" t="s">
        <v>884</v>
      </c>
      <c r="U984" s="39" t="s">
        <v>883</v>
      </c>
      <c r="W984" s="39" t="s">
        <v>904</v>
      </c>
      <c r="X984" s="39" t="s">
        <v>1664</v>
      </c>
      <c r="Z984" s="39" t="s">
        <v>837</v>
      </c>
      <c r="AB984" s="39">
        <v>0.75</v>
      </c>
      <c r="AC984" s="39">
        <v>8.0</v>
      </c>
      <c r="AD984" s="39">
        <v>0.0</v>
      </c>
    </row>
    <row r="985">
      <c r="A985" s="39" t="s">
        <v>930</v>
      </c>
      <c r="B985" s="39" t="s">
        <v>931</v>
      </c>
      <c r="C985" s="39">
        <v>0.5</v>
      </c>
      <c r="D985" s="41">
        <v>44104.552083333336</v>
      </c>
      <c r="E985" s="39" t="s">
        <v>828</v>
      </c>
      <c r="F985" s="39" t="s">
        <v>829</v>
      </c>
      <c r="G985" s="39" t="s">
        <v>830</v>
      </c>
      <c r="H985" s="39">
        <v>920.0</v>
      </c>
      <c r="N985" s="39" t="s">
        <v>883</v>
      </c>
      <c r="R985" s="39" t="s">
        <v>832</v>
      </c>
      <c r="S985" s="39" t="s">
        <v>833</v>
      </c>
      <c r="T985" s="39" t="s">
        <v>884</v>
      </c>
      <c r="U985" s="39" t="s">
        <v>883</v>
      </c>
      <c r="W985" s="39" t="s">
        <v>164</v>
      </c>
      <c r="X985" s="39" t="s">
        <v>1609</v>
      </c>
      <c r="Z985" s="39" t="s">
        <v>847</v>
      </c>
      <c r="AB985" s="39">
        <v>0.5</v>
      </c>
      <c r="AC985" s="39">
        <v>6.0</v>
      </c>
      <c r="AD985" s="39">
        <v>0.0</v>
      </c>
    </row>
    <row r="986">
      <c r="A986" s="39" t="s">
        <v>1559</v>
      </c>
      <c r="B986" s="39" t="s">
        <v>1560</v>
      </c>
      <c r="C986" s="39">
        <v>0.5</v>
      </c>
      <c r="D986" s="41">
        <v>44104.572916666664</v>
      </c>
      <c r="E986" s="39" t="s">
        <v>828</v>
      </c>
      <c r="F986" s="39" t="s">
        <v>829</v>
      </c>
      <c r="G986" s="39" t="s">
        <v>830</v>
      </c>
      <c r="H986" s="39">
        <v>920.0</v>
      </c>
      <c r="N986" s="39" t="s">
        <v>938</v>
      </c>
      <c r="R986" s="39" t="s">
        <v>832</v>
      </c>
      <c r="S986" s="39" t="s">
        <v>939</v>
      </c>
      <c r="T986" s="39" t="s">
        <v>741</v>
      </c>
      <c r="U986" s="39" t="s">
        <v>938</v>
      </c>
      <c r="X986" s="39" t="s">
        <v>1609</v>
      </c>
      <c r="Y986" s="39" t="s">
        <v>1074</v>
      </c>
      <c r="Z986" s="39" t="s">
        <v>828</v>
      </c>
      <c r="AB986" s="39">
        <v>0.5</v>
      </c>
    </row>
    <row r="987">
      <c r="A987" s="39" t="s">
        <v>1518</v>
      </c>
      <c r="B987" s="39" t="s">
        <v>1519</v>
      </c>
      <c r="C987" s="39">
        <v>0.75</v>
      </c>
      <c r="D987" s="41">
        <v>44104.572916666664</v>
      </c>
      <c r="E987" s="39" t="s">
        <v>1600</v>
      </c>
      <c r="F987" s="39" t="s">
        <v>1601</v>
      </c>
      <c r="G987" s="39" t="s">
        <v>830</v>
      </c>
      <c r="H987" s="39">
        <v>920.0</v>
      </c>
      <c r="N987" s="39" t="s">
        <v>883</v>
      </c>
      <c r="R987" s="39" t="s">
        <v>832</v>
      </c>
      <c r="S987" s="39" t="s">
        <v>833</v>
      </c>
      <c r="T987" s="39" t="s">
        <v>884</v>
      </c>
      <c r="U987" s="39" t="s">
        <v>883</v>
      </c>
      <c r="W987" s="39" t="s">
        <v>904</v>
      </c>
      <c r="X987" s="39" t="s">
        <v>1665</v>
      </c>
      <c r="Z987" s="39" t="s">
        <v>847</v>
      </c>
      <c r="AB987" s="39">
        <v>0.75</v>
      </c>
      <c r="AC987" s="39">
        <v>2.0</v>
      </c>
      <c r="AD987" s="39">
        <v>0.0</v>
      </c>
    </row>
    <row r="988">
      <c r="A988" s="39" t="s">
        <v>1498</v>
      </c>
      <c r="B988" s="39" t="s">
        <v>1499</v>
      </c>
      <c r="C988" s="39">
        <v>2.25</v>
      </c>
      <c r="D988" s="41">
        <v>44104.604166666664</v>
      </c>
      <c r="E988" s="39" t="s">
        <v>828</v>
      </c>
      <c r="F988" s="39" t="s">
        <v>829</v>
      </c>
      <c r="G988" s="39" t="s">
        <v>830</v>
      </c>
      <c r="H988" s="39">
        <v>920.0</v>
      </c>
      <c r="N988" s="39" t="s">
        <v>883</v>
      </c>
      <c r="R988" s="39" t="s">
        <v>832</v>
      </c>
      <c r="S988" s="39" t="s">
        <v>833</v>
      </c>
      <c r="T988" s="39" t="s">
        <v>884</v>
      </c>
      <c r="U988" s="39" t="s">
        <v>883</v>
      </c>
      <c r="W988" s="39" t="s">
        <v>835</v>
      </c>
      <c r="X988" s="39" t="s">
        <v>1500</v>
      </c>
      <c r="Z988" s="39" t="s">
        <v>876</v>
      </c>
      <c r="AB988" s="39">
        <v>2.25</v>
      </c>
      <c r="AC988" s="39">
        <v>8.0</v>
      </c>
      <c r="AD988" s="39">
        <v>0.0</v>
      </c>
    </row>
    <row r="989">
      <c r="A989" s="39" t="s">
        <v>1534</v>
      </c>
      <c r="B989" s="39" t="s">
        <v>1535</v>
      </c>
      <c r="C989" s="39">
        <v>2.0</v>
      </c>
      <c r="D989" s="41">
        <v>44104.604166666664</v>
      </c>
      <c r="E989" s="39" t="s">
        <v>1600</v>
      </c>
      <c r="F989" s="39" t="s">
        <v>1601</v>
      </c>
      <c r="G989" s="39" t="s">
        <v>830</v>
      </c>
      <c r="H989" s="39">
        <v>920.0</v>
      </c>
      <c r="N989" s="39" t="s">
        <v>883</v>
      </c>
      <c r="R989" s="39" t="s">
        <v>832</v>
      </c>
      <c r="S989" s="39" t="s">
        <v>833</v>
      </c>
      <c r="T989" s="39" t="s">
        <v>884</v>
      </c>
      <c r="U989" s="39" t="s">
        <v>883</v>
      </c>
      <c r="W989" s="39" t="s">
        <v>904</v>
      </c>
      <c r="X989" s="39" t="s">
        <v>1666</v>
      </c>
      <c r="Z989" s="39" t="s">
        <v>837</v>
      </c>
      <c r="AB989" s="39">
        <v>2.0</v>
      </c>
      <c r="AC989" s="39">
        <v>8.0</v>
      </c>
      <c r="AD989" s="39">
        <v>0.0</v>
      </c>
    </row>
    <row r="990">
      <c r="A990" s="39" t="s">
        <v>1593</v>
      </c>
      <c r="B990" s="39" t="s">
        <v>1594</v>
      </c>
      <c r="C990" s="39">
        <v>0.5</v>
      </c>
      <c r="D990" s="41">
        <v>44105.0</v>
      </c>
      <c r="E990" s="39" t="s">
        <v>872</v>
      </c>
      <c r="F990" s="39" t="s">
        <v>724</v>
      </c>
      <c r="G990" s="39" t="s">
        <v>830</v>
      </c>
      <c r="H990" s="39">
        <v>1020.0</v>
      </c>
      <c r="N990" s="39" t="s">
        <v>1051</v>
      </c>
      <c r="R990" s="39" t="s">
        <v>957</v>
      </c>
      <c r="S990" s="39" t="s">
        <v>1052</v>
      </c>
      <c r="T990" s="39" t="s">
        <v>1053</v>
      </c>
      <c r="U990" s="39" t="s">
        <v>1051</v>
      </c>
      <c r="X990" s="39" t="s">
        <v>1595</v>
      </c>
      <c r="Y990" s="39" t="s">
        <v>1596</v>
      </c>
      <c r="Z990" s="39" t="s">
        <v>872</v>
      </c>
      <c r="AB990" s="39">
        <v>0.5</v>
      </c>
    </row>
    <row r="991">
      <c r="A991" s="39" t="s">
        <v>1593</v>
      </c>
      <c r="B991" s="39" t="s">
        <v>1594</v>
      </c>
      <c r="C991" s="39">
        <v>7.0</v>
      </c>
      <c r="D991" s="41">
        <v>44105.0</v>
      </c>
      <c r="E991" s="39" t="s">
        <v>1059</v>
      </c>
      <c r="F991" s="39" t="s">
        <v>1060</v>
      </c>
      <c r="G991" s="39" t="s">
        <v>1050</v>
      </c>
      <c r="H991" s="39">
        <v>1020.0</v>
      </c>
      <c r="N991" s="39" t="s">
        <v>1051</v>
      </c>
      <c r="R991" s="39" t="s">
        <v>957</v>
      </c>
      <c r="S991" s="39" t="s">
        <v>1052</v>
      </c>
      <c r="T991" s="39" t="s">
        <v>1053</v>
      </c>
      <c r="U991" s="39" t="s">
        <v>1051</v>
      </c>
      <c r="X991" s="39" t="s">
        <v>1667</v>
      </c>
      <c r="Y991" s="39" t="s">
        <v>1596</v>
      </c>
      <c r="Z991" s="39" t="s">
        <v>872</v>
      </c>
      <c r="AB991" s="39">
        <v>7.0</v>
      </c>
    </row>
    <row r="992">
      <c r="A992" s="39" t="s">
        <v>1668</v>
      </c>
      <c r="B992" s="39" t="s">
        <v>1669</v>
      </c>
      <c r="C992" s="39">
        <v>0.25</v>
      </c>
      <c r="D992" s="41">
        <v>44105.05486111111</v>
      </c>
      <c r="E992" s="39" t="s">
        <v>872</v>
      </c>
      <c r="F992" s="39" t="s">
        <v>724</v>
      </c>
      <c r="G992" s="39" t="s">
        <v>830</v>
      </c>
      <c r="H992" s="39">
        <v>1020.0</v>
      </c>
      <c r="N992" s="39" t="s">
        <v>1051</v>
      </c>
      <c r="R992" s="39" t="s">
        <v>832</v>
      </c>
      <c r="S992" s="39" t="s">
        <v>842</v>
      </c>
      <c r="T992" s="39" t="s">
        <v>1053</v>
      </c>
      <c r="U992" s="39" t="s">
        <v>1051</v>
      </c>
      <c r="X992" s="39" t="s">
        <v>1670</v>
      </c>
      <c r="Y992" s="39" t="s">
        <v>1671</v>
      </c>
      <c r="Z992" s="39" t="s">
        <v>872</v>
      </c>
      <c r="AB992" s="39">
        <v>0.25</v>
      </c>
      <c r="AD992" s="39">
        <v>0.75</v>
      </c>
    </row>
    <row r="993">
      <c r="A993" s="39" t="s">
        <v>930</v>
      </c>
      <c r="B993" s="39" t="s">
        <v>931</v>
      </c>
      <c r="C993" s="39">
        <v>1.0</v>
      </c>
      <c r="D993" s="41">
        <v>44105.333333333336</v>
      </c>
      <c r="E993" s="39" t="s">
        <v>1600</v>
      </c>
      <c r="F993" s="39" t="s">
        <v>1601</v>
      </c>
      <c r="G993" s="39" t="s">
        <v>830</v>
      </c>
      <c r="H993" s="39">
        <v>1020.0</v>
      </c>
      <c r="N993" s="39" t="s">
        <v>883</v>
      </c>
      <c r="R993" s="39" t="s">
        <v>832</v>
      </c>
      <c r="S993" s="39" t="s">
        <v>833</v>
      </c>
      <c r="T993" s="39" t="s">
        <v>884</v>
      </c>
      <c r="U993" s="39" t="s">
        <v>883</v>
      </c>
      <c r="W993" s="39" t="s">
        <v>164</v>
      </c>
      <c r="X993" s="39" t="s">
        <v>1672</v>
      </c>
      <c r="Z993" s="39" t="s">
        <v>847</v>
      </c>
      <c r="AB993" s="39">
        <v>1.0</v>
      </c>
      <c r="AC993" s="39">
        <v>6.0</v>
      </c>
      <c r="AD993" s="39">
        <v>0.0</v>
      </c>
    </row>
    <row r="994">
      <c r="A994" s="39" t="s">
        <v>1498</v>
      </c>
      <c r="B994" s="39" t="s">
        <v>1499</v>
      </c>
      <c r="C994" s="39">
        <v>1.5</v>
      </c>
      <c r="D994" s="41">
        <v>44105.354166666664</v>
      </c>
      <c r="E994" s="39" t="s">
        <v>828</v>
      </c>
      <c r="F994" s="39" t="s">
        <v>829</v>
      </c>
      <c r="G994" s="39" t="s">
        <v>830</v>
      </c>
      <c r="H994" s="39">
        <v>1020.0</v>
      </c>
      <c r="N994" s="39" t="s">
        <v>883</v>
      </c>
      <c r="R994" s="39" t="s">
        <v>832</v>
      </c>
      <c r="S994" s="39" t="s">
        <v>833</v>
      </c>
      <c r="T994" s="39" t="s">
        <v>884</v>
      </c>
      <c r="U994" s="39" t="s">
        <v>883</v>
      </c>
      <c r="W994" s="39" t="s">
        <v>835</v>
      </c>
      <c r="X994" s="39" t="s">
        <v>1500</v>
      </c>
      <c r="Z994" s="39" t="s">
        <v>876</v>
      </c>
      <c r="AB994" s="39">
        <v>1.5</v>
      </c>
      <c r="AC994" s="39">
        <v>8.0</v>
      </c>
      <c r="AD994" s="39">
        <v>0.0</v>
      </c>
    </row>
    <row r="995">
      <c r="A995" s="39" t="s">
        <v>894</v>
      </c>
      <c r="B995" s="39" t="s">
        <v>895</v>
      </c>
      <c r="C995" s="39">
        <v>0.75</v>
      </c>
      <c r="D995" s="41">
        <v>44105.416666666664</v>
      </c>
      <c r="E995" s="39" t="s">
        <v>828</v>
      </c>
      <c r="F995" s="39" t="s">
        <v>829</v>
      </c>
      <c r="G995" s="39" t="s">
        <v>830</v>
      </c>
      <c r="H995" s="39">
        <v>1020.0</v>
      </c>
      <c r="N995" s="39" t="s">
        <v>883</v>
      </c>
      <c r="R995" s="39" t="s">
        <v>832</v>
      </c>
      <c r="S995" s="39" t="s">
        <v>833</v>
      </c>
      <c r="T995" s="39" t="s">
        <v>884</v>
      </c>
      <c r="U995" s="39" t="s">
        <v>883</v>
      </c>
      <c r="W995" s="39" t="s">
        <v>101</v>
      </c>
      <c r="X995" s="39" t="s">
        <v>1673</v>
      </c>
      <c r="Z995" s="39" t="s">
        <v>876</v>
      </c>
      <c r="AB995" s="39">
        <v>0.75</v>
      </c>
      <c r="AC995" s="39">
        <v>12.0</v>
      </c>
      <c r="AD995" s="39">
        <v>0.0</v>
      </c>
    </row>
    <row r="996">
      <c r="A996" s="39" t="s">
        <v>1581</v>
      </c>
      <c r="B996" s="39" t="s">
        <v>1582</v>
      </c>
      <c r="C996" s="39">
        <v>1.0</v>
      </c>
      <c r="D996" s="41">
        <v>44105.447916666664</v>
      </c>
      <c r="E996" s="39" t="s">
        <v>828</v>
      </c>
      <c r="F996" s="39" t="s">
        <v>829</v>
      </c>
      <c r="G996" s="39" t="s">
        <v>830</v>
      </c>
      <c r="H996" s="39">
        <v>1020.0</v>
      </c>
      <c r="N996" s="39" t="s">
        <v>1583</v>
      </c>
      <c r="R996" s="39" t="s">
        <v>1584</v>
      </c>
      <c r="S996" s="39" t="s">
        <v>1052</v>
      </c>
      <c r="T996" s="39" t="s">
        <v>1585</v>
      </c>
      <c r="U996" s="39" t="s">
        <v>1583</v>
      </c>
      <c r="X996" s="39" t="s">
        <v>1586</v>
      </c>
      <c r="Z996" s="39" t="s">
        <v>872</v>
      </c>
      <c r="AB996" s="39">
        <v>1.0</v>
      </c>
    </row>
    <row r="997">
      <c r="A997" s="39" t="s">
        <v>1283</v>
      </c>
      <c r="B997" s="39" t="s">
        <v>1284</v>
      </c>
      <c r="C997" s="39">
        <v>1.0</v>
      </c>
      <c r="D997" s="41">
        <v>44105.552083333336</v>
      </c>
      <c r="E997" s="39" t="s">
        <v>828</v>
      </c>
      <c r="F997" s="39" t="s">
        <v>829</v>
      </c>
      <c r="G997" s="39" t="s">
        <v>830</v>
      </c>
      <c r="H997" s="39">
        <v>1020.0</v>
      </c>
      <c r="N997" s="39" t="s">
        <v>938</v>
      </c>
      <c r="R997" s="39" t="s">
        <v>832</v>
      </c>
      <c r="S997" s="39" t="s">
        <v>966</v>
      </c>
      <c r="T997" s="39" t="s">
        <v>741</v>
      </c>
      <c r="U997" s="39" t="s">
        <v>938</v>
      </c>
      <c r="X997" s="39" t="s">
        <v>1609</v>
      </c>
      <c r="Y997" s="39" t="s">
        <v>1115</v>
      </c>
      <c r="Z997" s="39" t="s">
        <v>872</v>
      </c>
      <c r="AB997" s="39">
        <v>1.0</v>
      </c>
    </row>
    <row r="998">
      <c r="A998" s="39" t="s">
        <v>1511</v>
      </c>
      <c r="B998" s="39" t="s">
        <v>1512</v>
      </c>
      <c r="C998" s="39">
        <v>1.0</v>
      </c>
      <c r="D998" s="41">
        <v>44105.666666666664</v>
      </c>
      <c r="E998" s="39" t="s">
        <v>1291</v>
      </c>
      <c r="F998" s="39" t="s">
        <v>1292</v>
      </c>
      <c r="G998" s="39" t="s">
        <v>1050</v>
      </c>
      <c r="H998" s="39">
        <v>1020.0</v>
      </c>
      <c r="N998" s="39" t="s">
        <v>938</v>
      </c>
      <c r="R998" s="39" t="s">
        <v>832</v>
      </c>
      <c r="S998" s="39" t="s">
        <v>939</v>
      </c>
      <c r="T998" s="39" t="s">
        <v>741</v>
      </c>
      <c r="U998" s="39" t="s">
        <v>938</v>
      </c>
      <c r="X998" s="39" t="s">
        <v>1513</v>
      </c>
      <c r="Y998" s="39" t="s">
        <v>1514</v>
      </c>
      <c r="Z998" s="39" t="s">
        <v>828</v>
      </c>
      <c r="AB998" s="39">
        <v>1.0</v>
      </c>
      <c r="AD998" s="39">
        <v>0.25</v>
      </c>
    </row>
    <row r="999">
      <c r="A999" s="39" t="s">
        <v>1498</v>
      </c>
      <c r="B999" s="39" t="s">
        <v>1499</v>
      </c>
      <c r="C999" s="39">
        <v>0.25</v>
      </c>
      <c r="D999" s="41">
        <v>44105.697916666664</v>
      </c>
      <c r="E999" s="39" t="s">
        <v>828</v>
      </c>
      <c r="F999" s="39" t="s">
        <v>829</v>
      </c>
      <c r="G999" s="39" t="s">
        <v>830</v>
      </c>
      <c r="H999" s="39">
        <v>1020.0</v>
      </c>
      <c r="N999" s="39" t="s">
        <v>883</v>
      </c>
      <c r="R999" s="39" t="s">
        <v>832</v>
      </c>
      <c r="S999" s="39" t="s">
        <v>833</v>
      </c>
      <c r="T999" s="39" t="s">
        <v>884</v>
      </c>
      <c r="U999" s="39" t="s">
        <v>883</v>
      </c>
      <c r="W999" s="39" t="s">
        <v>835</v>
      </c>
      <c r="X999" s="39" t="s">
        <v>1500</v>
      </c>
      <c r="Z999" s="39" t="s">
        <v>876</v>
      </c>
      <c r="AB999" s="39">
        <v>0.25</v>
      </c>
      <c r="AC999" s="39">
        <v>8.0</v>
      </c>
      <c r="AD999" s="39">
        <v>0.0</v>
      </c>
    </row>
    <row r="1000">
      <c r="A1000" s="39" t="s">
        <v>1593</v>
      </c>
      <c r="B1000" s="39" t="s">
        <v>1594</v>
      </c>
      <c r="C1000" s="39">
        <v>0.25</v>
      </c>
      <c r="D1000" s="41">
        <v>44106.0</v>
      </c>
      <c r="E1000" s="39" t="s">
        <v>872</v>
      </c>
      <c r="F1000" s="39" t="s">
        <v>724</v>
      </c>
      <c r="G1000" s="39" t="s">
        <v>830</v>
      </c>
      <c r="H1000" s="39">
        <v>1020.0</v>
      </c>
      <c r="N1000" s="39" t="s">
        <v>1051</v>
      </c>
      <c r="R1000" s="39" t="s">
        <v>957</v>
      </c>
      <c r="S1000" s="39" t="s">
        <v>1052</v>
      </c>
      <c r="T1000" s="39" t="s">
        <v>1053</v>
      </c>
      <c r="U1000" s="39" t="s">
        <v>1051</v>
      </c>
      <c r="X1000" s="39" t="s">
        <v>1595</v>
      </c>
      <c r="Y1000" s="39" t="s">
        <v>1596</v>
      </c>
      <c r="Z1000" s="39" t="s">
        <v>872</v>
      </c>
      <c r="AB1000" s="39">
        <v>0.25</v>
      </c>
    </row>
    <row r="1001">
      <c r="A1001" s="39" t="s">
        <v>1581</v>
      </c>
      <c r="B1001" s="39" t="s">
        <v>1582</v>
      </c>
      <c r="C1001" s="39">
        <v>0.25</v>
      </c>
      <c r="D1001" s="41">
        <v>44106.0</v>
      </c>
      <c r="E1001" s="39" t="s">
        <v>872</v>
      </c>
      <c r="F1001" s="39" t="s">
        <v>724</v>
      </c>
      <c r="G1001" s="39" t="s">
        <v>830</v>
      </c>
      <c r="H1001" s="39">
        <v>1020.0</v>
      </c>
      <c r="N1001" s="39" t="s">
        <v>1583</v>
      </c>
      <c r="R1001" s="39" t="s">
        <v>1584</v>
      </c>
      <c r="S1001" s="39" t="s">
        <v>1052</v>
      </c>
      <c r="T1001" s="39" t="s">
        <v>1585</v>
      </c>
      <c r="U1001" s="39" t="s">
        <v>1583</v>
      </c>
      <c r="X1001" s="39" t="s">
        <v>1586</v>
      </c>
      <c r="Z1001" s="39" t="s">
        <v>872</v>
      </c>
      <c r="AB1001" s="39">
        <v>0.25</v>
      </c>
    </row>
    <row r="1002">
      <c r="A1002" s="39" t="s">
        <v>1593</v>
      </c>
      <c r="B1002" s="39" t="s">
        <v>1594</v>
      </c>
      <c r="C1002" s="39">
        <v>0.5</v>
      </c>
      <c r="D1002" s="41">
        <v>44106.0</v>
      </c>
      <c r="E1002" s="39" t="s">
        <v>872</v>
      </c>
      <c r="F1002" s="39" t="s">
        <v>724</v>
      </c>
      <c r="G1002" s="39" t="s">
        <v>830</v>
      </c>
      <c r="H1002" s="39">
        <v>1020.0</v>
      </c>
      <c r="N1002" s="39" t="s">
        <v>1051</v>
      </c>
      <c r="R1002" s="39" t="s">
        <v>957</v>
      </c>
      <c r="S1002" s="39" t="s">
        <v>1052</v>
      </c>
      <c r="T1002" s="39" t="s">
        <v>1053</v>
      </c>
      <c r="U1002" s="39" t="s">
        <v>1051</v>
      </c>
      <c r="X1002" s="39" t="s">
        <v>1595</v>
      </c>
      <c r="Y1002" s="39" t="s">
        <v>1596</v>
      </c>
      <c r="Z1002" s="39" t="s">
        <v>872</v>
      </c>
      <c r="AB1002" s="39">
        <v>0.5</v>
      </c>
    </row>
    <row r="1003">
      <c r="A1003" s="39" t="s">
        <v>1593</v>
      </c>
      <c r="B1003" s="39" t="s">
        <v>1594</v>
      </c>
      <c r="C1003" s="39">
        <v>7.0</v>
      </c>
      <c r="D1003" s="41">
        <v>44106.0</v>
      </c>
      <c r="E1003" s="39" t="s">
        <v>1059</v>
      </c>
      <c r="F1003" s="39" t="s">
        <v>1060</v>
      </c>
      <c r="G1003" s="39" t="s">
        <v>1050</v>
      </c>
      <c r="H1003" s="39">
        <v>1020.0</v>
      </c>
      <c r="N1003" s="39" t="s">
        <v>1051</v>
      </c>
      <c r="R1003" s="39" t="s">
        <v>957</v>
      </c>
      <c r="S1003" s="39" t="s">
        <v>1052</v>
      </c>
      <c r="T1003" s="39" t="s">
        <v>1053</v>
      </c>
      <c r="U1003" s="39" t="s">
        <v>1051</v>
      </c>
      <c r="X1003" s="39" t="s">
        <v>1674</v>
      </c>
      <c r="Y1003" s="39" t="s">
        <v>1596</v>
      </c>
      <c r="Z1003" s="39" t="s">
        <v>872</v>
      </c>
      <c r="AB1003" s="39">
        <v>7.0</v>
      </c>
    </row>
    <row r="1004">
      <c r="A1004" s="39" t="s">
        <v>930</v>
      </c>
      <c r="B1004" s="39" t="s">
        <v>931</v>
      </c>
      <c r="C1004" s="39">
        <v>0.25</v>
      </c>
      <c r="D1004" s="41">
        <v>44106.354166666664</v>
      </c>
      <c r="E1004" s="39" t="s">
        <v>828</v>
      </c>
      <c r="F1004" s="39" t="s">
        <v>829</v>
      </c>
      <c r="G1004" s="39" t="s">
        <v>830</v>
      </c>
      <c r="H1004" s="39">
        <v>1020.0</v>
      </c>
      <c r="N1004" s="39" t="s">
        <v>883</v>
      </c>
      <c r="R1004" s="39" t="s">
        <v>832</v>
      </c>
      <c r="S1004" s="39" t="s">
        <v>833</v>
      </c>
      <c r="T1004" s="39" t="s">
        <v>884</v>
      </c>
      <c r="U1004" s="39" t="s">
        <v>883</v>
      </c>
      <c r="W1004" s="39" t="s">
        <v>164</v>
      </c>
      <c r="X1004" s="39" t="s">
        <v>1675</v>
      </c>
      <c r="Z1004" s="39" t="s">
        <v>847</v>
      </c>
      <c r="AB1004" s="39">
        <v>0.25</v>
      </c>
      <c r="AC1004" s="39">
        <v>6.0</v>
      </c>
      <c r="AD1004" s="39">
        <v>0.0</v>
      </c>
    </row>
    <row r="1005">
      <c r="A1005" s="39" t="s">
        <v>930</v>
      </c>
      <c r="B1005" s="39" t="s">
        <v>931</v>
      </c>
      <c r="C1005" s="39">
        <v>3.75</v>
      </c>
      <c r="D1005" s="41">
        <v>44106.375</v>
      </c>
      <c r="E1005" s="39" t="s">
        <v>1600</v>
      </c>
      <c r="F1005" s="39" t="s">
        <v>1601</v>
      </c>
      <c r="G1005" s="39" t="s">
        <v>830</v>
      </c>
      <c r="H1005" s="39">
        <v>1020.0</v>
      </c>
      <c r="N1005" s="39" t="s">
        <v>883</v>
      </c>
      <c r="R1005" s="39" t="s">
        <v>832</v>
      </c>
      <c r="S1005" s="39" t="s">
        <v>833</v>
      </c>
      <c r="T1005" s="39" t="s">
        <v>884</v>
      </c>
      <c r="U1005" s="39" t="s">
        <v>883</v>
      </c>
      <c r="W1005" s="39" t="s">
        <v>164</v>
      </c>
      <c r="X1005" s="39" t="s">
        <v>1676</v>
      </c>
      <c r="Z1005" s="39" t="s">
        <v>847</v>
      </c>
      <c r="AB1005" s="39">
        <v>3.75</v>
      </c>
      <c r="AC1005" s="39">
        <v>6.0</v>
      </c>
      <c r="AD1005" s="39">
        <v>0.0</v>
      </c>
    </row>
    <row r="1006">
      <c r="A1006" s="39" t="s">
        <v>1498</v>
      </c>
      <c r="B1006" s="39" t="s">
        <v>1499</v>
      </c>
      <c r="C1006" s="39">
        <v>2.75</v>
      </c>
      <c r="D1006" s="41">
        <v>44106.395833333336</v>
      </c>
      <c r="E1006" s="39" t="s">
        <v>828</v>
      </c>
      <c r="F1006" s="39" t="s">
        <v>829</v>
      </c>
      <c r="G1006" s="39" t="s">
        <v>830</v>
      </c>
      <c r="H1006" s="39">
        <v>1020.0</v>
      </c>
      <c r="N1006" s="39" t="s">
        <v>883</v>
      </c>
      <c r="R1006" s="39" t="s">
        <v>832</v>
      </c>
      <c r="S1006" s="39" t="s">
        <v>833</v>
      </c>
      <c r="T1006" s="39" t="s">
        <v>884</v>
      </c>
      <c r="U1006" s="39" t="s">
        <v>883</v>
      </c>
      <c r="W1006" s="39" t="s">
        <v>835</v>
      </c>
      <c r="X1006" s="39" t="s">
        <v>1500</v>
      </c>
      <c r="Z1006" s="39" t="s">
        <v>876</v>
      </c>
      <c r="AB1006" s="39">
        <v>2.75</v>
      </c>
      <c r="AC1006" s="39">
        <v>8.0</v>
      </c>
      <c r="AD1006" s="39">
        <v>0.0</v>
      </c>
    </row>
    <row r="1007">
      <c r="A1007" s="39" t="s">
        <v>1603</v>
      </c>
      <c r="B1007" s="39" t="s">
        <v>1604</v>
      </c>
      <c r="C1007" s="39">
        <v>0.5</v>
      </c>
      <c r="D1007" s="41">
        <v>44106.45138888889</v>
      </c>
      <c r="E1007" s="39" t="s">
        <v>1153</v>
      </c>
      <c r="F1007" s="39" t="s">
        <v>1154</v>
      </c>
      <c r="G1007" s="39" t="s">
        <v>830</v>
      </c>
      <c r="H1007" s="39">
        <v>1020.0</v>
      </c>
      <c r="N1007" s="39" t="s">
        <v>1051</v>
      </c>
      <c r="R1007" s="39" t="s">
        <v>832</v>
      </c>
      <c r="S1007" s="39" t="s">
        <v>889</v>
      </c>
      <c r="T1007" s="39" t="s">
        <v>1053</v>
      </c>
      <c r="U1007" s="39" t="s">
        <v>1051</v>
      </c>
      <c r="X1007" s="39" t="s">
        <v>1677</v>
      </c>
      <c r="Y1007" s="39" t="s">
        <v>1256</v>
      </c>
      <c r="Z1007" s="39" t="s">
        <v>872</v>
      </c>
      <c r="AB1007" s="39">
        <v>0.5</v>
      </c>
    </row>
    <row r="1008">
      <c r="A1008" s="39" t="s">
        <v>1498</v>
      </c>
      <c r="B1008" s="39" t="s">
        <v>1499</v>
      </c>
      <c r="C1008" s="39">
        <v>0.5</v>
      </c>
      <c r="D1008" s="41">
        <v>44106.53125</v>
      </c>
      <c r="E1008" s="39" t="s">
        <v>828</v>
      </c>
      <c r="F1008" s="39" t="s">
        <v>829</v>
      </c>
      <c r="G1008" s="39" t="s">
        <v>830</v>
      </c>
      <c r="H1008" s="39">
        <v>1020.0</v>
      </c>
      <c r="N1008" s="39" t="s">
        <v>883</v>
      </c>
      <c r="R1008" s="39" t="s">
        <v>832</v>
      </c>
      <c r="S1008" s="39" t="s">
        <v>833</v>
      </c>
      <c r="T1008" s="39" t="s">
        <v>884</v>
      </c>
      <c r="U1008" s="39" t="s">
        <v>883</v>
      </c>
      <c r="W1008" s="39" t="s">
        <v>835</v>
      </c>
      <c r="X1008" s="39" t="s">
        <v>1500</v>
      </c>
      <c r="Z1008" s="39" t="s">
        <v>876</v>
      </c>
      <c r="AB1008" s="39">
        <v>0.5</v>
      </c>
      <c r="AC1008" s="39">
        <v>8.0</v>
      </c>
      <c r="AD1008" s="39">
        <v>0.0</v>
      </c>
    </row>
    <row r="1009">
      <c r="A1009" s="39" t="s">
        <v>930</v>
      </c>
      <c r="B1009" s="39" t="s">
        <v>931</v>
      </c>
      <c r="C1009" s="39">
        <v>0.5</v>
      </c>
      <c r="D1009" s="41">
        <v>44106.552083333336</v>
      </c>
      <c r="E1009" s="39" t="s">
        <v>1600</v>
      </c>
      <c r="F1009" s="39" t="s">
        <v>1601</v>
      </c>
      <c r="G1009" s="39" t="s">
        <v>830</v>
      </c>
      <c r="H1009" s="39">
        <v>1020.0</v>
      </c>
      <c r="N1009" s="39" t="s">
        <v>883</v>
      </c>
      <c r="R1009" s="39" t="s">
        <v>832</v>
      </c>
      <c r="S1009" s="39" t="s">
        <v>833</v>
      </c>
      <c r="T1009" s="39" t="s">
        <v>884</v>
      </c>
      <c r="U1009" s="39" t="s">
        <v>883</v>
      </c>
      <c r="W1009" s="39" t="s">
        <v>164</v>
      </c>
      <c r="X1009" s="39" t="s">
        <v>1678</v>
      </c>
      <c r="Z1009" s="39" t="s">
        <v>847</v>
      </c>
      <c r="AB1009" s="39">
        <v>0.5</v>
      </c>
      <c r="AC1009" s="39">
        <v>6.0</v>
      </c>
      <c r="AD1009" s="39">
        <v>0.0</v>
      </c>
    </row>
    <row r="1010">
      <c r="A1010" s="39" t="s">
        <v>1283</v>
      </c>
      <c r="B1010" s="39" t="s">
        <v>1284</v>
      </c>
      <c r="C1010" s="39">
        <v>0.75</v>
      </c>
      <c r="D1010" s="41">
        <v>44106.5625</v>
      </c>
      <c r="E1010" s="39" t="s">
        <v>828</v>
      </c>
      <c r="F1010" s="39" t="s">
        <v>829</v>
      </c>
      <c r="G1010" s="39" t="s">
        <v>830</v>
      </c>
      <c r="H1010" s="39">
        <v>1020.0</v>
      </c>
      <c r="N1010" s="39" t="s">
        <v>938</v>
      </c>
      <c r="R1010" s="39" t="s">
        <v>832</v>
      </c>
      <c r="S1010" s="39" t="s">
        <v>966</v>
      </c>
      <c r="T1010" s="39" t="s">
        <v>741</v>
      </c>
      <c r="U1010" s="39" t="s">
        <v>938</v>
      </c>
      <c r="X1010" s="39" t="s">
        <v>1609</v>
      </c>
      <c r="Y1010" s="39" t="s">
        <v>1115</v>
      </c>
      <c r="Z1010" s="39" t="s">
        <v>872</v>
      </c>
      <c r="AB1010" s="39">
        <v>0.75</v>
      </c>
    </row>
    <row r="1011">
      <c r="A1011" s="39" t="s">
        <v>1534</v>
      </c>
      <c r="B1011" s="39" t="s">
        <v>1535</v>
      </c>
      <c r="C1011" s="39">
        <v>2.75</v>
      </c>
      <c r="D1011" s="41">
        <v>44106.572916666664</v>
      </c>
      <c r="E1011" s="39" t="s">
        <v>1600</v>
      </c>
      <c r="F1011" s="39" t="s">
        <v>1601</v>
      </c>
      <c r="G1011" s="39" t="s">
        <v>830</v>
      </c>
      <c r="H1011" s="39">
        <v>1020.0</v>
      </c>
      <c r="N1011" s="39" t="s">
        <v>883</v>
      </c>
      <c r="R1011" s="39" t="s">
        <v>832</v>
      </c>
      <c r="S1011" s="39" t="s">
        <v>833</v>
      </c>
      <c r="T1011" s="39" t="s">
        <v>884</v>
      </c>
      <c r="U1011" s="39" t="s">
        <v>883</v>
      </c>
      <c r="W1011" s="39" t="s">
        <v>904</v>
      </c>
      <c r="X1011" s="39" t="s">
        <v>1679</v>
      </c>
      <c r="Z1011" s="39" t="s">
        <v>837</v>
      </c>
      <c r="AB1011" s="39">
        <v>2.75</v>
      </c>
      <c r="AC1011" s="39">
        <v>8.0</v>
      </c>
      <c r="AD1011" s="39">
        <v>0.0</v>
      </c>
    </row>
    <row r="1012">
      <c r="A1012" s="39" t="s">
        <v>930</v>
      </c>
      <c r="B1012" s="39" t="s">
        <v>931</v>
      </c>
      <c r="C1012" s="39">
        <v>0.5</v>
      </c>
      <c r="D1012" s="41">
        <v>44106.59375</v>
      </c>
      <c r="E1012" s="39" t="s">
        <v>828</v>
      </c>
      <c r="F1012" s="39" t="s">
        <v>829</v>
      </c>
      <c r="G1012" s="39" t="s">
        <v>830</v>
      </c>
      <c r="H1012" s="39">
        <v>1020.0</v>
      </c>
      <c r="N1012" s="39" t="s">
        <v>883</v>
      </c>
      <c r="R1012" s="39" t="s">
        <v>832</v>
      </c>
      <c r="S1012" s="39" t="s">
        <v>833</v>
      </c>
      <c r="T1012" s="39" t="s">
        <v>884</v>
      </c>
      <c r="U1012" s="39" t="s">
        <v>883</v>
      </c>
      <c r="W1012" s="39" t="s">
        <v>164</v>
      </c>
      <c r="X1012" s="39" t="s">
        <v>1680</v>
      </c>
      <c r="Z1012" s="39" t="s">
        <v>847</v>
      </c>
      <c r="AB1012" s="39">
        <v>0.5</v>
      </c>
      <c r="AC1012" s="39">
        <v>6.0</v>
      </c>
      <c r="AD1012" s="39">
        <v>0.0</v>
      </c>
    </row>
    <row r="1013">
      <c r="A1013" s="39" t="s">
        <v>1511</v>
      </c>
      <c r="B1013" s="39" t="s">
        <v>1512</v>
      </c>
      <c r="C1013" s="39">
        <v>0.5</v>
      </c>
      <c r="D1013" s="41">
        <v>44106.614583333336</v>
      </c>
      <c r="E1013" s="39" t="s">
        <v>828</v>
      </c>
      <c r="F1013" s="39" t="s">
        <v>829</v>
      </c>
      <c r="G1013" s="39" t="s">
        <v>830</v>
      </c>
      <c r="H1013" s="39">
        <v>1020.0</v>
      </c>
      <c r="N1013" s="39" t="s">
        <v>938</v>
      </c>
      <c r="R1013" s="39" t="s">
        <v>832</v>
      </c>
      <c r="S1013" s="39" t="s">
        <v>939</v>
      </c>
      <c r="T1013" s="39" t="s">
        <v>741</v>
      </c>
      <c r="U1013" s="39" t="s">
        <v>938</v>
      </c>
      <c r="X1013" s="39" t="s">
        <v>1609</v>
      </c>
      <c r="Y1013" s="39" t="s">
        <v>1514</v>
      </c>
      <c r="Z1013" s="39" t="s">
        <v>828</v>
      </c>
      <c r="AB1013" s="39">
        <v>0.5</v>
      </c>
      <c r="AD1013" s="39">
        <v>0.25</v>
      </c>
    </row>
    <row r="1014">
      <c r="A1014" s="39" t="s">
        <v>1631</v>
      </c>
      <c r="B1014" s="39" t="s">
        <v>1632</v>
      </c>
      <c r="C1014" s="39">
        <v>0.25</v>
      </c>
      <c r="D1014" s="41">
        <v>44109.0</v>
      </c>
      <c r="E1014" s="39" t="s">
        <v>872</v>
      </c>
      <c r="F1014" s="39" t="s">
        <v>724</v>
      </c>
      <c r="G1014" s="39" t="s">
        <v>830</v>
      </c>
      <c r="H1014" s="39">
        <v>1020.0</v>
      </c>
      <c r="N1014" s="39" t="s">
        <v>1051</v>
      </c>
      <c r="R1014" s="39" t="s">
        <v>957</v>
      </c>
      <c r="S1014" s="39" t="s">
        <v>1052</v>
      </c>
      <c r="T1014" s="39" t="s">
        <v>1053</v>
      </c>
      <c r="U1014" s="39" t="s">
        <v>1051</v>
      </c>
      <c r="X1014" s="39" t="s">
        <v>1633</v>
      </c>
      <c r="Y1014" s="39" t="s">
        <v>1596</v>
      </c>
      <c r="Z1014" s="39" t="s">
        <v>872</v>
      </c>
      <c r="AB1014" s="39">
        <v>0.25</v>
      </c>
    </row>
    <row r="1015">
      <c r="A1015" s="39" t="s">
        <v>1597</v>
      </c>
      <c r="B1015" s="39" t="s">
        <v>1598</v>
      </c>
      <c r="C1015" s="39">
        <v>0.25</v>
      </c>
      <c r="D1015" s="41">
        <v>44109.0</v>
      </c>
      <c r="E1015" s="39" t="s">
        <v>872</v>
      </c>
      <c r="F1015" s="39" t="s">
        <v>724</v>
      </c>
      <c r="G1015" s="39" t="s">
        <v>830</v>
      </c>
      <c r="H1015" s="39">
        <v>1020.0</v>
      </c>
      <c r="N1015" s="39" t="s">
        <v>1051</v>
      </c>
      <c r="R1015" s="39" t="s">
        <v>957</v>
      </c>
      <c r="S1015" s="39" t="s">
        <v>889</v>
      </c>
      <c r="T1015" s="39" t="s">
        <v>1053</v>
      </c>
      <c r="U1015" s="39" t="s">
        <v>1051</v>
      </c>
      <c r="X1015" s="39" t="s">
        <v>1681</v>
      </c>
      <c r="Y1015" s="39" t="s">
        <v>1405</v>
      </c>
      <c r="Z1015" s="39" t="s">
        <v>1059</v>
      </c>
      <c r="AB1015" s="39">
        <v>0.25</v>
      </c>
    </row>
    <row r="1016">
      <c r="A1016" s="39" t="s">
        <v>1603</v>
      </c>
      <c r="B1016" s="39" t="s">
        <v>1604</v>
      </c>
      <c r="C1016" s="39">
        <v>0.25</v>
      </c>
      <c r="D1016" s="41">
        <v>44109.0</v>
      </c>
      <c r="E1016" s="39" t="s">
        <v>872</v>
      </c>
      <c r="F1016" s="39" t="s">
        <v>724</v>
      </c>
      <c r="G1016" s="39" t="s">
        <v>830</v>
      </c>
      <c r="H1016" s="39">
        <v>1020.0</v>
      </c>
      <c r="N1016" s="39" t="s">
        <v>1051</v>
      </c>
      <c r="R1016" s="39" t="s">
        <v>832</v>
      </c>
      <c r="S1016" s="39" t="s">
        <v>889</v>
      </c>
      <c r="T1016" s="39" t="s">
        <v>1053</v>
      </c>
      <c r="U1016" s="39" t="s">
        <v>1051</v>
      </c>
      <c r="X1016" s="39" t="s">
        <v>1677</v>
      </c>
      <c r="Y1016" s="39" t="s">
        <v>1256</v>
      </c>
      <c r="Z1016" s="39" t="s">
        <v>872</v>
      </c>
      <c r="AB1016" s="39">
        <v>0.25</v>
      </c>
    </row>
    <row r="1017">
      <c r="A1017" s="39" t="s">
        <v>1603</v>
      </c>
      <c r="B1017" s="39" t="s">
        <v>1604</v>
      </c>
      <c r="C1017" s="39">
        <v>3.0</v>
      </c>
      <c r="D1017" s="41">
        <v>44109.0</v>
      </c>
      <c r="E1017" s="39" t="s">
        <v>1048</v>
      </c>
      <c r="F1017" s="39" t="s">
        <v>1049</v>
      </c>
      <c r="G1017" s="39" t="s">
        <v>1050</v>
      </c>
      <c r="H1017" s="39">
        <v>1020.0</v>
      </c>
      <c r="N1017" s="39" t="s">
        <v>1051</v>
      </c>
      <c r="R1017" s="39" t="s">
        <v>832</v>
      </c>
      <c r="S1017" s="39" t="s">
        <v>889</v>
      </c>
      <c r="T1017" s="39" t="s">
        <v>1053</v>
      </c>
      <c r="U1017" s="39" t="s">
        <v>1051</v>
      </c>
      <c r="X1017" s="39" t="s">
        <v>1682</v>
      </c>
      <c r="Y1017" s="39" t="s">
        <v>1256</v>
      </c>
      <c r="Z1017" s="39" t="s">
        <v>872</v>
      </c>
      <c r="AB1017" s="39">
        <v>3.0</v>
      </c>
    </row>
    <row r="1018">
      <c r="A1018" s="39" t="s">
        <v>1288</v>
      </c>
      <c r="B1018" s="39" t="s">
        <v>1289</v>
      </c>
      <c r="C1018" s="39">
        <v>2.0</v>
      </c>
      <c r="D1018" s="41">
        <v>44109.0</v>
      </c>
      <c r="E1018" s="39" t="s">
        <v>1048</v>
      </c>
      <c r="F1018" s="39" t="s">
        <v>1049</v>
      </c>
      <c r="G1018" s="39" t="s">
        <v>1050</v>
      </c>
      <c r="H1018" s="39">
        <v>1020.0</v>
      </c>
      <c r="N1018" s="39" t="s">
        <v>1051</v>
      </c>
      <c r="R1018" s="39" t="s">
        <v>832</v>
      </c>
      <c r="S1018" s="39" t="s">
        <v>1052</v>
      </c>
      <c r="T1018" s="39" t="s">
        <v>1053</v>
      </c>
      <c r="U1018" s="39" t="s">
        <v>1051</v>
      </c>
      <c r="X1018" s="39" t="s">
        <v>1683</v>
      </c>
      <c r="Y1018" s="39" t="s">
        <v>1131</v>
      </c>
      <c r="Z1018" s="39" t="s">
        <v>872</v>
      </c>
      <c r="AB1018" s="39">
        <v>2.0</v>
      </c>
    </row>
    <row r="1019">
      <c r="A1019" s="39" t="s">
        <v>1684</v>
      </c>
      <c r="B1019" s="39" t="s">
        <v>1685</v>
      </c>
      <c r="C1019" s="39">
        <v>1.0</v>
      </c>
      <c r="D1019" s="41">
        <v>44109.0</v>
      </c>
      <c r="E1019" s="39" t="s">
        <v>1048</v>
      </c>
      <c r="F1019" s="39" t="s">
        <v>1049</v>
      </c>
      <c r="G1019" s="39" t="s">
        <v>1050</v>
      </c>
      <c r="H1019" s="39">
        <v>1020.0</v>
      </c>
      <c r="N1019" s="39" t="s">
        <v>1051</v>
      </c>
      <c r="R1019" s="39" t="s">
        <v>957</v>
      </c>
      <c r="S1019" s="39" t="s">
        <v>1052</v>
      </c>
      <c r="T1019" s="39" t="s">
        <v>1053</v>
      </c>
      <c r="U1019" s="39" t="s">
        <v>1051</v>
      </c>
      <c r="X1019" s="39" t="s">
        <v>1686</v>
      </c>
      <c r="Y1019" s="39" t="s">
        <v>1288</v>
      </c>
      <c r="Z1019" s="39" t="s">
        <v>872</v>
      </c>
      <c r="AB1019" s="39">
        <v>1.0</v>
      </c>
    </row>
    <row r="1020">
      <c r="A1020" s="39" t="s">
        <v>1593</v>
      </c>
      <c r="B1020" s="39" t="s">
        <v>1594</v>
      </c>
      <c r="C1020" s="39">
        <v>7.0</v>
      </c>
      <c r="D1020" s="41">
        <v>44109.0</v>
      </c>
      <c r="E1020" s="39" t="s">
        <v>1059</v>
      </c>
      <c r="F1020" s="39" t="s">
        <v>1060</v>
      </c>
      <c r="G1020" s="39" t="s">
        <v>1050</v>
      </c>
      <c r="H1020" s="39">
        <v>1020.0</v>
      </c>
      <c r="N1020" s="39" t="s">
        <v>1051</v>
      </c>
      <c r="R1020" s="39" t="s">
        <v>957</v>
      </c>
      <c r="S1020" s="39" t="s">
        <v>1052</v>
      </c>
      <c r="T1020" s="39" t="s">
        <v>1053</v>
      </c>
      <c r="U1020" s="39" t="s">
        <v>1051</v>
      </c>
      <c r="X1020" s="39" t="s">
        <v>1687</v>
      </c>
      <c r="Y1020" s="39" t="s">
        <v>1596</v>
      </c>
      <c r="Z1020" s="39" t="s">
        <v>872</v>
      </c>
      <c r="AB1020" s="39">
        <v>7.0</v>
      </c>
    </row>
    <row r="1021">
      <c r="A1021" s="39" t="s">
        <v>1534</v>
      </c>
      <c r="B1021" s="39" t="s">
        <v>1535</v>
      </c>
      <c r="C1021" s="39">
        <v>3.5</v>
      </c>
      <c r="D1021" s="41">
        <v>44109.333333333336</v>
      </c>
      <c r="E1021" s="39" t="s">
        <v>1600</v>
      </c>
      <c r="F1021" s="39" t="s">
        <v>1601</v>
      </c>
      <c r="G1021" s="39" t="s">
        <v>830</v>
      </c>
      <c r="H1021" s="39">
        <v>1020.0</v>
      </c>
      <c r="N1021" s="39" t="s">
        <v>883</v>
      </c>
      <c r="R1021" s="39" t="s">
        <v>832</v>
      </c>
      <c r="S1021" s="39" t="s">
        <v>833</v>
      </c>
      <c r="T1021" s="39" t="s">
        <v>884</v>
      </c>
      <c r="U1021" s="39" t="s">
        <v>883</v>
      </c>
      <c r="W1021" s="39" t="s">
        <v>904</v>
      </c>
      <c r="X1021" s="39" t="s">
        <v>1688</v>
      </c>
      <c r="Z1021" s="39" t="s">
        <v>837</v>
      </c>
      <c r="AB1021" s="39">
        <v>3.5</v>
      </c>
      <c r="AC1021" s="39">
        <v>8.0</v>
      </c>
      <c r="AD1021" s="39">
        <v>0.0</v>
      </c>
    </row>
    <row r="1022">
      <c r="A1022" s="39" t="s">
        <v>1534</v>
      </c>
      <c r="B1022" s="39" t="s">
        <v>1535</v>
      </c>
      <c r="C1022" s="39">
        <v>0.75</v>
      </c>
      <c r="D1022" s="41">
        <v>44109.489583333336</v>
      </c>
      <c r="E1022" s="39" t="s">
        <v>1600</v>
      </c>
      <c r="F1022" s="39" t="s">
        <v>1601</v>
      </c>
      <c r="G1022" s="39" t="s">
        <v>830</v>
      </c>
      <c r="H1022" s="39">
        <v>1020.0</v>
      </c>
      <c r="N1022" s="39" t="s">
        <v>883</v>
      </c>
      <c r="R1022" s="39" t="s">
        <v>832</v>
      </c>
      <c r="S1022" s="39" t="s">
        <v>833</v>
      </c>
      <c r="T1022" s="39" t="s">
        <v>884</v>
      </c>
      <c r="U1022" s="39" t="s">
        <v>883</v>
      </c>
      <c r="W1022" s="39" t="s">
        <v>904</v>
      </c>
      <c r="X1022" s="39" t="s">
        <v>1689</v>
      </c>
      <c r="Z1022" s="39" t="s">
        <v>837</v>
      </c>
      <c r="AB1022" s="39">
        <v>0.75</v>
      </c>
      <c r="AC1022" s="39">
        <v>8.0</v>
      </c>
      <c r="AD1022" s="39">
        <v>0.0</v>
      </c>
    </row>
    <row r="1023">
      <c r="A1023" s="39" t="s">
        <v>1534</v>
      </c>
      <c r="B1023" s="39" t="s">
        <v>1535</v>
      </c>
      <c r="C1023" s="39">
        <v>3.5</v>
      </c>
      <c r="D1023" s="41">
        <v>44109.541666666664</v>
      </c>
      <c r="E1023" s="39" t="s">
        <v>1600</v>
      </c>
      <c r="F1023" s="39" t="s">
        <v>1601</v>
      </c>
      <c r="G1023" s="39" t="s">
        <v>830</v>
      </c>
      <c r="H1023" s="39">
        <v>1020.0</v>
      </c>
      <c r="N1023" s="39" t="s">
        <v>883</v>
      </c>
      <c r="R1023" s="39" t="s">
        <v>832</v>
      </c>
      <c r="S1023" s="39" t="s">
        <v>833</v>
      </c>
      <c r="T1023" s="39" t="s">
        <v>884</v>
      </c>
      <c r="U1023" s="39" t="s">
        <v>883</v>
      </c>
      <c r="W1023" s="39" t="s">
        <v>904</v>
      </c>
      <c r="X1023" s="39" t="s">
        <v>1690</v>
      </c>
      <c r="Z1023" s="39" t="s">
        <v>837</v>
      </c>
      <c r="AB1023" s="39">
        <v>3.5</v>
      </c>
      <c r="AC1023" s="39">
        <v>8.0</v>
      </c>
      <c r="AD1023" s="39">
        <v>0.0</v>
      </c>
    </row>
    <row r="1024">
      <c r="A1024" s="39" t="s">
        <v>1511</v>
      </c>
      <c r="B1024" s="39" t="s">
        <v>1512</v>
      </c>
      <c r="C1024" s="39">
        <v>0.5</v>
      </c>
      <c r="D1024" s="41">
        <v>44109.635416666664</v>
      </c>
      <c r="E1024" s="39" t="s">
        <v>828</v>
      </c>
      <c r="F1024" s="39" t="s">
        <v>829</v>
      </c>
      <c r="G1024" s="39" t="s">
        <v>830</v>
      </c>
      <c r="H1024" s="39">
        <v>1020.0</v>
      </c>
      <c r="N1024" s="39" t="s">
        <v>938</v>
      </c>
      <c r="R1024" s="39" t="s">
        <v>832</v>
      </c>
      <c r="S1024" s="39" t="s">
        <v>939</v>
      </c>
      <c r="T1024" s="39" t="s">
        <v>741</v>
      </c>
      <c r="U1024" s="39" t="s">
        <v>938</v>
      </c>
      <c r="X1024" s="39" t="s">
        <v>1691</v>
      </c>
      <c r="Y1024" s="39" t="s">
        <v>1514</v>
      </c>
      <c r="Z1024" s="39" t="s">
        <v>828</v>
      </c>
      <c r="AB1024" s="39">
        <v>0.5</v>
      </c>
      <c r="AD1024" s="39">
        <v>0.25</v>
      </c>
    </row>
    <row r="1025">
      <c r="A1025" s="39" t="s">
        <v>930</v>
      </c>
      <c r="B1025" s="39" t="s">
        <v>931</v>
      </c>
      <c r="C1025" s="39">
        <v>0.25</v>
      </c>
      <c r="D1025" s="41">
        <v>44109.65625</v>
      </c>
      <c r="E1025" s="39" t="s">
        <v>828</v>
      </c>
      <c r="F1025" s="39" t="s">
        <v>829</v>
      </c>
      <c r="G1025" s="39" t="s">
        <v>830</v>
      </c>
      <c r="H1025" s="39">
        <v>1020.0</v>
      </c>
      <c r="N1025" s="39" t="s">
        <v>883</v>
      </c>
      <c r="R1025" s="39" t="s">
        <v>832</v>
      </c>
      <c r="S1025" s="39" t="s">
        <v>833</v>
      </c>
      <c r="T1025" s="39" t="s">
        <v>884</v>
      </c>
      <c r="U1025" s="39" t="s">
        <v>883</v>
      </c>
      <c r="W1025" s="39" t="s">
        <v>164</v>
      </c>
      <c r="X1025" s="39" t="s">
        <v>1609</v>
      </c>
      <c r="Z1025" s="39" t="s">
        <v>847</v>
      </c>
      <c r="AB1025" s="39">
        <v>0.25</v>
      </c>
      <c r="AC1025" s="39">
        <v>6.0</v>
      </c>
      <c r="AD1025" s="39">
        <v>0.0</v>
      </c>
    </row>
    <row r="1026">
      <c r="A1026" s="39" t="s">
        <v>894</v>
      </c>
      <c r="B1026" s="39" t="s">
        <v>895</v>
      </c>
      <c r="C1026" s="39">
        <v>0.5</v>
      </c>
      <c r="D1026" s="41">
        <v>44109.666666666664</v>
      </c>
      <c r="E1026" s="39" t="s">
        <v>828</v>
      </c>
      <c r="F1026" s="39" t="s">
        <v>829</v>
      </c>
      <c r="G1026" s="39" t="s">
        <v>830</v>
      </c>
      <c r="H1026" s="39">
        <v>1020.0</v>
      </c>
      <c r="N1026" s="39" t="s">
        <v>883</v>
      </c>
      <c r="R1026" s="39" t="s">
        <v>832</v>
      </c>
      <c r="S1026" s="39" t="s">
        <v>833</v>
      </c>
      <c r="T1026" s="39" t="s">
        <v>884</v>
      </c>
      <c r="U1026" s="39" t="s">
        <v>883</v>
      </c>
      <c r="W1026" s="39" t="s">
        <v>101</v>
      </c>
      <c r="X1026" s="39" t="s">
        <v>896</v>
      </c>
      <c r="Z1026" s="39" t="s">
        <v>876</v>
      </c>
      <c r="AB1026" s="39">
        <v>0.5</v>
      </c>
      <c r="AC1026" s="39">
        <v>12.0</v>
      </c>
      <c r="AD1026" s="39">
        <v>0.0</v>
      </c>
    </row>
    <row r="1027">
      <c r="A1027" s="39" t="s">
        <v>1216</v>
      </c>
      <c r="B1027" s="39" t="s">
        <v>1217</v>
      </c>
      <c r="C1027" s="39">
        <v>0.5</v>
      </c>
      <c r="D1027" s="41">
        <v>44109.6875</v>
      </c>
      <c r="E1027" s="39" t="s">
        <v>828</v>
      </c>
      <c r="F1027" s="39" t="s">
        <v>829</v>
      </c>
      <c r="G1027" s="39" t="s">
        <v>830</v>
      </c>
      <c r="H1027" s="39">
        <v>1020.0</v>
      </c>
      <c r="N1027" s="39" t="s">
        <v>883</v>
      </c>
      <c r="R1027" s="39" t="s">
        <v>832</v>
      </c>
      <c r="S1027" s="39" t="s">
        <v>833</v>
      </c>
      <c r="T1027" s="39" t="s">
        <v>884</v>
      </c>
      <c r="U1027" s="39" t="s">
        <v>883</v>
      </c>
      <c r="W1027" s="39" t="s">
        <v>253</v>
      </c>
      <c r="X1027" s="39" t="s">
        <v>1692</v>
      </c>
      <c r="Z1027" s="39" t="s">
        <v>872</v>
      </c>
      <c r="AB1027" s="39">
        <v>0.5</v>
      </c>
      <c r="AC1027" s="39">
        <v>4.0</v>
      </c>
      <c r="AD1027" s="39">
        <v>0.0</v>
      </c>
    </row>
    <row r="1028">
      <c r="A1028" s="39" t="s">
        <v>1360</v>
      </c>
      <c r="B1028" s="39" t="s">
        <v>1361</v>
      </c>
      <c r="C1028" s="39">
        <v>0.5</v>
      </c>
      <c r="D1028" s="41">
        <v>44110.0</v>
      </c>
      <c r="E1028" s="39" t="s">
        <v>872</v>
      </c>
      <c r="F1028" s="39" t="s">
        <v>724</v>
      </c>
      <c r="G1028" s="39" t="s">
        <v>830</v>
      </c>
      <c r="H1028" s="39">
        <v>1020.0</v>
      </c>
      <c r="N1028" s="39" t="s">
        <v>1051</v>
      </c>
      <c r="R1028" s="39" t="s">
        <v>957</v>
      </c>
      <c r="S1028" s="39" t="s">
        <v>889</v>
      </c>
      <c r="T1028" s="39" t="s">
        <v>1053</v>
      </c>
      <c r="U1028" s="39" t="s">
        <v>1051</v>
      </c>
      <c r="X1028" s="39" t="s">
        <v>1693</v>
      </c>
      <c r="Y1028" s="39" t="s">
        <v>1363</v>
      </c>
      <c r="Z1028" s="39" t="s">
        <v>872</v>
      </c>
      <c r="AB1028" s="39">
        <v>0.5</v>
      </c>
    </row>
    <row r="1029">
      <c r="A1029" s="39" t="s">
        <v>1694</v>
      </c>
      <c r="B1029" s="39" t="s">
        <v>1695</v>
      </c>
      <c r="C1029" s="39">
        <v>1.0</v>
      </c>
      <c r="D1029" s="41">
        <v>44110.0</v>
      </c>
      <c r="E1029" s="39" t="s">
        <v>872</v>
      </c>
      <c r="F1029" s="39" t="s">
        <v>724</v>
      </c>
      <c r="G1029" s="39" t="s">
        <v>830</v>
      </c>
      <c r="H1029" s="39">
        <v>1020.0</v>
      </c>
      <c r="N1029" s="39" t="s">
        <v>1051</v>
      </c>
      <c r="R1029" s="39" t="s">
        <v>832</v>
      </c>
      <c r="S1029" s="39" t="s">
        <v>889</v>
      </c>
      <c r="T1029" s="39" t="s">
        <v>1053</v>
      </c>
      <c r="U1029" s="39" t="s">
        <v>1051</v>
      </c>
      <c r="X1029" s="39" t="s">
        <v>1696</v>
      </c>
      <c r="Y1029" s="39" t="s">
        <v>1131</v>
      </c>
      <c r="Z1029" s="39" t="s">
        <v>872</v>
      </c>
      <c r="AB1029" s="39">
        <v>1.0</v>
      </c>
    </row>
    <row r="1030">
      <c r="A1030" s="39" t="s">
        <v>1549</v>
      </c>
      <c r="B1030" s="39" t="s">
        <v>1550</v>
      </c>
      <c r="C1030" s="39">
        <v>0.5</v>
      </c>
      <c r="D1030" s="41">
        <v>44110.0</v>
      </c>
      <c r="E1030" s="39" t="s">
        <v>872</v>
      </c>
      <c r="F1030" s="39" t="s">
        <v>724</v>
      </c>
      <c r="G1030" s="39" t="s">
        <v>830</v>
      </c>
      <c r="H1030" s="39">
        <v>1020.0</v>
      </c>
      <c r="N1030" s="39" t="s">
        <v>1051</v>
      </c>
      <c r="R1030" s="39" t="s">
        <v>957</v>
      </c>
      <c r="S1030" s="39" t="s">
        <v>1052</v>
      </c>
      <c r="T1030" s="39" t="s">
        <v>1053</v>
      </c>
      <c r="U1030" s="39" t="s">
        <v>1051</v>
      </c>
      <c r="X1030" s="39" t="s">
        <v>1697</v>
      </c>
      <c r="Y1030" s="39" t="s">
        <v>1380</v>
      </c>
      <c r="Z1030" s="39" t="s">
        <v>872</v>
      </c>
      <c r="AB1030" s="39">
        <v>0.5</v>
      </c>
    </row>
    <row r="1031">
      <c r="A1031" s="39" t="s">
        <v>1698</v>
      </c>
      <c r="B1031" s="39" t="s">
        <v>1699</v>
      </c>
      <c r="C1031" s="39">
        <v>0.5</v>
      </c>
      <c r="D1031" s="41">
        <v>44110.0</v>
      </c>
      <c r="E1031" s="39" t="s">
        <v>872</v>
      </c>
      <c r="F1031" s="39" t="s">
        <v>724</v>
      </c>
      <c r="G1031" s="39" t="s">
        <v>830</v>
      </c>
      <c r="H1031" s="39">
        <v>1020.0</v>
      </c>
      <c r="N1031" s="39" t="s">
        <v>1051</v>
      </c>
      <c r="R1031" s="39" t="s">
        <v>832</v>
      </c>
      <c r="S1031" s="39" t="s">
        <v>1052</v>
      </c>
      <c r="T1031" s="39" t="s">
        <v>1053</v>
      </c>
      <c r="U1031" s="39" t="s">
        <v>1051</v>
      </c>
      <c r="X1031" s="39" t="s">
        <v>1700</v>
      </c>
      <c r="Y1031" s="39" t="s">
        <v>1131</v>
      </c>
      <c r="Z1031" s="39" t="s">
        <v>1059</v>
      </c>
      <c r="AB1031" s="39">
        <v>0.5</v>
      </c>
    </row>
    <row r="1032">
      <c r="A1032" s="39" t="s">
        <v>1603</v>
      </c>
      <c r="B1032" s="39" t="s">
        <v>1604</v>
      </c>
      <c r="C1032" s="39">
        <v>0.5</v>
      </c>
      <c r="D1032" s="41">
        <v>44110.0</v>
      </c>
      <c r="E1032" s="39" t="s">
        <v>872</v>
      </c>
      <c r="F1032" s="39" t="s">
        <v>724</v>
      </c>
      <c r="G1032" s="39" t="s">
        <v>830</v>
      </c>
      <c r="H1032" s="39">
        <v>1020.0</v>
      </c>
      <c r="N1032" s="39" t="s">
        <v>1051</v>
      </c>
      <c r="R1032" s="39" t="s">
        <v>832</v>
      </c>
      <c r="S1032" s="39" t="s">
        <v>889</v>
      </c>
      <c r="T1032" s="39" t="s">
        <v>1053</v>
      </c>
      <c r="U1032" s="39" t="s">
        <v>1051</v>
      </c>
      <c r="X1032" s="39" t="s">
        <v>1677</v>
      </c>
      <c r="Y1032" s="39" t="s">
        <v>1256</v>
      </c>
      <c r="Z1032" s="39" t="s">
        <v>872</v>
      </c>
      <c r="AB1032" s="39">
        <v>0.5</v>
      </c>
    </row>
    <row r="1033">
      <c r="A1033" s="39" t="s">
        <v>1701</v>
      </c>
      <c r="B1033" s="39" t="s">
        <v>1702</v>
      </c>
      <c r="C1033" s="39">
        <v>0.5</v>
      </c>
      <c r="D1033" s="41">
        <v>44110.0</v>
      </c>
      <c r="E1033" s="39" t="s">
        <v>872</v>
      </c>
      <c r="F1033" s="39" t="s">
        <v>724</v>
      </c>
      <c r="G1033" s="39" t="s">
        <v>830</v>
      </c>
      <c r="H1033" s="39">
        <v>1020.0</v>
      </c>
      <c r="N1033" s="39" t="s">
        <v>1051</v>
      </c>
      <c r="R1033" s="39" t="s">
        <v>957</v>
      </c>
      <c r="S1033" s="39" t="s">
        <v>1052</v>
      </c>
      <c r="T1033" s="39" t="s">
        <v>1053</v>
      </c>
      <c r="U1033" s="39" t="s">
        <v>1051</v>
      </c>
      <c r="X1033" s="39" t="s">
        <v>1703</v>
      </c>
      <c r="Y1033" s="39" t="s">
        <v>1363</v>
      </c>
      <c r="Z1033" s="39" t="s">
        <v>872</v>
      </c>
      <c r="AB1033" s="39">
        <v>0.5</v>
      </c>
    </row>
    <row r="1034">
      <c r="A1034" s="39" t="s">
        <v>1603</v>
      </c>
      <c r="B1034" s="39" t="s">
        <v>1604</v>
      </c>
      <c r="C1034" s="39">
        <v>1.0</v>
      </c>
      <c r="D1034" s="41">
        <v>44110.0</v>
      </c>
      <c r="E1034" s="39" t="s">
        <v>1048</v>
      </c>
      <c r="F1034" s="39" t="s">
        <v>1049</v>
      </c>
      <c r="G1034" s="39" t="s">
        <v>1050</v>
      </c>
      <c r="H1034" s="39">
        <v>1020.0</v>
      </c>
      <c r="N1034" s="39" t="s">
        <v>1051</v>
      </c>
      <c r="R1034" s="39" t="s">
        <v>832</v>
      </c>
      <c r="S1034" s="39" t="s">
        <v>889</v>
      </c>
      <c r="T1034" s="39" t="s">
        <v>1053</v>
      </c>
      <c r="U1034" s="39" t="s">
        <v>1051</v>
      </c>
      <c r="X1034" s="39" t="s">
        <v>1704</v>
      </c>
      <c r="Y1034" s="39" t="s">
        <v>1256</v>
      </c>
      <c r="Z1034" s="39" t="s">
        <v>872</v>
      </c>
      <c r="AB1034" s="39">
        <v>1.0</v>
      </c>
    </row>
    <row r="1035">
      <c r="A1035" s="39" t="s">
        <v>1705</v>
      </c>
      <c r="B1035" s="39" t="s">
        <v>1706</v>
      </c>
      <c r="C1035" s="39">
        <v>2.0</v>
      </c>
      <c r="D1035" s="41">
        <v>44110.0</v>
      </c>
      <c r="E1035" s="39" t="s">
        <v>1048</v>
      </c>
      <c r="F1035" s="39" t="s">
        <v>1049</v>
      </c>
      <c r="G1035" s="39" t="s">
        <v>1050</v>
      </c>
      <c r="H1035" s="39">
        <v>1020.0</v>
      </c>
      <c r="N1035" s="39" t="s">
        <v>1051</v>
      </c>
      <c r="R1035" s="39" t="s">
        <v>957</v>
      </c>
      <c r="S1035" s="39" t="s">
        <v>889</v>
      </c>
      <c r="T1035" s="39" t="s">
        <v>1053</v>
      </c>
      <c r="U1035" s="39" t="s">
        <v>1051</v>
      </c>
      <c r="X1035" s="39" t="s">
        <v>1707</v>
      </c>
      <c r="Y1035" s="39" t="s">
        <v>1603</v>
      </c>
      <c r="Z1035" s="39" t="s">
        <v>1153</v>
      </c>
      <c r="AB1035" s="39">
        <v>2.0</v>
      </c>
    </row>
    <row r="1036">
      <c r="A1036" s="39" t="s">
        <v>1708</v>
      </c>
      <c r="B1036" s="39" t="s">
        <v>1709</v>
      </c>
      <c r="C1036" s="39">
        <v>2.0</v>
      </c>
      <c r="D1036" s="41">
        <v>44110.0</v>
      </c>
      <c r="E1036" s="39" t="s">
        <v>1048</v>
      </c>
      <c r="F1036" s="39" t="s">
        <v>1049</v>
      </c>
      <c r="G1036" s="39" t="s">
        <v>1050</v>
      </c>
      <c r="H1036" s="39">
        <v>1020.0</v>
      </c>
      <c r="N1036" s="39" t="s">
        <v>1051</v>
      </c>
      <c r="R1036" s="39" t="s">
        <v>957</v>
      </c>
      <c r="S1036" s="39" t="s">
        <v>889</v>
      </c>
      <c r="T1036" s="39" t="s">
        <v>1053</v>
      </c>
      <c r="U1036" s="39" t="s">
        <v>1051</v>
      </c>
      <c r="X1036" s="39" t="s">
        <v>1710</v>
      </c>
      <c r="Y1036" s="39" t="s">
        <v>1603</v>
      </c>
      <c r="Z1036" s="39" t="s">
        <v>1153</v>
      </c>
      <c r="AB1036" s="39">
        <v>2.0</v>
      </c>
    </row>
    <row r="1037">
      <c r="A1037" s="39" t="s">
        <v>1711</v>
      </c>
      <c r="B1037" s="39" t="s">
        <v>1712</v>
      </c>
      <c r="C1037" s="39">
        <v>1.0</v>
      </c>
      <c r="D1037" s="41">
        <v>44110.0</v>
      </c>
      <c r="E1037" s="39" t="s">
        <v>1048</v>
      </c>
      <c r="F1037" s="39" t="s">
        <v>1049</v>
      </c>
      <c r="G1037" s="39" t="s">
        <v>1050</v>
      </c>
      <c r="H1037" s="39">
        <v>1020.0</v>
      </c>
      <c r="N1037" s="39" t="s">
        <v>1051</v>
      </c>
      <c r="R1037" s="39" t="s">
        <v>957</v>
      </c>
      <c r="S1037" s="39" t="s">
        <v>1274</v>
      </c>
      <c r="T1037" s="39" t="s">
        <v>1053</v>
      </c>
      <c r="U1037" s="39" t="s">
        <v>1051</v>
      </c>
      <c r="X1037" s="39" t="s">
        <v>1713</v>
      </c>
      <c r="Y1037" s="39" t="s">
        <v>1603</v>
      </c>
      <c r="Z1037" s="39" t="s">
        <v>1153</v>
      </c>
      <c r="AB1037" s="39">
        <v>1.0</v>
      </c>
    </row>
    <row r="1038">
      <c r="A1038" s="39" t="s">
        <v>1711</v>
      </c>
      <c r="B1038" s="39" t="s">
        <v>1712</v>
      </c>
      <c r="C1038" s="39">
        <v>1.0</v>
      </c>
      <c r="D1038" s="41">
        <v>44110.0</v>
      </c>
      <c r="E1038" s="39" t="s">
        <v>1048</v>
      </c>
      <c r="F1038" s="39" t="s">
        <v>1049</v>
      </c>
      <c r="G1038" s="39" t="s">
        <v>1050</v>
      </c>
      <c r="H1038" s="39">
        <v>1020.0</v>
      </c>
      <c r="N1038" s="39" t="s">
        <v>1051</v>
      </c>
      <c r="R1038" s="39" t="s">
        <v>957</v>
      </c>
      <c r="S1038" s="39" t="s">
        <v>1274</v>
      </c>
      <c r="T1038" s="39" t="s">
        <v>1053</v>
      </c>
      <c r="U1038" s="39" t="s">
        <v>1051</v>
      </c>
      <c r="X1038" s="39" t="s">
        <v>1714</v>
      </c>
      <c r="Y1038" s="39" t="s">
        <v>1603</v>
      </c>
      <c r="Z1038" s="39" t="s">
        <v>1153</v>
      </c>
      <c r="AB1038" s="39">
        <v>1.0</v>
      </c>
    </row>
    <row r="1039">
      <c r="A1039" s="39" t="s">
        <v>1715</v>
      </c>
      <c r="B1039" s="39" t="s">
        <v>1716</v>
      </c>
      <c r="C1039" s="39">
        <v>7.0</v>
      </c>
      <c r="D1039" s="41">
        <v>44110.0</v>
      </c>
      <c r="E1039" s="39" t="s">
        <v>1059</v>
      </c>
      <c r="F1039" s="39" t="s">
        <v>1060</v>
      </c>
      <c r="G1039" s="39" t="s">
        <v>1050</v>
      </c>
      <c r="H1039" s="39">
        <v>1020.0</v>
      </c>
      <c r="N1039" s="39" t="s">
        <v>1051</v>
      </c>
      <c r="R1039" s="39" t="s">
        <v>957</v>
      </c>
      <c r="S1039" s="39" t="s">
        <v>1052</v>
      </c>
      <c r="T1039" s="39" t="s">
        <v>1053</v>
      </c>
      <c r="U1039" s="39" t="s">
        <v>1051</v>
      </c>
      <c r="X1039" s="39" t="s">
        <v>1717</v>
      </c>
      <c r="Y1039" s="39" t="s">
        <v>1380</v>
      </c>
      <c r="Z1039" s="39" t="s">
        <v>872</v>
      </c>
      <c r="AB1039" s="39">
        <v>7.0</v>
      </c>
    </row>
    <row r="1040">
      <c r="A1040" s="39" t="s">
        <v>1518</v>
      </c>
      <c r="B1040" s="39" t="s">
        <v>1519</v>
      </c>
      <c r="C1040" s="39">
        <v>0.25</v>
      </c>
      <c r="D1040" s="41">
        <v>44110.333333333336</v>
      </c>
      <c r="E1040" s="39" t="s">
        <v>1600</v>
      </c>
      <c r="F1040" s="39" t="s">
        <v>1601</v>
      </c>
      <c r="G1040" s="39" t="s">
        <v>830</v>
      </c>
      <c r="H1040" s="39">
        <v>1020.0</v>
      </c>
      <c r="N1040" s="39" t="s">
        <v>883</v>
      </c>
      <c r="R1040" s="39" t="s">
        <v>832</v>
      </c>
      <c r="S1040" s="39" t="s">
        <v>833</v>
      </c>
      <c r="T1040" s="39" t="s">
        <v>884</v>
      </c>
      <c r="U1040" s="39" t="s">
        <v>883</v>
      </c>
      <c r="W1040" s="39" t="s">
        <v>904</v>
      </c>
      <c r="X1040" s="39" t="s">
        <v>1718</v>
      </c>
      <c r="Z1040" s="39" t="s">
        <v>847</v>
      </c>
      <c r="AB1040" s="39">
        <v>0.25</v>
      </c>
      <c r="AC1040" s="39">
        <v>2.0</v>
      </c>
      <c r="AD1040" s="39">
        <v>0.0</v>
      </c>
    </row>
    <row r="1041">
      <c r="A1041" s="39" t="s">
        <v>930</v>
      </c>
      <c r="B1041" s="39" t="s">
        <v>931</v>
      </c>
      <c r="C1041" s="39">
        <v>0.25</v>
      </c>
      <c r="D1041" s="41">
        <v>44110.34375</v>
      </c>
      <c r="E1041" s="39" t="s">
        <v>1600</v>
      </c>
      <c r="F1041" s="39" t="s">
        <v>1601</v>
      </c>
      <c r="G1041" s="39" t="s">
        <v>830</v>
      </c>
      <c r="H1041" s="39">
        <v>1020.0</v>
      </c>
      <c r="N1041" s="39" t="s">
        <v>883</v>
      </c>
      <c r="R1041" s="39" t="s">
        <v>832</v>
      </c>
      <c r="S1041" s="39" t="s">
        <v>833</v>
      </c>
      <c r="T1041" s="39" t="s">
        <v>884</v>
      </c>
      <c r="U1041" s="39" t="s">
        <v>883</v>
      </c>
      <c r="W1041" s="39" t="s">
        <v>164</v>
      </c>
      <c r="X1041" s="39" t="s">
        <v>1718</v>
      </c>
      <c r="Z1041" s="39" t="s">
        <v>847</v>
      </c>
      <c r="AB1041" s="39">
        <v>0.25</v>
      </c>
      <c r="AC1041" s="39">
        <v>6.0</v>
      </c>
      <c r="AD1041" s="39">
        <v>0.0</v>
      </c>
    </row>
    <row r="1042">
      <c r="A1042" s="39" t="s">
        <v>1534</v>
      </c>
      <c r="B1042" s="39" t="s">
        <v>1535</v>
      </c>
      <c r="C1042" s="39">
        <v>4.25</v>
      </c>
      <c r="D1042" s="41">
        <v>44110.354166666664</v>
      </c>
      <c r="E1042" s="39" t="s">
        <v>1600</v>
      </c>
      <c r="F1042" s="39" t="s">
        <v>1601</v>
      </c>
      <c r="G1042" s="39" t="s">
        <v>830</v>
      </c>
      <c r="H1042" s="39">
        <v>1020.0</v>
      </c>
      <c r="N1042" s="39" t="s">
        <v>883</v>
      </c>
      <c r="R1042" s="39" t="s">
        <v>832</v>
      </c>
      <c r="S1042" s="39" t="s">
        <v>833</v>
      </c>
      <c r="T1042" s="39" t="s">
        <v>884</v>
      </c>
      <c r="U1042" s="39" t="s">
        <v>883</v>
      </c>
      <c r="W1042" s="39" t="s">
        <v>904</v>
      </c>
      <c r="X1042" s="39" t="s">
        <v>1719</v>
      </c>
      <c r="Z1042" s="39" t="s">
        <v>837</v>
      </c>
      <c r="AB1042" s="39">
        <v>4.25</v>
      </c>
      <c r="AC1042" s="39">
        <v>8.0</v>
      </c>
      <c r="AD1042" s="39">
        <v>0.0</v>
      </c>
    </row>
    <row r="1043">
      <c r="A1043" s="39" t="s">
        <v>1534</v>
      </c>
      <c r="B1043" s="39" t="s">
        <v>1535</v>
      </c>
      <c r="C1043" s="39">
        <v>0.25</v>
      </c>
      <c r="D1043" s="41">
        <v>44110.385416666664</v>
      </c>
      <c r="E1043" s="39" t="s">
        <v>828</v>
      </c>
      <c r="F1043" s="39" t="s">
        <v>829</v>
      </c>
      <c r="G1043" s="39" t="s">
        <v>830</v>
      </c>
      <c r="H1043" s="39">
        <v>1020.0</v>
      </c>
      <c r="N1043" s="39" t="s">
        <v>883</v>
      </c>
      <c r="R1043" s="39" t="s">
        <v>832</v>
      </c>
      <c r="S1043" s="39" t="s">
        <v>833</v>
      </c>
      <c r="T1043" s="39" t="s">
        <v>884</v>
      </c>
      <c r="U1043" s="39" t="s">
        <v>883</v>
      </c>
      <c r="W1043" s="39" t="s">
        <v>904</v>
      </c>
      <c r="X1043" s="39" t="s">
        <v>1536</v>
      </c>
      <c r="Z1043" s="39" t="s">
        <v>837</v>
      </c>
      <c r="AB1043" s="39">
        <v>0.25</v>
      </c>
      <c r="AC1043" s="39">
        <v>8.0</v>
      </c>
      <c r="AD1043" s="39">
        <v>0.0</v>
      </c>
    </row>
    <row r="1044">
      <c r="A1044" s="39" t="s">
        <v>1216</v>
      </c>
      <c r="B1044" s="39" t="s">
        <v>1217</v>
      </c>
      <c r="C1044" s="39">
        <v>0.25</v>
      </c>
      <c r="D1044" s="41">
        <v>44110.395833333336</v>
      </c>
      <c r="E1044" s="39" t="s">
        <v>828</v>
      </c>
      <c r="F1044" s="39" t="s">
        <v>829</v>
      </c>
      <c r="G1044" s="39" t="s">
        <v>830</v>
      </c>
      <c r="H1044" s="39">
        <v>1020.0</v>
      </c>
      <c r="N1044" s="39" t="s">
        <v>883</v>
      </c>
      <c r="R1044" s="39" t="s">
        <v>832</v>
      </c>
      <c r="S1044" s="39" t="s">
        <v>833</v>
      </c>
      <c r="T1044" s="39" t="s">
        <v>884</v>
      </c>
      <c r="U1044" s="39" t="s">
        <v>883</v>
      </c>
      <c r="W1044" s="39" t="s">
        <v>253</v>
      </c>
      <c r="X1044" s="39" t="s">
        <v>1720</v>
      </c>
      <c r="Z1044" s="39" t="s">
        <v>872</v>
      </c>
      <c r="AB1044" s="39">
        <v>0.25</v>
      </c>
      <c r="AC1044" s="39">
        <v>4.0</v>
      </c>
      <c r="AD1044" s="39">
        <v>0.0</v>
      </c>
    </row>
    <row r="1045">
      <c r="A1045" s="39" t="s">
        <v>1216</v>
      </c>
      <c r="B1045" s="39" t="s">
        <v>1217</v>
      </c>
      <c r="C1045" s="39">
        <v>0.5</v>
      </c>
      <c r="D1045" s="41">
        <v>44110.416666666664</v>
      </c>
      <c r="E1045" s="39" t="s">
        <v>828</v>
      </c>
      <c r="F1045" s="39" t="s">
        <v>829</v>
      </c>
      <c r="G1045" s="39" t="s">
        <v>830</v>
      </c>
      <c r="H1045" s="39">
        <v>1020.0</v>
      </c>
      <c r="N1045" s="39" t="s">
        <v>883</v>
      </c>
      <c r="R1045" s="39" t="s">
        <v>832</v>
      </c>
      <c r="S1045" s="39" t="s">
        <v>833</v>
      </c>
      <c r="T1045" s="39" t="s">
        <v>884</v>
      </c>
      <c r="U1045" s="39" t="s">
        <v>883</v>
      </c>
      <c r="W1045" s="39" t="s">
        <v>253</v>
      </c>
      <c r="X1045" s="39" t="s">
        <v>1218</v>
      </c>
      <c r="Z1045" s="39" t="s">
        <v>872</v>
      </c>
      <c r="AB1045" s="39">
        <v>0.5</v>
      </c>
      <c r="AC1045" s="39">
        <v>4.0</v>
      </c>
      <c r="AD1045" s="39">
        <v>0.0</v>
      </c>
    </row>
    <row r="1046">
      <c r="A1046" s="39" t="s">
        <v>1216</v>
      </c>
      <c r="B1046" s="39" t="s">
        <v>1217</v>
      </c>
      <c r="C1046" s="39">
        <v>0.25</v>
      </c>
      <c r="D1046" s="41">
        <v>44110.4375</v>
      </c>
      <c r="E1046" s="39" t="s">
        <v>828</v>
      </c>
      <c r="F1046" s="39" t="s">
        <v>829</v>
      </c>
      <c r="G1046" s="39" t="s">
        <v>830</v>
      </c>
      <c r="H1046" s="39">
        <v>1020.0</v>
      </c>
      <c r="N1046" s="39" t="s">
        <v>883</v>
      </c>
      <c r="R1046" s="39" t="s">
        <v>832</v>
      </c>
      <c r="S1046" s="39" t="s">
        <v>833</v>
      </c>
      <c r="T1046" s="39" t="s">
        <v>884</v>
      </c>
      <c r="U1046" s="39" t="s">
        <v>883</v>
      </c>
      <c r="W1046" s="39" t="s">
        <v>253</v>
      </c>
      <c r="X1046" s="39" t="s">
        <v>1721</v>
      </c>
      <c r="Z1046" s="39" t="s">
        <v>872</v>
      </c>
      <c r="AB1046" s="39">
        <v>0.25</v>
      </c>
      <c r="AC1046" s="39">
        <v>4.0</v>
      </c>
      <c r="AD1046" s="39">
        <v>0.0</v>
      </c>
    </row>
    <row r="1047">
      <c r="A1047" s="39" t="s">
        <v>894</v>
      </c>
      <c r="B1047" s="39" t="s">
        <v>895</v>
      </c>
      <c r="C1047" s="39">
        <v>0.25</v>
      </c>
      <c r="D1047" s="41">
        <v>44110.458333333336</v>
      </c>
      <c r="E1047" s="39" t="s">
        <v>828</v>
      </c>
      <c r="F1047" s="39" t="s">
        <v>829</v>
      </c>
      <c r="G1047" s="39" t="s">
        <v>830</v>
      </c>
      <c r="H1047" s="39">
        <v>1020.0</v>
      </c>
      <c r="N1047" s="39" t="s">
        <v>883</v>
      </c>
      <c r="R1047" s="39" t="s">
        <v>832</v>
      </c>
      <c r="S1047" s="39" t="s">
        <v>833</v>
      </c>
      <c r="T1047" s="39" t="s">
        <v>884</v>
      </c>
      <c r="U1047" s="39" t="s">
        <v>883</v>
      </c>
      <c r="W1047" s="39" t="s">
        <v>101</v>
      </c>
      <c r="X1047" s="39" t="s">
        <v>1722</v>
      </c>
      <c r="Z1047" s="39" t="s">
        <v>876</v>
      </c>
      <c r="AB1047" s="39">
        <v>0.25</v>
      </c>
      <c r="AC1047" s="39">
        <v>12.0</v>
      </c>
      <c r="AD1047" s="39">
        <v>0.0</v>
      </c>
    </row>
    <row r="1048">
      <c r="A1048" s="39" t="s">
        <v>1511</v>
      </c>
      <c r="B1048" s="39" t="s">
        <v>1512</v>
      </c>
      <c r="C1048" s="39">
        <v>1.5</v>
      </c>
      <c r="D1048" s="41">
        <v>44110.46875</v>
      </c>
      <c r="E1048" s="39" t="s">
        <v>828</v>
      </c>
      <c r="F1048" s="39" t="s">
        <v>829</v>
      </c>
      <c r="G1048" s="39" t="s">
        <v>830</v>
      </c>
      <c r="H1048" s="39">
        <v>1020.0</v>
      </c>
      <c r="N1048" s="39" t="s">
        <v>938</v>
      </c>
      <c r="R1048" s="39" t="s">
        <v>832</v>
      </c>
      <c r="S1048" s="39" t="s">
        <v>939</v>
      </c>
      <c r="T1048" s="39" t="s">
        <v>741</v>
      </c>
      <c r="U1048" s="39" t="s">
        <v>938</v>
      </c>
      <c r="X1048" s="39" t="s">
        <v>1513</v>
      </c>
      <c r="Y1048" s="39" t="s">
        <v>1514</v>
      </c>
      <c r="Z1048" s="39" t="s">
        <v>828</v>
      </c>
      <c r="AB1048" s="39">
        <v>1.5</v>
      </c>
      <c r="AD1048" s="39">
        <v>0.25</v>
      </c>
    </row>
    <row r="1049">
      <c r="A1049" s="39" t="s">
        <v>1511</v>
      </c>
      <c r="B1049" s="39" t="s">
        <v>1512</v>
      </c>
      <c r="C1049" s="39">
        <v>3.0</v>
      </c>
      <c r="D1049" s="41">
        <v>44110.552083333336</v>
      </c>
      <c r="E1049" s="39" t="s">
        <v>828</v>
      </c>
      <c r="F1049" s="39" t="s">
        <v>829</v>
      </c>
      <c r="G1049" s="39" t="s">
        <v>830</v>
      </c>
      <c r="H1049" s="39">
        <v>1020.0</v>
      </c>
      <c r="N1049" s="39" t="s">
        <v>938</v>
      </c>
      <c r="R1049" s="39" t="s">
        <v>832</v>
      </c>
      <c r="S1049" s="39" t="s">
        <v>939</v>
      </c>
      <c r="T1049" s="39" t="s">
        <v>741</v>
      </c>
      <c r="U1049" s="39" t="s">
        <v>938</v>
      </c>
      <c r="X1049" s="39" t="s">
        <v>1513</v>
      </c>
      <c r="Y1049" s="39" t="s">
        <v>1514</v>
      </c>
      <c r="Z1049" s="39" t="s">
        <v>828</v>
      </c>
      <c r="AB1049" s="39">
        <v>3.0</v>
      </c>
      <c r="AD1049" s="39">
        <v>0.25</v>
      </c>
    </row>
    <row r="1050">
      <c r="A1050" s="39" t="s">
        <v>1534</v>
      </c>
      <c r="B1050" s="39" t="s">
        <v>1535</v>
      </c>
      <c r="C1050" s="39">
        <v>2.75</v>
      </c>
      <c r="D1050" s="41">
        <v>44110.552083333336</v>
      </c>
      <c r="E1050" s="39" t="s">
        <v>1600</v>
      </c>
      <c r="F1050" s="39" t="s">
        <v>1601</v>
      </c>
      <c r="G1050" s="39" t="s">
        <v>830</v>
      </c>
      <c r="H1050" s="39">
        <v>1020.0</v>
      </c>
      <c r="N1050" s="39" t="s">
        <v>883</v>
      </c>
      <c r="R1050" s="39" t="s">
        <v>832</v>
      </c>
      <c r="S1050" s="39" t="s">
        <v>833</v>
      </c>
      <c r="T1050" s="39" t="s">
        <v>884</v>
      </c>
      <c r="U1050" s="39" t="s">
        <v>883</v>
      </c>
      <c r="W1050" s="39" t="s">
        <v>904</v>
      </c>
      <c r="X1050" s="39" t="s">
        <v>1666</v>
      </c>
      <c r="Z1050" s="39" t="s">
        <v>837</v>
      </c>
      <c r="AB1050" s="39">
        <v>2.75</v>
      </c>
      <c r="AC1050" s="39">
        <v>8.0</v>
      </c>
      <c r="AD1050" s="39">
        <v>0.0</v>
      </c>
    </row>
    <row r="1051">
      <c r="A1051" s="39" t="s">
        <v>1603</v>
      </c>
      <c r="B1051" s="39" t="s">
        <v>1604</v>
      </c>
      <c r="C1051" s="39">
        <v>0.666666666666666</v>
      </c>
      <c r="D1051" s="41">
        <v>44110.5625</v>
      </c>
      <c r="E1051" s="39" t="s">
        <v>1153</v>
      </c>
      <c r="F1051" s="39" t="s">
        <v>1154</v>
      </c>
      <c r="G1051" s="39" t="s">
        <v>830</v>
      </c>
      <c r="H1051" s="39">
        <v>1020.0</v>
      </c>
      <c r="N1051" s="39" t="s">
        <v>1051</v>
      </c>
      <c r="R1051" s="39" t="s">
        <v>832</v>
      </c>
      <c r="S1051" s="39" t="s">
        <v>889</v>
      </c>
      <c r="T1051" s="39" t="s">
        <v>1053</v>
      </c>
      <c r="U1051" s="39" t="s">
        <v>1051</v>
      </c>
      <c r="X1051" s="39" t="s">
        <v>1723</v>
      </c>
      <c r="Y1051" s="39" t="s">
        <v>1256</v>
      </c>
      <c r="Z1051" s="39" t="s">
        <v>872</v>
      </c>
      <c r="AB1051" s="39">
        <v>0.666666666666666</v>
      </c>
    </row>
    <row r="1052">
      <c r="A1052" s="39" t="s">
        <v>1694</v>
      </c>
      <c r="B1052" s="39" t="s">
        <v>1695</v>
      </c>
      <c r="C1052" s="39">
        <v>0.75</v>
      </c>
      <c r="D1052" s="41">
        <v>44111.0</v>
      </c>
      <c r="E1052" s="39" t="s">
        <v>872</v>
      </c>
      <c r="F1052" s="39" t="s">
        <v>724</v>
      </c>
      <c r="G1052" s="39" t="s">
        <v>830</v>
      </c>
      <c r="H1052" s="39">
        <v>1020.0</v>
      </c>
      <c r="N1052" s="39" t="s">
        <v>1051</v>
      </c>
      <c r="R1052" s="39" t="s">
        <v>832</v>
      </c>
      <c r="S1052" s="39" t="s">
        <v>889</v>
      </c>
      <c r="T1052" s="39" t="s">
        <v>1053</v>
      </c>
      <c r="U1052" s="39" t="s">
        <v>1051</v>
      </c>
      <c r="X1052" s="39" t="s">
        <v>1696</v>
      </c>
      <c r="Y1052" s="39" t="s">
        <v>1131</v>
      </c>
      <c r="Z1052" s="39" t="s">
        <v>872</v>
      </c>
      <c r="AB1052" s="39">
        <v>0.75</v>
      </c>
    </row>
    <row r="1053">
      <c r="A1053" s="39" t="s">
        <v>1587</v>
      </c>
      <c r="B1053" s="39" t="s">
        <v>1588</v>
      </c>
      <c r="C1053" s="39">
        <v>0.25</v>
      </c>
      <c r="D1053" s="41">
        <v>44111.0</v>
      </c>
      <c r="E1053" s="39" t="s">
        <v>872</v>
      </c>
      <c r="F1053" s="39" t="s">
        <v>724</v>
      </c>
      <c r="G1053" s="39" t="s">
        <v>830</v>
      </c>
      <c r="H1053" s="39">
        <v>1020.0</v>
      </c>
      <c r="N1053" s="39" t="s">
        <v>1051</v>
      </c>
      <c r="R1053" s="39" t="s">
        <v>957</v>
      </c>
      <c r="S1053" s="39" t="s">
        <v>889</v>
      </c>
      <c r="T1053" s="39" t="s">
        <v>1053</v>
      </c>
      <c r="U1053" s="39" t="s">
        <v>1051</v>
      </c>
      <c r="X1053" s="39" t="s">
        <v>1589</v>
      </c>
      <c r="Y1053" s="39" t="s">
        <v>1405</v>
      </c>
      <c r="Z1053" s="39" t="s">
        <v>872</v>
      </c>
      <c r="AB1053" s="39">
        <v>0.25</v>
      </c>
    </row>
    <row r="1054">
      <c r="A1054" s="39" t="s">
        <v>1131</v>
      </c>
      <c r="B1054" s="39" t="s">
        <v>1591</v>
      </c>
      <c r="C1054" s="39">
        <v>2.0</v>
      </c>
      <c r="D1054" s="41">
        <v>44111.0</v>
      </c>
      <c r="E1054" s="39" t="s">
        <v>872</v>
      </c>
      <c r="F1054" s="39" t="s">
        <v>724</v>
      </c>
      <c r="G1054" s="39" t="s">
        <v>830</v>
      </c>
      <c r="H1054" s="39">
        <v>1020.0</v>
      </c>
      <c r="N1054" s="39" t="s">
        <v>1051</v>
      </c>
      <c r="R1054" s="39" t="s">
        <v>72</v>
      </c>
      <c r="S1054" s="39" t="s">
        <v>889</v>
      </c>
      <c r="T1054" s="39" t="s">
        <v>1053</v>
      </c>
      <c r="U1054" s="39" t="s">
        <v>1051</v>
      </c>
      <c r="X1054" s="39" t="s">
        <v>1724</v>
      </c>
      <c r="Z1054" s="39" t="s">
        <v>872</v>
      </c>
      <c r="AB1054" s="39">
        <v>2.0</v>
      </c>
      <c r="AD1054" s="39">
        <v>0.0</v>
      </c>
    </row>
    <row r="1055">
      <c r="A1055" s="39" t="s">
        <v>1631</v>
      </c>
      <c r="B1055" s="39" t="s">
        <v>1632</v>
      </c>
      <c r="C1055" s="39">
        <v>0.5</v>
      </c>
      <c r="D1055" s="41">
        <v>44111.0</v>
      </c>
      <c r="E1055" s="39" t="s">
        <v>872</v>
      </c>
      <c r="F1055" s="39" t="s">
        <v>724</v>
      </c>
      <c r="G1055" s="39" t="s">
        <v>830</v>
      </c>
      <c r="H1055" s="39">
        <v>1020.0</v>
      </c>
      <c r="N1055" s="39" t="s">
        <v>1051</v>
      </c>
      <c r="R1055" s="39" t="s">
        <v>957</v>
      </c>
      <c r="S1055" s="39" t="s">
        <v>1052</v>
      </c>
      <c r="T1055" s="39" t="s">
        <v>1053</v>
      </c>
      <c r="U1055" s="39" t="s">
        <v>1051</v>
      </c>
      <c r="X1055" s="39" t="s">
        <v>1633</v>
      </c>
      <c r="Y1055" s="39" t="s">
        <v>1596</v>
      </c>
      <c r="Z1055" s="39" t="s">
        <v>872</v>
      </c>
      <c r="AB1055" s="39">
        <v>0.5</v>
      </c>
    </row>
    <row r="1056">
      <c r="A1056" s="39" t="s">
        <v>1131</v>
      </c>
      <c r="B1056" s="39" t="s">
        <v>1591</v>
      </c>
      <c r="C1056" s="39">
        <v>2.0</v>
      </c>
      <c r="D1056" s="41">
        <v>44111.0</v>
      </c>
      <c r="E1056" s="39" t="s">
        <v>872</v>
      </c>
      <c r="F1056" s="39" t="s">
        <v>724</v>
      </c>
      <c r="G1056" s="39" t="s">
        <v>830</v>
      </c>
      <c r="H1056" s="39">
        <v>1020.0</v>
      </c>
      <c r="N1056" s="39" t="s">
        <v>1051</v>
      </c>
      <c r="R1056" s="39" t="s">
        <v>72</v>
      </c>
      <c r="S1056" s="39" t="s">
        <v>889</v>
      </c>
      <c r="T1056" s="39" t="s">
        <v>1053</v>
      </c>
      <c r="U1056" s="39" t="s">
        <v>1051</v>
      </c>
      <c r="X1056" s="39" t="s">
        <v>1724</v>
      </c>
      <c r="Z1056" s="39" t="s">
        <v>872</v>
      </c>
      <c r="AB1056" s="39">
        <v>2.0</v>
      </c>
      <c r="AD1056" s="39">
        <v>0.0</v>
      </c>
    </row>
    <row r="1057">
      <c r="A1057" s="39" t="s">
        <v>1705</v>
      </c>
      <c r="B1057" s="39" t="s">
        <v>1706</v>
      </c>
      <c r="C1057" s="39">
        <v>2.0</v>
      </c>
      <c r="D1057" s="41">
        <v>44111.0</v>
      </c>
      <c r="E1057" s="39" t="s">
        <v>1048</v>
      </c>
      <c r="F1057" s="39" t="s">
        <v>1049</v>
      </c>
      <c r="G1057" s="39" t="s">
        <v>1050</v>
      </c>
      <c r="H1057" s="39">
        <v>1020.0</v>
      </c>
      <c r="N1057" s="39" t="s">
        <v>1051</v>
      </c>
      <c r="R1057" s="39" t="s">
        <v>957</v>
      </c>
      <c r="S1057" s="39" t="s">
        <v>889</v>
      </c>
      <c r="T1057" s="39" t="s">
        <v>1053</v>
      </c>
      <c r="U1057" s="39" t="s">
        <v>1051</v>
      </c>
      <c r="X1057" s="39" t="s">
        <v>1725</v>
      </c>
      <c r="Y1057" s="39" t="s">
        <v>1603</v>
      </c>
      <c r="Z1057" s="39" t="s">
        <v>1153</v>
      </c>
      <c r="AB1057" s="39">
        <v>2.0</v>
      </c>
    </row>
    <row r="1058">
      <c r="A1058" s="39" t="s">
        <v>1711</v>
      </c>
      <c r="B1058" s="39" t="s">
        <v>1712</v>
      </c>
      <c r="C1058" s="39">
        <v>5.0</v>
      </c>
      <c r="D1058" s="41">
        <v>44111.0</v>
      </c>
      <c r="E1058" s="39" t="s">
        <v>1048</v>
      </c>
      <c r="F1058" s="39" t="s">
        <v>1049</v>
      </c>
      <c r="G1058" s="39" t="s">
        <v>1050</v>
      </c>
      <c r="H1058" s="39">
        <v>1020.0</v>
      </c>
      <c r="N1058" s="39" t="s">
        <v>1051</v>
      </c>
      <c r="R1058" s="39" t="s">
        <v>957</v>
      </c>
      <c r="S1058" s="39" t="s">
        <v>1274</v>
      </c>
      <c r="T1058" s="39" t="s">
        <v>1053</v>
      </c>
      <c r="U1058" s="39" t="s">
        <v>1051</v>
      </c>
      <c r="X1058" s="39" t="s">
        <v>1726</v>
      </c>
      <c r="Y1058" s="39" t="s">
        <v>1603</v>
      </c>
      <c r="Z1058" s="39" t="s">
        <v>1153</v>
      </c>
      <c r="AB1058" s="39">
        <v>5.0</v>
      </c>
    </row>
    <row r="1059">
      <c r="A1059" s="39" t="s">
        <v>1727</v>
      </c>
      <c r="B1059" s="39" t="s">
        <v>1728</v>
      </c>
      <c r="C1059" s="39">
        <v>7.0</v>
      </c>
      <c r="D1059" s="41">
        <v>44111.0</v>
      </c>
      <c r="E1059" s="39" t="s">
        <v>1059</v>
      </c>
      <c r="F1059" s="39" t="s">
        <v>1060</v>
      </c>
      <c r="G1059" s="39" t="s">
        <v>1050</v>
      </c>
      <c r="H1059" s="39">
        <v>1020.0</v>
      </c>
      <c r="N1059" s="39" t="s">
        <v>1051</v>
      </c>
      <c r="R1059" s="39" t="s">
        <v>957</v>
      </c>
      <c r="S1059" s="39" t="s">
        <v>1052</v>
      </c>
      <c r="T1059" s="39" t="s">
        <v>1053</v>
      </c>
      <c r="U1059" s="39" t="s">
        <v>1051</v>
      </c>
      <c r="X1059" s="39" t="s">
        <v>1729</v>
      </c>
      <c r="Y1059" s="39" t="s">
        <v>1694</v>
      </c>
      <c r="Z1059" s="39" t="s">
        <v>872</v>
      </c>
      <c r="AB1059" s="39">
        <v>7.0</v>
      </c>
    </row>
    <row r="1060">
      <c r="A1060" s="39" t="s">
        <v>1534</v>
      </c>
      <c r="B1060" s="39" t="s">
        <v>1535</v>
      </c>
      <c r="C1060" s="39">
        <v>2.25</v>
      </c>
      <c r="D1060" s="41">
        <v>44111.333333333336</v>
      </c>
      <c r="E1060" s="39" t="s">
        <v>1600</v>
      </c>
      <c r="F1060" s="39" t="s">
        <v>1601</v>
      </c>
      <c r="G1060" s="39" t="s">
        <v>830</v>
      </c>
      <c r="H1060" s="39">
        <v>1020.0</v>
      </c>
      <c r="N1060" s="39" t="s">
        <v>883</v>
      </c>
      <c r="R1060" s="39" t="s">
        <v>832</v>
      </c>
      <c r="S1060" s="39" t="s">
        <v>833</v>
      </c>
      <c r="T1060" s="39" t="s">
        <v>884</v>
      </c>
      <c r="U1060" s="39" t="s">
        <v>883</v>
      </c>
      <c r="W1060" s="39" t="s">
        <v>904</v>
      </c>
      <c r="X1060" s="39" t="s">
        <v>1730</v>
      </c>
      <c r="Z1060" s="39" t="s">
        <v>837</v>
      </c>
      <c r="AB1060" s="39">
        <v>2.25</v>
      </c>
      <c r="AC1060" s="39">
        <v>8.0</v>
      </c>
      <c r="AD1060" s="39">
        <v>0.0</v>
      </c>
    </row>
    <row r="1061">
      <c r="A1061" s="39" t="s">
        <v>1534</v>
      </c>
      <c r="B1061" s="39" t="s">
        <v>1535</v>
      </c>
      <c r="C1061" s="39">
        <v>1.0</v>
      </c>
      <c r="D1061" s="41">
        <v>44111.479166666664</v>
      </c>
      <c r="E1061" s="39" t="s">
        <v>1600</v>
      </c>
      <c r="F1061" s="39" t="s">
        <v>1601</v>
      </c>
      <c r="G1061" s="39" t="s">
        <v>830</v>
      </c>
      <c r="H1061" s="39">
        <v>1020.0</v>
      </c>
      <c r="N1061" s="39" t="s">
        <v>883</v>
      </c>
      <c r="R1061" s="39" t="s">
        <v>832</v>
      </c>
      <c r="S1061" s="39" t="s">
        <v>833</v>
      </c>
      <c r="T1061" s="39" t="s">
        <v>884</v>
      </c>
      <c r="U1061" s="39" t="s">
        <v>883</v>
      </c>
      <c r="W1061" s="39" t="s">
        <v>904</v>
      </c>
      <c r="X1061" s="39" t="s">
        <v>1719</v>
      </c>
      <c r="Z1061" s="39" t="s">
        <v>837</v>
      </c>
      <c r="AB1061" s="39">
        <v>1.0</v>
      </c>
      <c r="AC1061" s="39">
        <v>8.0</v>
      </c>
      <c r="AD1061" s="39">
        <v>0.0</v>
      </c>
    </row>
    <row r="1062">
      <c r="A1062" s="39" t="s">
        <v>1338</v>
      </c>
      <c r="B1062" s="39" t="s">
        <v>1339</v>
      </c>
      <c r="C1062" s="39">
        <v>0.25</v>
      </c>
      <c r="D1062" s="41">
        <v>44111.493055555555</v>
      </c>
      <c r="E1062" s="39" t="s">
        <v>847</v>
      </c>
      <c r="F1062" s="39" t="s">
        <v>848</v>
      </c>
      <c r="G1062" s="39" t="s">
        <v>849</v>
      </c>
      <c r="H1062" s="39">
        <v>1020.0</v>
      </c>
      <c r="N1062" s="39" t="s">
        <v>883</v>
      </c>
      <c r="R1062" s="39" t="s">
        <v>832</v>
      </c>
      <c r="S1062" s="39" t="s">
        <v>842</v>
      </c>
      <c r="T1062" s="39" t="s">
        <v>884</v>
      </c>
      <c r="U1062" s="39" t="s">
        <v>883</v>
      </c>
      <c r="X1062" s="39" t="s">
        <v>1340</v>
      </c>
      <c r="Z1062" s="39" t="s">
        <v>951</v>
      </c>
      <c r="AB1062" s="39">
        <v>0.25</v>
      </c>
      <c r="AC1062" s="39">
        <v>4.0</v>
      </c>
      <c r="AD1062" s="39">
        <v>1.61666666666666</v>
      </c>
    </row>
    <row r="1063">
      <c r="A1063" s="39" t="s">
        <v>1498</v>
      </c>
      <c r="B1063" s="39" t="s">
        <v>1499</v>
      </c>
      <c r="C1063" s="39">
        <v>0.5</v>
      </c>
      <c r="D1063" s="41">
        <v>44111.520833333336</v>
      </c>
      <c r="E1063" s="39" t="s">
        <v>1023</v>
      </c>
      <c r="F1063" s="39" t="s">
        <v>1179</v>
      </c>
      <c r="G1063" s="39" t="s">
        <v>849</v>
      </c>
      <c r="H1063" s="39">
        <v>1020.0</v>
      </c>
      <c r="N1063" s="39" t="s">
        <v>883</v>
      </c>
      <c r="R1063" s="39" t="s">
        <v>832</v>
      </c>
      <c r="S1063" s="39" t="s">
        <v>833</v>
      </c>
      <c r="T1063" s="39" t="s">
        <v>884</v>
      </c>
      <c r="U1063" s="39" t="s">
        <v>883</v>
      </c>
      <c r="W1063" s="39" t="s">
        <v>835</v>
      </c>
      <c r="X1063" s="39" t="s">
        <v>1500</v>
      </c>
      <c r="Z1063" s="39" t="s">
        <v>876</v>
      </c>
      <c r="AB1063" s="39">
        <v>0.5</v>
      </c>
      <c r="AC1063" s="39">
        <v>8.0</v>
      </c>
      <c r="AD1063" s="39">
        <v>0.0</v>
      </c>
    </row>
    <row r="1064">
      <c r="A1064" s="39" t="s">
        <v>1511</v>
      </c>
      <c r="B1064" s="39" t="s">
        <v>1512</v>
      </c>
      <c r="C1064" s="39">
        <v>3.5</v>
      </c>
      <c r="D1064" s="41">
        <v>44111.541666666664</v>
      </c>
      <c r="E1064" s="39" t="s">
        <v>828</v>
      </c>
      <c r="F1064" s="39" t="s">
        <v>829</v>
      </c>
      <c r="G1064" s="39" t="s">
        <v>830</v>
      </c>
      <c r="H1064" s="39">
        <v>1020.0</v>
      </c>
      <c r="N1064" s="39" t="s">
        <v>938</v>
      </c>
      <c r="R1064" s="39" t="s">
        <v>832</v>
      </c>
      <c r="S1064" s="39" t="s">
        <v>939</v>
      </c>
      <c r="T1064" s="39" t="s">
        <v>741</v>
      </c>
      <c r="U1064" s="39" t="s">
        <v>938</v>
      </c>
      <c r="X1064" s="39" t="s">
        <v>1513</v>
      </c>
      <c r="Y1064" s="39" t="s">
        <v>1514</v>
      </c>
      <c r="Z1064" s="39" t="s">
        <v>828</v>
      </c>
      <c r="AB1064" s="39">
        <v>3.5</v>
      </c>
      <c r="AD1064" s="39">
        <v>0.25</v>
      </c>
    </row>
    <row r="1065">
      <c r="A1065" s="39" t="s">
        <v>1534</v>
      </c>
      <c r="B1065" s="39" t="s">
        <v>1535</v>
      </c>
      <c r="C1065" s="39">
        <v>0.5</v>
      </c>
      <c r="D1065" s="41">
        <v>44111.541666666664</v>
      </c>
      <c r="E1065" s="39" t="s">
        <v>1600</v>
      </c>
      <c r="F1065" s="39" t="s">
        <v>1601</v>
      </c>
      <c r="G1065" s="39" t="s">
        <v>830</v>
      </c>
      <c r="H1065" s="39">
        <v>1020.0</v>
      </c>
      <c r="N1065" s="39" t="s">
        <v>883</v>
      </c>
      <c r="R1065" s="39" t="s">
        <v>832</v>
      </c>
      <c r="S1065" s="39" t="s">
        <v>833</v>
      </c>
      <c r="T1065" s="39" t="s">
        <v>884</v>
      </c>
      <c r="U1065" s="39" t="s">
        <v>883</v>
      </c>
      <c r="W1065" s="39" t="s">
        <v>904</v>
      </c>
      <c r="X1065" s="39" t="s">
        <v>1719</v>
      </c>
      <c r="Z1065" s="39" t="s">
        <v>837</v>
      </c>
      <c r="AB1065" s="39">
        <v>0.5</v>
      </c>
      <c r="AC1065" s="39">
        <v>8.0</v>
      </c>
      <c r="AD1065" s="39">
        <v>0.0</v>
      </c>
    </row>
    <row r="1066">
      <c r="A1066" s="39" t="s">
        <v>1731</v>
      </c>
      <c r="B1066" s="39" t="s">
        <v>1732</v>
      </c>
      <c r="C1066" s="39">
        <v>0.333333333333333</v>
      </c>
      <c r="D1066" s="41">
        <v>44112.0</v>
      </c>
      <c r="E1066" s="39" t="s">
        <v>872</v>
      </c>
      <c r="F1066" s="39" t="s">
        <v>724</v>
      </c>
      <c r="G1066" s="39" t="s">
        <v>830</v>
      </c>
      <c r="H1066" s="39">
        <v>1020.0</v>
      </c>
      <c r="N1066" s="39" t="s">
        <v>1051</v>
      </c>
      <c r="R1066" s="39" t="s">
        <v>957</v>
      </c>
      <c r="S1066" s="39" t="s">
        <v>1052</v>
      </c>
      <c r="T1066" s="39" t="s">
        <v>1053</v>
      </c>
      <c r="U1066" s="39" t="s">
        <v>1051</v>
      </c>
      <c r="X1066" s="39" t="s">
        <v>1733</v>
      </c>
      <c r="Y1066" s="39" t="s">
        <v>1596</v>
      </c>
      <c r="Z1066" s="39" t="s">
        <v>872</v>
      </c>
      <c r="AB1066" s="39">
        <v>0.333333333333333</v>
      </c>
    </row>
    <row r="1067">
      <c r="A1067" s="39" t="s">
        <v>1511</v>
      </c>
      <c r="B1067" s="39" t="s">
        <v>1512</v>
      </c>
      <c r="C1067" s="39">
        <v>0.25</v>
      </c>
      <c r="D1067" s="41">
        <v>44112.0</v>
      </c>
      <c r="E1067" s="39" t="s">
        <v>872</v>
      </c>
      <c r="F1067" s="39" t="s">
        <v>724</v>
      </c>
      <c r="G1067" s="39" t="s">
        <v>830</v>
      </c>
      <c r="H1067" s="39">
        <v>1020.0</v>
      </c>
      <c r="N1067" s="39" t="s">
        <v>938</v>
      </c>
      <c r="R1067" s="39" t="s">
        <v>832</v>
      </c>
      <c r="S1067" s="39" t="s">
        <v>939</v>
      </c>
      <c r="T1067" s="39" t="s">
        <v>741</v>
      </c>
      <c r="U1067" s="39" t="s">
        <v>938</v>
      </c>
      <c r="X1067" s="39" t="s">
        <v>1513</v>
      </c>
      <c r="Y1067" s="39" t="s">
        <v>1514</v>
      </c>
      <c r="Z1067" s="39" t="s">
        <v>828</v>
      </c>
      <c r="AB1067" s="39">
        <v>0.25</v>
      </c>
      <c r="AD1067" s="39">
        <v>0.25</v>
      </c>
    </row>
    <row r="1068">
      <c r="A1068" s="39" t="s">
        <v>1498</v>
      </c>
      <c r="B1068" s="39" t="s">
        <v>1499</v>
      </c>
      <c r="C1068" s="39">
        <v>0.25</v>
      </c>
      <c r="D1068" s="41">
        <v>44112.0</v>
      </c>
      <c r="E1068" s="39" t="s">
        <v>872</v>
      </c>
      <c r="F1068" s="39" t="s">
        <v>724</v>
      </c>
      <c r="G1068" s="39" t="s">
        <v>830</v>
      </c>
      <c r="H1068" s="39">
        <v>1020.0</v>
      </c>
      <c r="N1068" s="39" t="s">
        <v>883</v>
      </c>
      <c r="R1068" s="39" t="s">
        <v>832</v>
      </c>
      <c r="S1068" s="39" t="s">
        <v>833</v>
      </c>
      <c r="T1068" s="39" t="s">
        <v>884</v>
      </c>
      <c r="U1068" s="39" t="s">
        <v>883</v>
      </c>
      <c r="W1068" s="39" t="s">
        <v>835</v>
      </c>
      <c r="X1068" s="39" t="s">
        <v>1500</v>
      </c>
      <c r="Z1068" s="39" t="s">
        <v>876</v>
      </c>
      <c r="AB1068" s="39">
        <v>0.25</v>
      </c>
      <c r="AC1068" s="39">
        <v>8.0</v>
      </c>
      <c r="AD1068" s="39">
        <v>0.0</v>
      </c>
    </row>
    <row r="1069">
      <c r="A1069" s="39" t="s">
        <v>1708</v>
      </c>
      <c r="B1069" s="39" t="s">
        <v>1709</v>
      </c>
      <c r="C1069" s="39">
        <v>2.0</v>
      </c>
      <c r="D1069" s="41">
        <v>44112.0</v>
      </c>
      <c r="E1069" s="39" t="s">
        <v>1048</v>
      </c>
      <c r="F1069" s="39" t="s">
        <v>1049</v>
      </c>
      <c r="G1069" s="39" t="s">
        <v>1050</v>
      </c>
      <c r="H1069" s="39">
        <v>1020.0</v>
      </c>
      <c r="N1069" s="39" t="s">
        <v>1051</v>
      </c>
      <c r="R1069" s="39" t="s">
        <v>957</v>
      </c>
      <c r="S1069" s="39" t="s">
        <v>889</v>
      </c>
      <c r="T1069" s="39" t="s">
        <v>1053</v>
      </c>
      <c r="U1069" s="39" t="s">
        <v>1051</v>
      </c>
      <c r="X1069" s="39" t="s">
        <v>1734</v>
      </c>
      <c r="Y1069" s="39" t="s">
        <v>1603</v>
      </c>
      <c r="Z1069" s="39" t="s">
        <v>1153</v>
      </c>
      <c r="AB1069" s="39">
        <v>2.0</v>
      </c>
    </row>
    <row r="1070">
      <c r="A1070" s="39" t="s">
        <v>1711</v>
      </c>
      <c r="B1070" s="39" t="s">
        <v>1712</v>
      </c>
      <c r="C1070" s="39">
        <v>5.0</v>
      </c>
      <c r="D1070" s="41">
        <v>44112.0</v>
      </c>
      <c r="E1070" s="39" t="s">
        <v>1048</v>
      </c>
      <c r="F1070" s="39" t="s">
        <v>1049</v>
      </c>
      <c r="G1070" s="39" t="s">
        <v>1050</v>
      </c>
      <c r="H1070" s="39">
        <v>1020.0</v>
      </c>
      <c r="N1070" s="39" t="s">
        <v>1051</v>
      </c>
      <c r="R1070" s="39" t="s">
        <v>957</v>
      </c>
      <c r="S1070" s="39" t="s">
        <v>1274</v>
      </c>
      <c r="T1070" s="39" t="s">
        <v>1053</v>
      </c>
      <c r="U1070" s="39" t="s">
        <v>1051</v>
      </c>
      <c r="X1070" s="39" t="s">
        <v>1735</v>
      </c>
      <c r="Y1070" s="39" t="s">
        <v>1603</v>
      </c>
      <c r="Z1070" s="39" t="s">
        <v>1153</v>
      </c>
      <c r="AB1070" s="39">
        <v>5.0</v>
      </c>
    </row>
    <row r="1071">
      <c r="A1071" s="39" t="s">
        <v>1736</v>
      </c>
      <c r="B1071" s="39" t="s">
        <v>1737</v>
      </c>
      <c r="C1071" s="39">
        <v>7.0</v>
      </c>
      <c r="D1071" s="41">
        <v>44112.0</v>
      </c>
      <c r="E1071" s="39" t="s">
        <v>1059</v>
      </c>
      <c r="F1071" s="39" t="s">
        <v>1060</v>
      </c>
      <c r="G1071" s="39" t="s">
        <v>1050</v>
      </c>
      <c r="H1071" s="39">
        <v>1020.0</v>
      </c>
      <c r="N1071" s="39" t="s">
        <v>1051</v>
      </c>
      <c r="R1071" s="39" t="s">
        <v>957</v>
      </c>
      <c r="S1071" s="39" t="s">
        <v>1052</v>
      </c>
      <c r="T1071" s="39" t="s">
        <v>1053</v>
      </c>
      <c r="U1071" s="39" t="s">
        <v>1051</v>
      </c>
      <c r="X1071" s="39" t="s">
        <v>1738</v>
      </c>
      <c r="Y1071" s="39" t="s">
        <v>1380</v>
      </c>
      <c r="Z1071" s="39" t="s">
        <v>872</v>
      </c>
      <c r="AB1071" s="39">
        <v>7.0</v>
      </c>
    </row>
    <row r="1072">
      <c r="A1072" s="39" t="s">
        <v>1511</v>
      </c>
      <c r="B1072" s="39" t="s">
        <v>1512</v>
      </c>
      <c r="C1072" s="39">
        <v>0.25</v>
      </c>
      <c r="D1072" s="41">
        <v>44112.354166666664</v>
      </c>
      <c r="E1072" s="39" t="s">
        <v>828</v>
      </c>
      <c r="F1072" s="39" t="s">
        <v>829</v>
      </c>
      <c r="G1072" s="39" t="s">
        <v>830</v>
      </c>
      <c r="H1072" s="39">
        <v>1020.0</v>
      </c>
      <c r="N1072" s="39" t="s">
        <v>938</v>
      </c>
      <c r="R1072" s="39" t="s">
        <v>832</v>
      </c>
      <c r="S1072" s="39" t="s">
        <v>939</v>
      </c>
      <c r="T1072" s="39" t="s">
        <v>741</v>
      </c>
      <c r="U1072" s="39" t="s">
        <v>938</v>
      </c>
      <c r="X1072" s="39" t="s">
        <v>1739</v>
      </c>
      <c r="Y1072" s="39" t="s">
        <v>1514</v>
      </c>
      <c r="Z1072" s="39" t="s">
        <v>828</v>
      </c>
      <c r="AB1072" s="39">
        <v>0.25</v>
      </c>
      <c r="AD1072" s="39">
        <v>0.25</v>
      </c>
    </row>
    <row r="1073">
      <c r="A1073" s="39" t="s">
        <v>1498</v>
      </c>
      <c r="B1073" s="39" t="s">
        <v>1499</v>
      </c>
      <c r="C1073" s="39">
        <v>0.25</v>
      </c>
      <c r="D1073" s="41">
        <v>44112.364583333336</v>
      </c>
      <c r="E1073" s="39" t="s">
        <v>828</v>
      </c>
      <c r="F1073" s="39" t="s">
        <v>829</v>
      </c>
      <c r="G1073" s="39" t="s">
        <v>830</v>
      </c>
      <c r="H1073" s="39">
        <v>1020.0</v>
      </c>
      <c r="N1073" s="39" t="s">
        <v>883</v>
      </c>
      <c r="R1073" s="39" t="s">
        <v>832</v>
      </c>
      <c r="S1073" s="39" t="s">
        <v>833</v>
      </c>
      <c r="T1073" s="39" t="s">
        <v>884</v>
      </c>
      <c r="U1073" s="39" t="s">
        <v>883</v>
      </c>
      <c r="W1073" s="39" t="s">
        <v>835</v>
      </c>
      <c r="X1073" s="39" t="s">
        <v>1740</v>
      </c>
      <c r="Z1073" s="39" t="s">
        <v>876</v>
      </c>
      <c r="AB1073" s="39">
        <v>0.25</v>
      </c>
      <c r="AC1073" s="39">
        <v>8.0</v>
      </c>
      <c r="AD1073" s="39">
        <v>0.0</v>
      </c>
    </row>
    <row r="1074">
      <c r="A1074" s="39" t="s">
        <v>1338</v>
      </c>
      <c r="B1074" s="39" t="s">
        <v>1339</v>
      </c>
      <c r="C1074" s="39">
        <v>0.75</v>
      </c>
      <c r="D1074" s="41">
        <v>44112.385416666664</v>
      </c>
      <c r="E1074" s="39" t="s">
        <v>828</v>
      </c>
      <c r="F1074" s="39" t="s">
        <v>829</v>
      </c>
      <c r="G1074" s="39" t="s">
        <v>830</v>
      </c>
      <c r="H1074" s="39">
        <v>1020.0</v>
      </c>
      <c r="N1074" s="39" t="s">
        <v>883</v>
      </c>
      <c r="R1074" s="39" t="s">
        <v>832</v>
      </c>
      <c r="S1074" s="39" t="s">
        <v>842</v>
      </c>
      <c r="T1074" s="39" t="s">
        <v>884</v>
      </c>
      <c r="U1074" s="39" t="s">
        <v>883</v>
      </c>
      <c r="X1074" s="39" t="s">
        <v>1741</v>
      </c>
      <c r="Z1074" s="39" t="s">
        <v>951</v>
      </c>
      <c r="AB1074" s="39">
        <v>0.75</v>
      </c>
      <c r="AC1074" s="39">
        <v>4.0</v>
      </c>
      <c r="AD1074" s="39">
        <v>1.61666666666666</v>
      </c>
    </row>
    <row r="1075">
      <c r="A1075" s="39" t="s">
        <v>1511</v>
      </c>
      <c r="B1075" s="39" t="s">
        <v>1512</v>
      </c>
      <c r="C1075" s="39">
        <v>0.5</v>
      </c>
      <c r="D1075" s="41">
        <v>44112.416666666664</v>
      </c>
      <c r="E1075" s="39" t="s">
        <v>828</v>
      </c>
      <c r="F1075" s="39" t="s">
        <v>829</v>
      </c>
      <c r="G1075" s="39" t="s">
        <v>830</v>
      </c>
      <c r="H1075" s="39">
        <v>1020.0</v>
      </c>
      <c r="N1075" s="39" t="s">
        <v>938</v>
      </c>
      <c r="R1075" s="39" t="s">
        <v>832</v>
      </c>
      <c r="S1075" s="39" t="s">
        <v>939</v>
      </c>
      <c r="T1075" s="39" t="s">
        <v>741</v>
      </c>
      <c r="U1075" s="39" t="s">
        <v>938</v>
      </c>
      <c r="X1075" s="39" t="s">
        <v>1513</v>
      </c>
      <c r="Y1075" s="39" t="s">
        <v>1514</v>
      </c>
      <c r="Z1075" s="39" t="s">
        <v>828</v>
      </c>
      <c r="AB1075" s="39">
        <v>0.5</v>
      </c>
      <c r="AD1075" s="39">
        <v>0.25</v>
      </c>
    </row>
    <row r="1076">
      <c r="A1076" s="39" t="s">
        <v>1534</v>
      </c>
      <c r="B1076" s="39" t="s">
        <v>1535</v>
      </c>
      <c r="C1076" s="39">
        <v>1.5</v>
      </c>
      <c r="D1076" s="41">
        <v>44112.625</v>
      </c>
      <c r="E1076" s="39" t="s">
        <v>1600</v>
      </c>
      <c r="F1076" s="39" t="s">
        <v>1601</v>
      </c>
      <c r="G1076" s="39" t="s">
        <v>830</v>
      </c>
      <c r="H1076" s="39">
        <v>1020.0</v>
      </c>
      <c r="N1076" s="39" t="s">
        <v>883</v>
      </c>
      <c r="R1076" s="39" t="s">
        <v>832</v>
      </c>
      <c r="S1076" s="39" t="s">
        <v>833</v>
      </c>
      <c r="T1076" s="39" t="s">
        <v>884</v>
      </c>
      <c r="U1076" s="39" t="s">
        <v>883</v>
      </c>
      <c r="W1076" s="39" t="s">
        <v>904</v>
      </c>
      <c r="X1076" s="39" t="s">
        <v>1742</v>
      </c>
      <c r="Z1076" s="39" t="s">
        <v>837</v>
      </c>
      <c r="AB1076" s="39">
        <v>1.5</v>
      </c>
      <c r="AC1076" s="39">
        <v>8.0</v>
      </c>
      <c r="AD1076" s="39">
        <v>0.0</v>
      </c>
    </row>
    <row r="1077">
      <c r="A1077" s="39" t="s">
        <v>1498</v>
      </c>
      <c r="B1077" s="39" t="s">
        <v>1499</v>
      </c>
      <c r="C1077" s="39">
        <v>1.25</v>
      </c>
      <c r="D1077" s="41">
        <v>44112.65625</v>
      </c>
      <c r="E1077" s="39" t="s">
        <v>828</v>
      </c>
      <c r="F1077" s="39" t="s">
        <v>829</v>
      </c>
      <c r="G1077" s="39" t="s">
        <v>830</v>
      </c>
      <c r="H1077" s="39">
        <v>1020.0</v>
      </c>
      <c r="N1077" s="39" t="s">
        <v>883</v>
      </c>
      <c r="R1077" s="39" t="s">
        <v>832</v>
      </c>
      <c r="S1077" s="39" t="s">
        <v>833</v>
      </c>
      <c r="T1077" s="39" t="s">
        <v>884</v>
      </c>
      <c r="U1077" s="39" t="s">
        <v>883</v>
      </c>
      <c r="W1077" s="39" t="s">
        <v>835</v>
      </c>
      <c r="X1077" s="39" t="s">
        <v>1500</v>
      </c>
      <c r="Z1077" s="39" t="s">
        <v>876</v>
      </c>
      <c r="AB1077" s="39">
        <v>1.25</v>
      </c>
      <c r="AC1077" s="39">
        <v>8.0</v>
      </c>
      <c r="AD1077" s="39">
        <v>0.0</v>
      </c>
    </row>
    <row r="1078">
      <c r="A1078" s="39" t="s">
        <v>1694</v>
      </c>
      <c r="B1078" s="39" t="s">
        <v>1695</v>
      </c>
      <c r="C1078" s="39">
        <v>1.0</v>
      </c>
      <c r="D1078" s="41">
        <v>44113.0</v>
      </c>
      <c r="E1078" s="39" t="s">
        <v>872</v>
      </c>
      <c r="F1078" s="39" t="s">
        <v>724</v>
      </c>
      <c r="G1078" s="39" t="s">
        <v>830</v>
      </c>
      <c r="H1078" s="39">
        <v>1020.0</v>
      </c>
      <c r="N1078" s="39" t="s">
        <v>1051</v>
      </c>
      <c r="R1078" s="39" t="s">
        <v>832</v>
      </c>
      <c r="S1078" s="39" t="s">
        <v>889</v>
      </c>
      <c r="T1078" s="39" t="s">
        <v>1053</v>
      </c>
      <c r="U1078" s="39" t="s">
        <v>1051</v>
      </c>
      <c r="X1078" s="39" t="s">
        <v>1696</v>
      </c>
      <c r="Y1078" s="39" t="s">
        <v>1131</v>
      </c>
      <c r="Z1078" s="39" t="s">
        <v>872</v>
      </c>
      <c r="AB1078" s="39">
        <v>1.0</v>
      </c>
    </row>
    <row r="1079">
      <c r="A1079" s="39" t="s">
        <v>1578</v>
      </c>
      <c r="B1079" s="39" t="s">
        <v>1579</v>
      </c>
      <c r="C1079" s="39">
        <v>0.5</v>
      </c>
      <c r="D1079" s="41">
        <v>44113.0</v>
      </c>
      <c r="E1079" s="39" t="s">
        <v>872</v>
      </c>
      <c r="F1079" s="39" t="s">
        <v>724</v>
      </c>
      <c r="G1079" s="39" t="s">
        <v>830</v>
      </c>
      <c r="H1079" s="39">
        <v>1020.0</v>
      </c>
      <c r="N1079" s="39" t="s">
        <v>1051</v>
      </c>
      <c r="R1079" s="39" t="s">
        <v>832</v>
      </c>
      <c r="S1079" s="39" t="s">
        <v>889</v>
      </c>
      <c r="T1079" s="39" t="s">
        <v>1053</v>
      </c>
      <c r="U1079" s="39" t="s">
        <v>1051</v>
      </c>
      <c r="X1079" s="39" t="s">
        <v>1580</v>
      </c>
      <c r="Y1079" s="39" t="s">
        <v>1131</v>
      </c>
      <c r="Z1079" s="39" t="s">
        <v>872</v>
      </c>
      <c r="AB1079" s="39">
        <v>0.5</v>
      </c>
    </row>
    <row r="1080">
      <c r="A1080" s="39" t="s">
        <v>1705</v>
      </c>
      <c r="B1080" s="39" t="s">
        <v>1706</v>
      </c>
      <c r="C1080" s="39">
        <v>0.25</v>
      </c>
      <c r="D1080" s="41">
        <v>44113.0</v>
      </c>
      <c r="E1080" s="39" t="s">
        <v>872</v>
      </c>
      <c r="F1080" s="39" t="s">
        <v>724</v>
      </c>
      <c r="G1080" s="39" t="s">
        <v>830</v>
      </c>
      <c r="H1080" s="39">
        <v>1020.0</v>
      </c>
      <c r="N1080" s="39" t="s">
        <v>1051</v>
      </c>
      <c r="R1080" s="39" t="s">
        <v>957</v>
      </c>
      <c r="S1080" s="39" t="s">
        <v>889</v>
      </c>
      <c r="T1080" s="39" t="s">
        <v>1053</v>
      </c>
      <c r="U1080" s="39" t="s">
        <v>1051</v>
      </c>
      <c r="X1080" s="39" t="s">
        <v>1743</v>
      </c>
      <c r="Y1080" s="39" t="s">
        <v>1603</v>
      </c>
      <c r="Z1080" s="39" t="s">
        <v>1153</v>
      </c>
      <c r="AB1080" s="39">
        <v>0.25</v>
      </c>
    </row>
    <row r="1081">
      <c r="A1081" s="39" t="s">
        <v>1744</v>
      </c>
      <c r="B1081" s="39" t="s">
        <v>1745</v>
      </c>
      <c r="C1081" s="39">
        <v>2.0</v>
      </c>
      <c r="D1081" s="41">
        <v>44113.0</v>
      </c>
      <c r="E1081" s="39" t="s">
        <v>1048</v>
      </c>
      <c r="F1081" s="39" t="s">
        <v>1049</v>
      </c>
      <c r="G1081" s="39" t="s">
        <v>1050</v>
      </c>
      <c r="H1081" s="39">
        <v>1020.0</v>
      </c>
      <c r="N1081" s="39" t="s">
        <v>1051</v>
      </c>
      <c r="R1081" s="39" t="s">
        <v>1746</v>
      </c>
      <c r="S1081" s="39" t="s">
        <v>1052</v>
      </c>
      <c r="T1081" s="39" t="s">
        <v>1053</v>
      </c>
      <c r="U1081" s="39" t="s">
        <v>1051</v>
      </c>
      <c r="X1081" s="39" t="s">
        <v>1747</v>
      </c>
      <c r="Z1081" s="39" t="s">
        <v>872</v>
      </c>
      <c r="AB1081" s="39">
        <v>2.0</v>
      </c>
    </row>
    <row r="1082">
      <c r="A1082" s="39" t="s">
        <v>1705</v>
      </c>
      <c r="B1082" s="39" t="s">
        <v>1706</v>
      </c>
      <c r="C1082" s="39">
        <v>2.0</v>
      </c>
      <c r="D1082" s="41">
        <v>44113.0</v>
      </c>
      <c r="E1082" s="39" t="s">
        <v>1048</v>
      </c>
      <c r="F1082" s="39" t="s">
        <v>1049</v>
      </c>
      <c r="G1082" s="39" t="s">
        <v>1050</v>
      </c>
      <c r="H1082" s="39">
        <v>1020.0</v>
      </c>
      <c r="N1082" s="39" t="s">
        <v>1051</v>
      </c>
      <c r="R1082" s="39" t="s">
        <v>957</v>
      </c>
      <c r="S1082" s="39" t="s">
        <v>889</v>
      </c>
      <c r="T1082" s="39" t="s">
        <v>1053</v>
      </c>
      <c r="U1082" s="39" t="s">
        <v>1051</v>
      </c>
      <c r="X1082" s="39" t="s">
        <v>1748</v>
      </c>
      <c r="Y1082" s="39" t="s">
        <v>1603</v>
      </c>
      <c r="Z1082" s="39" t="s">
        <v>1153</v>
      </c>
      <c r="AB1082" s="39">
        <v>2.0</v>
      </c>
    </row>
    <row r="1083">
      <c r="A1083" s="39" t="s">
        <v>1711</v>
      </c>
      <c r="B1083" s="39" t="s">
        <v>1712</v>
      </c>
      <c r="C1083" s="39">
        <v>1.0</v>
      </c>
      <c r="D1083" s="41">
        <v>44113.0</v>
      </c>
      <c r="E1083" s="39" t="s">
        <v>1048</v>
      </c>
      <c r="F1083" s="39" t="s">
        <v>1049</v>
      </c>
      <c r="G1083" s="39" t="s">
        <v>1050</v>
      </c>
      <c r="H1083" s="39">
        <v>1020.0</v>
      </c>
      <c r="N1083" s="39" t="s">
        <v>1051</v>
      </c>
      <c r="R1083" s="39" t="s">
        <v>957</v>
      </c>
      <c r="S1083" s="39" t="s">
        <v>1274</v>
      </c>
      <c r="T1083" s="39" t="s">
        <v>1053</v>
      </c>
      <c r="U1083" s="39" t="s">
        <v>1051</v>
      </c>
      <c r="X1083" s="39" t="s">
        <v>1749</v>
      </c>
      <c r="Y1083" s="39" t="s">
        <v>1603</v>
      </c>
      <c r="Z1083" s="39" t="s">
        <v>1153</v>
      </c>
      <c r="AB1083" s="39">
        <v>1.0</v>
      </c>
    </row>
    <row r="1084">
      <c r="A1084" s="39" t="s">
        <v>1727</v>
      </c>
      <c r="B1084" s="39" t="s">
        <v>1728</v>
      </c>
      <c r="C1084" s="39">
        <v>7.0</v>
      </c>
      <c r="D1084" s="41">
        <v>44113.0</v>
      </c>
      <c r="E1084" s="39" t="s">
        <v>1059</v>
      </c>
      <c r="F1084" s="39" t="s">
        <v>1060</v>
      </c>
      <c r="G1084" s="39" t="s">
        <v>1050</v>
      </c>
      <c r="H1084" s="39">
        <v>1020.0</v>
      </c>
      <c r="N1084" s="39" t="s">
        <v>1051</v>
      </c>
      <c r="R1084" s="39" t="s">
        <v>957</v>
      </c>
      <c r="S1084" s="39" t="s">
        <v>1052</v>
      </c>
      <c r="T1084" s="39" t="s">
        <v>1053</v>
      </c>
      <c r="U1084" s="39" t="s">
        <v>1051</v>
      </c>
      <c r="X1084" s="39" t="s">
        <v>1750</v>
      </c>
      <c r="Y1084" s="39" t="s">
        <v>1694</v>
      </c>
      <c r="Z1084" s="39" t="s">
        <v>872</v>
      </c>
      <c r="AB1084" s="39">
        <v>7.0</v>
      </c>
    </row>
    <row r="1085">
      <c r="A1085" s="39" t="s">
        <v>1534</v>
      </c>
      <c r="B1085" s="39" t="s">
        <v>1535</v>
      </c>
      <c r="C1085" s="39">
        <v>5.0</v>
      </c>
      <c r="D1085" s="41">
        <v>44113.3125</v>
      </c>
      <c r="E1085" s="39" t="s">
        <v>1600</v>
      </c>
      <c r="F1085" s="39" t="s">
        <v>1601</v>
      </c>
      <c r="G1085" s="39" t="s">
        <v>830</v>
      </c>
      <c r="H1085" s="39">
        <v>1020.0</v>
      </c>
      <c r="N1085" s="39" t="s">
        <v>883</v>
      </c>
      <c r="R1085" s="39" t="s">
        <v>832</v>
      </c>
      <c r="S1085" s="39" t="s">
        <v>833</v>
      </c>
      <c r="T1085" s="39" t="s">
        <v>884</v>
      </c>
      <c r="U1085" s="39" t="s">
        <v>883</v>
      </c>
      <c r="W1085" s="39" t="s">
        <v>904</v>
      </c>
      <c r="X1085" s="39" t="s">
        <v>1751</v>
      </c>
      <c r="Z1085" s="39" t="s">
        <v>837</v>
      </c>
      <c r="AB1085" s="39">
        <v>5.0</v>
      </c>
      <c r="AC1085" s="39">
        <v>8.0</v>
      </c>
      <c r="AD1085" s="39">
        <v>0.0</v>
      </c>
    </row>
    <row r="1086">
      <c r="A1086" s="39" t="s">
        <v>1534</v>
      </c>
      <c r="B1086" s="39" t="s">
        <v>1535</v>
      </c>
      <c r="C1086" s="39">
        <v>2.25</v>
      </c>
      <c r="D1086" s="41">
        <v>44113.572916666664</v>
      </c>
      <c r="E1086" s="39" t="s">
        <v>1600</v>
      </c>
      <c r="F1086" s="39" t="s">
        <v>1601</v>
      </c>
      <c r="G1086" s="39" t="s">
        <v>830</v>
      </c>
      <c r="H1086" s="39">
        <v>1020.0</v>
      </c>
      <c r="N1086" s="39" t="s">
        <v>883</v>
      </c>
      <c r="R1086" s="39" t="s">
        <v>832</v>
      </c>
      <c r="S1086" s="39" t="s">
        <v>833</v>
      </c>
      <c r="T1086" s="39" t="s">
        <v>884</v>
      </c>
      <c r="U1086" s="39" t="s">
        <v>883</v>
      </c>
      <c r="W1086" s="39" t="s">
        <v>904</v>
      </c>
      <c r="X1086" s="39" t="s">
        <v>1751</v>
      </c>
      <c r="Z1086" s="39" t="s">
        <v>837</v>
      </c>
      <c r="AB1086" s="39">
        <v>2.25</v>
      </c>
      <c r="AC1086" s="39">
        <v>8.0</v>
      </c>
      <c r="AD1086" s="39">
        <v>0.0</v>
      </c>
    </row>
    <row r="1087">
      <c r="A1087" s="39" t="s">
        <v>1131</v>
      </c>
      <c r="B1087" s="39" t="s">
        <v>1591</v>
      </c>
      <c r="C1087" s="39">
        <v>1.0</v>
      </c>
      <c r="D1087" s="41">
        <v>44114.43958333333</v>
      </c>
      <c r="E1087" s="39" t="s">
        <v>872</v>
      </c>
      <c r="F1087" s="39" t="s">
        <v>724</v>
      </c>
      <c r="G1087" s="39" t="s">
        <v>830</v>
      </c>
      <c r="H1087" s="39">
        <v>1020.0</v>
      </c>
      <c r="N1087" s="39" t="s">
        <v>1051</v>
      </c>
      <c r="R1087" s="39" t="s">
        <v>72</v>
      </c>
      <c r="S1087" s="39" t="s">
        <v>889</v>
      </c>
      <c r="T1087" s="39" t="s">
        <v>1053</v>
      </c>
      <c r="U1087" s="39" t="s">
        <v>1051</v>
      </c>
      <c r="X1087" s="39" t="s">
        <v>1724</v>
      </c>
      <c r="Z1087" s="39" t="s">
        <v>872</v>
      </c>
      <c r="AB1087" s="39">
        <v>1.0</v>
      </c>
      <c r="AD1087" s="39">
        <v>0.0</v>
      </c>
    </row>
    <row r="1088">
      <c r="A1088" s="39" t="s">
        <v>1752</v>
      </c>
      <c r="B1088" s="39" t="s">
        <v>1753</v>
      </c>
      <c r="C1088" s="39">
        <v>7.0</v>
      </c>
      <c r="D1088" s="41">
        <v>44117.0</v>
      </c>
      <c r="E1088" s="39" t="s">
        <v>1059</v>
      </c>
      <c r="F1088" s="39" t="s">
        <v>1060</v>
      </c>
      <c r="G1088" s="39" t="s">
        <v>1050</v>
      </c>
      <c r="H1088" s="39">
        <v>1020.0</v>
      </c>
      <c r="N1088" s="39" t="s">
        <v>1051</v>
      </c>
      <c r="R1088" s="39" t="s">
        <v>957</v>
      </c>
      <c r="S1088" s="39" t="s">
        <v>1052</v>
      </c>
      <c r="T1088" s="39" t="s">
        <v>1053</v>
      </c>
      <c r="U1088" s="39" t="s">
        <v>1051</v>
      </c>
      <c r="X1088" s="39" t="s">
        <v>1754</v>
      </c>
      <c r="Y1088" s="39" t="s">
        <v>1380</v>
      </c>
      <c r="Z1088" s="39" t="s">
        <v>872</v>
      </c>
      <c r="AB1088" s="39">
        <v>7.0</v>
      </c>
    </row>
    <row r="1089">
      <c r="A1089" s="39" t="s">
        <v>1534</v>
      </c>
      <c r="B1089" s="39" t="s">
        <v>1535</v>
      </c>
      <c r="C1089" s="39">
        <v>3.5</v>
      </c>
      <c r="D1089" s="41">
        <v>44117.333333333336</v>
      </c>
      <c r="E1089" s="39" t="s">
        <v>1600</v>
      </c>
      <c r="F1089" s="39" t="s">
        <v>1601</v>
      </c>
      <c r="G1089" s="39" t="s">
        <v>830</v>
      </c>
      <c r="H1089" s="39">
        <v>1020.0</v>
      </c>
      <c r="N1089" s="39" t="s">
        <v>883</v>
      </c>
      <c r="R1089" s="39" t="s">
        <v>832</v>
      </c>
      <c r="S1089" s="39" t="s">
        <v>833</v>
      </c>
      <c r="T1089" s="39" t="s">
        <v>884</v>
      </c>
      <c r="U1089" s="39" t="s">
        <v>883</v>
      </c>
      <c r="W1089" s="39" t="s">
        <v>904</v>
      </c>
      <c r="X1089" s="39" t="s">
        <v>1755</v>
      </c>
      <c r="Z1089" s="39" t="s">
        <v>837</v>
      </c>
      <c r="AB1089" s="39">
        <v>3.5</v>
      </c>
      <c r="AC1089" s="39">
        <v>8.0</v>
      </c>
      <c r="AD1089" s="39">
        <v>0.0</v>
      </c>
    </row>
    <row r="1090">
      <c r="A1090" s="39" t="s">
        <v>1498</v>
      </c>
      <c r="B1090" s="39" t="s">
        <v>1499</v>
      </c>
      <c r="C1090" s="39">
        <v>0.25</v>
      </c>
      <c r="D1090" s="41">
        <v>44117.416666666664</v>
      </c>
      <c r="E1090" s="39" t="s">
        <v>828</v>
      </c>
      <c r="F1090" s="39" t="s">
        <v>829</v>
      </c>
      <c r="G1090" s="39" t="s">
        <v>830</v>
      </c>
      <c r="H1090" s="39">
        <v>1020.0</v>
      </c>
      <c r="N1090" s="39" t="s">
        <v>883</v>
      </c>
      <c r="R1090" s="39" t="s">
        <v>832</v>
      </c>
      <c r="S1090" s="39" t="s">
        <v>833</v>
      </c>
      <c r="T1090" s="39" t="s">
        <v>884</v>
      </c>
      <c r="U1090" s="39" t="s">
        <v>883</v>
      </c>
      <c r="W1090" s="39" t="s">
        <v>835</v>
      </c>
      <c r="X1090" s="39" t="s">
        <v>1673</v>
      </c>
      <c r="Z1090" s="39" t="s">
        <v>876</v>
      </c>
      <c r="AB1090" s="39">
        <v>0.25</v>
      </c>
      <c r="AC1090" s="39">
        <v>8.0</v>
      </c>
      <c r="AD1090" s="39">
        <v>0.0</v>
      </c>
    </row>
    <row r="1091">
      <c r="A1091" s="39" t="s">
        <v>1511</v>
      </c>
      <c r="B1091" s="39" t="s">
        <v>1512</v>
      </c>
      <c r="C1091" s="39">
        <v>0.25</v>
      </c>
      <c r="D1091" s="41">
        <v>44117.46875</v>
      </c>
      <c r="E1091" s="39" t="s">
        <v>828</v>
      </c>
      <c r="F1091" s="39" t="s">
        <v>829</v>
      </c>
      <c r="G1091" s="39" t="s">
        <v>830</v>
      </c>
      <c r="H1091" s="39">
        <v>1020.0</v>
      </c>
      <c r="N1091" s="39" t="s">
        <v>938</v>
      </c>
      <c r="R1091" s="39" t="s">
        <v>832</v>
      </c>
      <c r="S1091" s="39" t="s">
        <v>939</v>
      </c>
      <c r="T1091" s="39" t="s">
        <v>741</v>
      </c>
      <c r="U1091" s="39" t="s">
        <v>938</v>
      </c>
      <c r="X1091" s="39" t="s">
        <v>1513</v>
      </c>
      <c r="Y1091" s="39" t="s">
        <v>1514</v>
      </c>
      <c r="Z1091" s="39" t="s">
        <v>828</v>
      </c>
      <c r="AB1091" s="39">
        <v>0.25</v>
      </c>
      <c r="AD1091" s="39">
        <v>0.25</v>
      </c>
    </row>
    <row r="1092">
      <c r="A1092" s="39" t="s">
        <v>1511</v>
      </c>
      <c r="B1092" s="39" t="s">
        <v>1512</v>
      </c>
      <c r="C1092" s="39">
        <v>0.5</v>
      </c>
      <c r="D1092" s="41">
        <v>44117.489583333336</v>
      </c>
      <c r="E1092" s="39" t="s">
        <v>828</v>
      </c>
      <c r="F1092" s="39" t="s">
        <v>829</v>
      </c>
      <c r="G1092" s="39" t="s">
        <v>830</v>
      </c>
      <c r="H1092" s="39">
        <v>1020.0</v>
      </c>
      <c r="N1092" s="39" t="s">
        <v>938</v>
      </c>
      <c r="R1092" s="39" t="s">
        <v>832</v>
      </c>
      <c r="S1092" s="39" t="s">
        <v>939</v>
      </c>
      <c r="T1092" s="39" t="s">
        <v>741</v>
      </c>
      <c r="U1092" s="39" t="s">
        <v>938</v>
      </c>
      <c r="X1092" s="39" t="s">
        <v>1513</v>
      </c>
      <c r="Y1092" s="39" t="s">
        <v>1514</v>
      </c>
      <c r="Z1092" s="39" t="s">
        <v>828</v>
      </c>
      <c r="AB1092" s="39">
        <v>0.5</v>
      </c>
      <c r="AD1092" s="39">
        <v>0.25</v>
      </c>
    </row>
    <row r="1093">
      <c r="A1093" s="39" t="s">
        <v>1534</v>
      </c>
      <c r="B1093" s="39" t="s">
        <v>1535</v>
      </c>
      <c r="C1093" s="39">
        <v>0.5</v>
      </c>
      <c r="D1093" s="41">
        <v>44117.5</v>
      </c>
      <c r="E1093" s="39" t="s">
        <v>1600</v>
      </c>
      <c r="F1093" s="39" t="s">
        <v>1601</v>
      </c>
      <c r="G1093" s="39" t="s">
        <v>830</v>
      </c>
      <c r="H1093" s="39">
        <v>1020.0</v>
      </c>
      <c r="N1093" s="39" t="s">
        <v>883</v>
      </c>
      <c r="R1093" s="39" t="s">
        <v>832</v>
      </c>
      <c r="S1093" s="39" t="s">
        <v>833</v>
      </c>
      <c r="T1093" s="39" t="s">
        <v>884</v>
      </c>
      <c r="U1093" s="39" t="s">
        <v>883</v>
      </c>
      <c r="W1093" s="39" t="s">
        <v>904</v>
      </c>
      <c r="X1093" s="39" t="s">
        <v>1719</v>
      </c>
      <c r="Z1093" s="39" t="s">
        <v>837</v>
      </c>
      <c r="AB1093" s="39">
        <v>0.5</v>
      </c>
      <c r="AC1093" s="39">
        <v>8.0</v>
      </c>
      <c r="AD1093" s="39">
        <v>0.0</v>
      </c>
    </row>
    <row r="1094">
      <c r="A1094" s="39" t="s">
        <v>1534</v>
      </c>
      <c r="B1094" s="39" t="s">
        <v>1535</v>
      </c>
      <c r="C1094" s="39">
        <v>1.0</v>
      </c>
      <c r="D1094" s="41">
        <v>44117.541666666664</v>
      </c>
      <c r="E1094" s="39" t="s">
        <v>1600</v>
      </c>
      <c r="F1094" s="39" t="s">
        <v>1601</v>
      </c>
      <c r="G1094" s="39" t="s">
        <v>830</v>
      </c>
      <c r="H1094" s="39">
        <v>1020.0</v>
      </c>
      <c r="N1094" s="39" t="s">
        <v>883</v>
      </c>
      <c r="R1094" s="39" t="s">
        <v>832</v>
      </c>
      <c r="S1094" s="39" t="s">
        <v>833</v>
      </c>
      <c r="T1094" s="39" t="s">
        <v>884</v>
      </c>
      <c r="U1094" s="39" t="s">
        <v>883</v>
      </c>
      <c r="W1094" s="39" t="s">
        <v>904</v>
      </c>
      <c r="X1094" s="39" t="s">
        <v>1756</v>
      </c>
      <c r="Z1094" s="39" t="s">
        <v>837</v>
      </c>
      <c r="AB1094" s="39">
        <v>1.0</v>
      </c>
      <c r="AC1094" s="39">
        <v>8.0</v>
      </c>
      <c r="AD1094" s="39">
        <v>0.0</v>
      </c>
    </row>
    <row r="1095">
      <c r="A1095" s="39" t="s">
        <v>1511</v>
      </c>
      <c r="B1095" s="39" t="s">
        <v>1512</v>
      </c>
      <c r="C1095" s="39">
        <v>3.5</v>
      </c>
      <c r="D1095" s="41">
        <v>44117.552083333336</v>
      </c>
      <c r="E1095" s="39" t="s">
        <v>828</v>
      </c>
      <c r="F1095" s="39" t="s">
        <v>829</v>
      </c>
      <c r="G1095" s="39" t="s">
        <v>830</v>
      </c>
      <c r="H1095" s="39">
        <v>1020.0</v>
      </c>
      <c r="N1095" s="39" t="s">
        <v>938</v>
      </c>
      <c r="R1095" s="39" t="s">
        <v>832</v>
      </c>
      <c r="S1095" s="39" t="s">
        <v>939</v>
      </c>
      <c r="T1095" s="39" t="s">
        <v>741</v>
      </c>
      <c r="U1095" s="39" t="s">
        <v>938</v>
      </c>
      <c r="X1095" s="39" t="s">
        <v>1513</v>
      </c>
      <c r="Y1095" s="39" t="s">
        <v>1514</v>
      </c>
      <c r="Z1095" s="39" t="s">
        <v>828</v>
      </c>
      <c r="AB1095" s="39">
        <v>3.5</v>
      </c>
      <c r="AD1095" s="39">
        <v>0.25</v>
      </c>
    </row>
    <row r="1096">
      <c r="A1096" s="39" t="s">
        <v>1534</v>
      </c>
      <c r="B1096" s="39" t="s">
        <v>1535</v>
      </c>
      <c r="C1096" s="39">
        <v>2.25</v>
      </c>
      <c r="D1096" s="41">
        <v>44117.59375</v>
      </c>
      <c r="E1096" s="39" t="s">
        <v>1600</v>
      </c>
      <c r="F1096" s="39" t="s">
        <v>1601</v>
      </c>
      <c r="G1096" s="39" t="s">
        <v>830</v>
      </c>
      <c r="H1096" s="39">
        <v>1020.0</v>
      </c>
      <c r="N1096" s="39" t="s">
        <v>883</v>
      </c>
      <c r="R1096" s="39" t="s">
        <v>832</v>
      </c>
      <c r="S1096" s="39" t="s">
        <v>833</v>
      </c>
      <c r="T1096" s="39" t="s">
        <v>884</v>
      </c>
      <c r="U1096" s="39" t="s">
        <v>883</v>
      </c>
      <c r="W1096" s="39" t="s">
        <v>904</v>
      </c>
      <c r="X1096" s="39" t="s">
        <v>1757</v>
      </c>
      <c r="Z1096" s="39" t="s">
        <v>837</v>
      </c>
      <c r="AB1096" s="39">
        <v>2.25</v>
      </c>
      <c r="AC1096" s="39">
        <v>8.0</v>
      </c>
      <c r="AD1096" s="39">
        <v>0.0</v>
      </c>
    </row>
    <row r="1097">
      <c r="A1097" s="39" t="s">
        <v>1498</v>
      </c>
      <c r="B1097" s="39" t="s">
        <v>1499</v>
      </c>
      <c r="C1097" s="39">
        <v>0.25</v>
      </c>
      <c r="D1097" s="41">
        <v>44117.697916666664</v>
      </c>
      <c r="E1097" s="39" t="s">
        <v>828</v>
      </c>
      <c r="F1097" s="39" t="s">
        <v>829</v>
      </c>
      <c r="G1097" s="39" t="s">
        <v>830</v>
      </c>
      <c r="H1097" s="39">
        <v>1020.0</v>
      </c>
      <c r="N1097" s="39" t="s">
        <v>883</v>
      </c>
      <c r="R1097" s="39" t="s">
        <v>832</v>
      </c>
      <c r="S1097" s="39" t="s">
        <v>833</v>
      </c>
      <c r="T1097" s="39" t="s">
        <v>884</v>
      </c>
      <c r="U1097" s="39" t="s">
        <v>883</v>
      </c>
      <c r="W1097" s="39" t="s">
        <v>835</v>
      </c>
      <c r="X1097" s="39" t="s">
        <v>1673</v>
      </c>
      <c r="Z1097" s="39" t="s">
        <v>876</v>
      </c>
      <c r="AB1097" s="39">
        <v>0.25</v>
      </c>
      <c r="AC1097" s="39">
        <v>8.0</v>
      </c>
      <c r="AD1097" s="39">
        <v>0.0</v>
      </c>
    </row>
    <row r="1098">
      <c r="A1098" s="39" t="s">
        <v>1131</v>
      </c>
      <c r="B1098" s="39" t="s">
        <v>1591</v>
      </c>
      <c r="C1098" s="39">
        <v>2.0</v>
      </c>
      <c r="D1098" s="41">
        <v>44118.0</v>
      </c>
      <c r="E1098" s="39" t="s">
        <v>872</v>
      </c>
      <c r="F1098" s="39" t="s">
        <v>724</v>
      </c>
      <c r="G1098" s="39" t="s">
        <v>830</v>
      </c>
      <c r="H1098" s="39">
        <v>1020.0</v>
      </c>
      <c r="N1098" s="39" t="s">
        <v>1051</v>
      </c>
      <c r="R1098" s="39" t="s">
        <v>72</v>
      </c>
      <c r="S1098" s="39" t="s">
        <v>889</v>
      </c>
      <c r="T1098" s="39" t="s">
        <v>1053</v>
      </c>
      <c r="U1098" s="39" t="s">
        <v>1051</v>
      </c>
      <c r="X1098" s="39" t="s">
        <v>1724</v>
      </c>
      <c r="Z1098" s="39" t="s">
        <v>872</v>
      </c>
      <c r="AB1098" s="39">
        <v>2.0</v>
      </c>
      <c r="AD1098" s="39">
        <v>0.0</v>
      </c>
    </row>
    <row r="1099">
      <c r="A1099" s="39" t="s">
        <v>1705</v>
      </c>
      <c r="B1099" s="39" t="s">
        <v>1706</v>
      </c>
      <c r="C1099" s="39">
        <v>4.0</v>
      </c>
      <c r="D1099" s="41">
        <v>44118.0</v>
      </c>
      <c r="E1099" s="39" t="s">
        <v>1048</v>
      </c>
      <c r="F1099" s="39" t="s">
        <v>1049</v>
      </c>
      <c r="G1099" s="39" t="s">
        <v>1050</v>
      </c>
      <c r="H1099" s="39">
        <v>1020.0</v>
      </c>
      <c r="N1099" s="39" t="s">
        <v>1051</v>
      </c>
      <c r="R1099" s="39" t="s">
        <v>957</v>
      </c>
      <c r="S1099" s="39" t="s">
        <v>889</v>
      </c>
      <c r="T1099" s="39" t="s">
        <v>1053</v>
      </c>
      <c r="U1099" s="39" t="s">
        <v>1051</v>
      </c>
      <c r="X1099" s="39" t="s">
        <v>1758</v>
      </c>
      <c r="Y1099" s="39" t="s">
        <v>1603</v>
      </c>
      <c r="Z1099" s="39" t="s">
        <v>1153</v>
      </c>
      <c r="AB1099" s="39">
        <v>4.0</v>
      </c>
    </row>
    <row r="1100">
      <c r="A1100" s="39" t="s">
        <v>1380</v>
      </c>
      <c r="B1100" s="39" t="s">
        <v>1381</v>
      </c>
      <c r="C1100" s="39">
        <v>7.0</v>
      </c>
      <c r="D1100" s="41">
        <v>44118.0</v>
      </c>
      <c r="E1100" s="39" t="s">
        <v>1059</v>
      </c>
      <c r="F1100" s="39" t="s">
        <v>1060</v>
      </c>
      <c r="G1100" s="39" t="s">
        <v>1050</v>
      </c>
      <c r="H1100" s="39">
        <v>1020.0</v>
      </c>
      <c r="N1100" s="39" t="s">
        <v>1051</v>
      </c>
      <c r="R1100" s="39" t="s">
        <v>832</v>
      </c>
      <c r="S1100" s="39" t="s">
        <v>889</v>
      </c>
      <c r="T1100" s="39" t="s">
        <v>1053</v>
      </c>
      <c r="U1100" s="39" t="s">
        <v>1051</v>
      </c>
      <c r="X1100" s="39" t="s">
        <v>1759</v>
      </c>
      <c r="Y1100" s="39" t="s">
        <v>1131</v>
      </c>
      <c r="Z1100" s="39" t="s">
        <v>872</v>
      </c>
      <c r="AB1100" s="39">
        <v>7.0</v>
      </c>
    </row>
    <row r="1101">
      <c r="A1101" s="39" t="s">
        <v>1534</v>
      </c>
      <c r="B1101" s="39" t="s">
        <v>1535</v>
      </c>
      <c r="C1101" s="39">
        <v>4.25</v>
      </c>
      <c r="D1101" s="41">
        <v>44118.34375</v>
      </c>
      <c r="E1101" s="39" t="s">
        <v>1600</v>
      </c>
      <c r="F1101" s="39" t="s">
        <v>1601</v>
      </c>
      <c r="G1101" s="39" t="s">
        <v>830</v>
      </c>
      <c r="H1101" s="39">
        <v>1020.0</v>
      </c>
      <c r="N1101" s="39" t="s">
        <v>883</v>
      </c>
      <c r="R1101" s="39" t="s">
        <v>832</v>
      </c>
      <c r="S1101" s="39" t="s">
        <v>833</v>
      </c>
      <c r="T1101" s="39" t="s">
        <v>884</v>
      </c>
      <c r="U1101" s="39" t="s">
        <v>883</v>
      </c>
      <c r="W1101" s="39" t="s">
        <v>904</v>
      </c>
      <c r="X1101" s="39" t="s">
        <v>1760</v>
      </c>
      <c r="Z1101" s="39" t="s">
        <v>837</v>
      </c>
      <c r="AB1101" s="39">
        <v>4.25</v>
      </c>
      <c r="AC1101" s="39">
        <v>8.0</v>
      </c>
      <c r="AD1101" s="39">
        <v>0.0</v>
      </c>
    </row>
    <row r="1102">
      <c r="A1102" s="39" t="s">
        <v>1511</v>
      </c>
      <c r="B1102" s="39" t="s">
        <v>1512</v>
      </c>
      <c r="C1102" s="39">
        <v>0.5</v>
      </c>
      <c r="D1102" s="41">
        <v>44118.385416666664</v>
      </c>
      <c r="E1102" s="39" t="s">
        <v>828</v>
      </c>
      <c r="F1102" s="39" t="s">
        <v>829</v>
      </c>
      <c r="G1102" s="39" t="s">
        <v>830</v>
      </c>
      <c r="H1102" s="39">
        <v>1020.0</v>
      </c>
      <c r="N1102" s="39" t="s">
        <v>938</v>
      </c>
      <c r="R1102" s="39" t="s">
        <v>832</v>
      </c>
      <c r="S1102" s="39" t="s">
        <v>939</v>
      </c>
      <c r="T1102" s="39" t="s">
        <v>741</v>
      </c>
      <c r="U1102" s="39" t="s">
        <v>938</v>
      </c>
      <c r="X1102" s="39" t="s">
        <v>1673</v>
      </c>
      <c r="Y1102" s="39" t="s">
        <v>1514</v>
      </c>
      <c r="Z1102" s="39" t="s">
        <v>828</v>
      </c>
      <c r="AB1102" s="39">
        <v>0.5</v>
      </c>
      <c r="AD1102" s="39">
        <v>0.25</v>
      </c>
    </row>
    <row r="1103">
      <c r="A1103" s="39" t="s">
        <v>1534</v>
      </c>
      <c r="B1103" s="39" t="s">
        <v>1535</v>
      </c>
      <c r="C1103" s="39">
        <v>2.75</v>
      </c>
      <c r="D1103" s="41">
        <v>44118.40625</v>
      </c>
      <c r="E1103" s="39" t="s">
        <v>828</v>
      </c>
      <c r="F1103" s="39" t="s">
        <v>829</v>
      </c>
      <c r="G1103" s="39" t="s">
        <v>830</v>
      </c>
      <c r="H1103" s="39">
        <v>1020.0</v>
      </c>
      <c r="N1103" s="39" t="s">
        <v>883</v>
      </c>
      <c r="R1103" s="39" t="s">
        <v>832</v>
      </c>
      <c r="S1103" s="39" t="s">
        <v>833</v>
      </c>
      <c r="T1103" s="39" t="s">
        <v>884</v>
      </c>
      <c r="U1103" s="39" t="s">
        <v>883</v>
      </c>
      <c r="W1103" s="39" t="s">
        <v>904</v>
      </c>
      <c r="X1103" s="39" t="s">
        <v>1680</v>
      </c>
      <c r="Z1103" s="39" t="s">
        <v>837</v>
      </c>
      <c r="AB1103" s="39">
        <v>2.75</v>
      </c>
      <c r="AC1103" s="39">
        <v>8.0</v>
      </c>
      <c r="AD1103" s="39">
        <v>0.0</v>
      </c>
    </row>
    <row r="1104">
      <c r="A1104" s="39" t="s">
        <v>1534</v>
      </c>
      <c r="B1104" s="39" t="s">
        <v>1535</v>
      </c>
      <c r="C1104" s="39">
        <v>2.5</v>
      </c>
      <c r="D1104" s="41">
        <v>44118.541666666664</v>
      </c>
      <c r="E1104" s="39" t="s">
        <v>1600</v>
      </c>
      <c r="F1104" s="39" t="s">
        <v>1601</v>
      </c>
      <c r="G1104" s="39" t="s">
        <v>830</v>
      </c>
      <c r="H1104" s="39">
        <v>1020.0</v>
      </c>
      <c r="N1104" s="39" t="s">
        <v>883</v>
      </c>
      <c r="R1104" s="39" t="s">
        <v>832</v>
      </c>
      <c r="S1104" s="39" t="s">
        <v>833</v>
      </c>
      <c r="T1104" s="39" t="s">
        <v>884</v>
      </c>
      <c r="U1104" s="39" t="s">
        <v>883</v>
      </c>
      <c r="W1104" s="39" t="s">
        <v>904</v>
      </c>
      <c r="X1104" s="39" t="s">
        <v>1761</v>
      </c>
      <c r="Z1104" s="39" t="s">
        <v>837</v>
      </c>
      <c r="AB1104" s="39">
        <v>2.5</v>
      </c>
      <c r="AC1104" s="39">
        <v>8.0</v>
      </c>
      <c r="AD1104" s="39">
        <v>0.0</v>
      </c>
    </row>
    <row r="1105">
      <c r="A1105" s="39" t="s">
        <v>1511</v>
      </c>
      <c r="B1105" s="39" t="s">
        <v>1512</v>
      </c>
      <c r="C1105" s="39">
        <v>0.5</v>
      </c>
      <c r="D1105" s="41">
        <v>44118.552083333336</v>
      </c>
      <c r="E1105" s="39" t="s">
        <v>828</v>
      </c>
      <c r="F1105" s="39" t="s">
        <v>829</v>
      </c>
      <c r="G1105" s="39" t="s">
        <v>830</v>
      </c>
      <c r="H1105" s="39">
        <v>1020.0</v>
      </c>
      <c r="N1105" s="39" t="s">
        <v>938</v>
      </c>
      <c r="R1105" s="39" t="s">
        <v>832</v>
      </c>
      <c r="S1105" s="39" t="s">
        <v>939</v>
      </c>
      <c r="T1105" s="39" t="s">
        <v>741</v>
      </c>
      <c r="U1105" s="39" t="s">
        <v>938</v>
      </c>
      <c r="X1105" s="39" t="s">
        <v>1513</v>
      </c>
      <c r="Y1105" s="39" t="s">
        <v>1514</v>
      </c>
      <c r="Z1105" s="39" t="s">
        <v>828</v>
      </c>
      <c r="AB1105" s="39">
        <v>0.5</v>
      </c>
      <c r="AD1105" s="39">
        <v>0.25</v>
      </c>
    </row>
    <row r="1106">
      <c r="A1106" s="39" t="s">
        <v>1511</v>
      </c>
      <c r="B1106" s="39" t="s">
        <v>1512</v>
      </c>
      <c r="C1106" s="39">
        <v>1.25</v>
      </c>
      <c r="D1106" s="41">
        <v>44118.583333333336</v>
      </c>
      <c r="E1106" s="39" t="s">
        <v>828</v>
      </c>
      <c r="F1106" s="39" t="s">
        <v>829</v>
      </c>
      <c r="G1106" s="39" t="s">
        <v>830</v>
      </c>
      <c r="H1106" s="39">
        <v>1020.0</v>
      </c>
      <c r="N1106" s="39" t="s">
        <v>938</v>
      </c>
      <c r="R1106" s="39" t="s">
        <v>832</v>
      </c>
      <c r="S1106" s="39" t="s">
        <v>939</v>
      </c>
      <c r="T1106" s="39" t="s">
        <v>741</v>
      </c>
      <c r="U1106" s="39" t="s">
        <v>938</v>
      </c>
      <c r="X1106" s="39" t="s">
        <v>1513</v>
      </c>
      <c r="Y1106" s="39" t="s">
        <v>1514</v>
      </c>
      <c r="Z1106" s="39" t="s">
        <v>828</v>
      </c>
      <c r="AB1106" s="39">
        <v>1.25</v>
      </c>
      <c r="AD1106" s="39">
        <v>0.25</v>
      </c>
    </row>
    <row r="1107">
      <c r="A1107" s="39" t="s">
        <v>1544</v>
      </c>
      <c r="B1107" s="39" t="s">
        <v>1545</v>
      </c>
      <c r="C1107" s="39">
        <v>0.5</v>
      </c>
      <c r="D1107" s="41">
        <v>44118.645833333336</v>
      </c>
      <c r="E1107" s="39" t="s">
        <v>828</v>
      </c>
      <c r="F1107" s="39" t="s">
        <v>829</v>
      </c>
      <c r="G1107" s="39" t="s">
        <v>830</v>
      </c>
      <c r="H1107" s="39">
        <v>1020.0</v>
      </c>
      <c r="N1107" s="39" t="s">
        <v>938</v>
      </c>
      <c r="R1107" s="39" t="s">
        <v>832</v>
      </c>
      <c r="S1107" s="39" t="s">
        <v>939</v>
      </c>
      <c r="T1107" s="39" t="s">
        <v>741</v>
      </c>
      <c r="U1107" s="39" t="s">
        <v>938</v>
      </c>
      <c r="X1107" s="39" t="s">
        <v>1546</v>
      </c>
      <c r="Y1107" s="39" t="s">
        <v>1074</v>
      </c>
      <c r="Z1107" s="39" t="s">
        <v>828</v>
      </c>
      <c r="AB1107" s="39">
        <v>0.5</v>
      </c>
    </row>
    <row r="1108">
      <c r="A1108" s="39" t="s">
        <v>1511</v>
      </c>
      <c r="B1108" s="39" t="s">
        <v>1512</v>
      </c>
      <c r="C1108" s="39">
        <v>0.25</v>
      </c>
      <c r="D1108" s="41">
        <v>44118.666666666664</v>
      </c>
      <c r="E1108" s="39" t="s">
        <v>828</v>
      </c>
      <c r="F1108" s="39" t="s">
        <v>829</v>
      </c>
      <c r="G1108" s="39" t="s">
        <v>830</v>
      </c>
      <c r="H1108" s="39">
        <v>1020.0</v>
      </c>
      <c r="N1108" s="39" t="s">
        <v>938</v>
      </c>
      <c r="R1108" s="39" t="s">
        <v>832</v>
      </c>
      <c r="S1108" s="39" t="s">
        <v>939</v>
      </c>
      <c r="T1108" s="39" t="s">
        <v>741</v>
      </c>
      <c r="U1108" s="39" t="s">
        <v>938</v>
      </c>
      <c r="X1108" s="39" t="s">
        <v>1762</v>
      </c>
      <c r="Y1108" s="39" t="s">
        <v>1514</v>
      </c>
      <c r="Z1108" s="39" t="s">
        <v>828</v>
      </c>
      <c r="AB1108" s="39">
        <v>0.25</v>
      </c>
      <c r="AD1108" s="39">
        <v>0.25</v>
      </c>
    </row>
    <row r="1109">
      <c r="A1109" s="39" t="s">
        <v>1544</v>
      </c>
      <c r="B1109" s="39" t="s">
        <v>1545</v>
      </c>
      <c r="C1109" s="39">
        <v>0.25</v>
      </c>
      <c r="D1109" s="41">
        <v>44118.677083333336</v>
      </c>
      <c r="E1109" s="39" t="s">
        <v>828</v>
      </c>
      <c r="F1109" s="39" t="s">
        <v>829</v>
      </c>
      <c r="G1109" s="39" t="s">
        <v>830</v>
      </c>
      <c r="H1109" s="39">
        <v>1020.0</v>
      </c>
      <c r="N1109" s="39" t="s">
        <v>938</v>
      </c>
      <c r="R1109" s="39" t="s">
        <v>832</v>
      </c>
      <c r="S1109" s="39" t="s">
        <v>939</v>
      </c>
      <c r="T1109" s="39" t="s">
        <v>741</v>
      </c>
      <c r="U1109" s="39" t="s">
        <v>938</v>
      </c>
      <c r="X1109" s="39" t="s">
        <v>1546</v>
      </c>
      <c r="Y1109" s="39" t="s">
        <v>1074</v>
      </c>
      <c r="Z1109" s="39" t="s">
        <v>828</v>
      </c>
      <c r="AB1109" s="39">
        <v>0.25</v>
      </c>
    </row>
    <row r="1110">
      <c r="A1110" s="39" t="s">
        <v>1115</v>
      </c>
      <c r="B1110" s="39" t="s">
        <v>1122</v>
      </c>
      <c r="C1110" s="39">
        <v>1.5</v>
      </c>
      <c r="D1110" s="41">
        <v>44119.0</v>
      </c>
      <c r="E1110" s="39" t="s">
        <v>872</v>
      </c>
      <c r="F1110" s="39" t="s">
        <v>724</v>
      </c>
      <c r="G1110" s="39" t="s">
        <v>830</v>
      </c>
      <c r="H1110" s="39">
        <v>1020.0</v>
      </c>
      <c r="N1110" s="39" t="s">
        <v>938</v>
      </c>
      <c r="R1110" s="39" t="s">
        <v>72</v>
      </c>
      <c r="S1110" s="39" t="s">
        <v>842</v>
      </c>
      <c r="T1110" s="39" t="s">
        <v>741</v>
      </c>
      <c r="U1110" s="39" t="s">
        <v>938</v>
      </c>
      <c r="X1110" s="39" t="s">
        <v>1123</v>
      </c>
      <c r="Z1110" s="39" t="s">
        <v>872</v>
      </c>
      <c r="AB1110" s="39">
        <v>1.5</v>
      </c>
    </row>
    <row r="1111">
      <c r="A1111" s="39" t="s">
        <v>1763</v>
      </c>
      <c r="B1111" s="39" t="s">
        <v>1764</v>
      </c>
      <c r="C1111" s="39">
        <v>0.5</v>
      </c>
      <c r="D1111" s="41">
        <v>44119.0</v>
      </c>
      <c r="E1111" s="39" t="s">
        <v>872</v>
      </c>
      <c r="F1111" s="39" t="s">
        <v>724</v>
      </c>
      <c r="G1111" s="39" t="s">
        <v>830</v>
      </c>
      <c r="H1111" s="39">
        <v>1020.0</v>
      </c>
      <c r="N1111" s="39" t="s">
        <v>1051</v>
      </c>
      <c r="R1111" s="39" t="s">
        <v>957</v>
      </c>
      <c r="S1111" s="39" t="s">
        <v>1052</v>
      </c>
      <c r="T1111" s="39" t="s">
        <v>1053</v>
      </c>
      <c r="U1111" s="39" t="s">
        <v>1051</v>
      </c>
      <c r="X1111" s="39" t="s">
        <v>1765</v>
      </c>
      <c r="Y1111" s="39" t="s">
        <v>1694</v>
      </c>
      <c r="Z1111" s="39" t="s">
        <v>872</v>
      </c>
      <c r="AB1111" s="39">
        <v>0.5</v>
      </c>
    </row>
    <row r="1112">
      <c r="A1112" s="39" t="s">
        <v>1766</v>
      </c>
      <c r="B1112" s="39" t="s">
        <v>1767</v>
      </c>
      <c r="C1112" s="39">
        <v>0.75</v>
      </c>
      <c r="D1112" s="41">
        <v>44119.0</v>
      </c>
      <c r="E1112" s="39" t="s">
        <v>872</v>
      </c>
      <c r="F1112" s="39" t="s">
        <v>724</v>
      </c>
      <c r="G1112" s="39" t="s">
        <v>830</v>
      </c>
      <c r="H1112" s="39">
        <v>1020.0</v>
      </c>
      <c r="N1112" s="39" t="s">
        <v>1051</v>
      </c>
      <c r="R1112" s="39" t="s">
        <v>832</v>
      </c>
      <c r="S1112" s="39" t="s">
        <v>1052</v>
      </c>
      <c r="T1112" s="39" t="s">
        <v>1053</v>
      </c>
      <c r="U1112" s="39" t="s">
        <v>1051</v>
      </c>
      <c r="X1112" s="39" t="s">
        <v>1768</v>
      </c>
      <c r="Y1112" s="39" t="s">
        <v>1131</v>
      </c>
      <c r="Z1112" s="39" t="s">
        <v>872</v>
      </c>
      <c r="AB1112" s="39">
        <v>0.75</v>
      </c>
    </row>
    <row r="1113">
      <c r="A1113" s="39" t="s">
        <v>1705</v>
      </c>
      <c r="B1113" s="39" t="s">
        <v>1706</v>
      </c>
      <c r="C1113" s="39">
        <v>5.0</v>
      </c>
      <c r="D1113" s="41">
        <v>44119.0</v>
      </c>
      <c r="E1113" s="39" t="s">
        <v>1048</v>
      </c>
      <c r="F1113" s="39" t="s">
        <v>1049</v>
      </c>
      <c r="G1113" s="39" t="s">
        <v>1050</v>
      </c>
      <c r="H1113" s="39">
        <v>1020.0</v>
      </c>
      <c r="N1113" s="39" t="s">
        <v>1051</v>
      </c>
      <c r="R1113" s="39" t="s">
        <v>957</v>
      </c>
      <c r="S1113" s="39" t="s">
        <v>889</v>
      </c>
      <c r="T1113" s="39" t="s">
        <v>1053</v>
      </c>
      <c r="U1113" s="39" t="s">
        <v>1051</v>
      </c>
      <c r="X1113" s="39" t="s">
        <v>1769</v>
      </c>
      <c r="Y1113" s="39" t="s">
        <v>1603</v>
      </c>
      <c r="Z1113" s="39" t="s">
        <v>1153</v>
      </c>
      <c r="AB1113" s="39">
        <v>5.0</v>
      </c>
    </row>
    <row r="1114">
      <c r="A1114" s="39" t="s">
        <v>1770</v>
      </c>
      <c r="B1114" s="39" t="s">
        <v>1771</v>
      </c>
      <c r="C1114" s="39">
        <v>2.0</v>
      </c>
      <c r="D1114" s="41">
        <v>44119.0</v>
      </c>
      <c r="E1114" s="39" t="s">
        <v>1048</v>
      </c>
      <c r="F1114" s="39" t="s">
        <v>1049</v>
      </c>
      <c r="G1114" s="39" t="s">
        <v>1050</v>
      </c>
      <c r="H1114" s="39">
        <v>1020.0</v>
      </c>
      <c r="N1114" s="39" t="s">
        <v>1051</v>
      </c>
      <c r="R1114" s="39" t="s">
        <v>957</v>
      </c>
      <c r="S1114" s="39" t="s">
        <v>1274</v>
      </c>
      <c r="T1114" s="39" t="s">
        <v>1053</v>
      </c>
      <c r="U1114" s="39" t="s">
        <v>1051</v>
      </c>
      <c r="X1114" s="39" t="s">
        <v>1772</v>
      </c>
      <c r="Y1114" s="39" t="s">
        <v>1603</v>
      </c>
      <c r="Z1114" s="39" t="s">
        <v>1048</v>
      </c>
      <c r="AB1114" s="39">
        <v>2.0</v>
      </c>
    </row>
    <row r="1115">
      <c r="A1115" s="39" t="s">
        <v>1587</v>
      </c>
      <c r="B1115" s="39" t="s">
        <v>1588</v>
      </c>
      <c r="C1115" s="39">
        <v>7.0</v>
      </c>
      <c r="D1115" s="41">
        <v>44119.0</v>
      </c>
      <c r="E1115" s="39" t="s">
        <v>1059</v>
      </c>
      <c r="F1115" s="39" t="s">
        <v>1060</v>
      </c>
      <c r="G1115" s="39" t="s">
        <v>1050</v>
      </c>
      <c r="H1115" s="39">
        <v>1020.0</v>
      </c>
      <c r="N1115" s="39" t="s">
        <v>1051</v>
      </c>
      <c r="R1115" s="39" t="s">
        <v>957</v>
      </c>
      <c r="S1115" s="39" t="s">
        <v>889</v>
      </c>
      <c r="T1115" s="39" t="s">
        <v>1053</v>
      </c>
      <c r="U1115" s="39" t="s">
        <v>1051</v>
      </c>
      <c r="X1115" s="39" t="s">
        <v>1773</v>
      </c>
      <c r="Y1115" s="39" t="s">
        <v>1405</v>
      </c>
      <c r="Z1115" s="39" t="s">
        <v>872</v>
      </c>
      <c r="AB1115" s="39">
        <v>7.0</v>
      </c>
    </row>
    <row r="1116">
      <c r="A1116" s="39" t="s">
        <v>1534</v>
      </c>
      <c r="B1116" s="39" t="s">
        <v>1535</v>
      </c>
      <c r="C1116" s="39">
        <v>5.75</v>
      </c>
      <c r="D1116" s="41">
        <v>44119.3125</v>
      </c>
      <c r="E1116" s="39" t="s">
        <v>1600</v>
      </c>
      <c r="F1116" s="39" t="s">
        <v>1601</v>
      </c>
      <c r="G1116" s="39" t="s">
        <v>830</v>
      </c>
      <c r="H1116" s="39">
        <v>1020.0</v>
      </c>
      <c r="N1116" s="39" t="s">
        <v>883</v>
      </c>
      <c r="R1116" s="39" t="s">
        <v>832</v>
      </c>
      <c r="S1116" s="39" t="s">
        <v>833</v>
      </c>
      <c r="T1116" s="39" t="s">
        <v>884</v>
      </c>
      <c r="U1116" s="39" t="s">
        <v>883</v>
      </c>
      <c r="W1116" s="39" t="s">
        <v>904</v>
      </c>
      <c r="X1116" s="39" t="s">
        <v>1774</v>
      </c>
      <c r="Z1116" s="39" t="s">
        <v>837</v>
      </c>
      <c r="AB1116" s="39">
        <v>5.75</v>
      </c>
      <c r="AC1116" s="39">
        <v>8.0</v>
      </c>
      <c r="AD1116" s="39">
        <v>0.0</v>
      </c>
    </row>
    <row r="1117">
      <c r="A1117" s="39" t="s">
        <v>1511</v>
      </c>
      <c r="B1117" s="39" t="s">
        <v>1512</v>
      </c>
      <c r="C1117" s="39">
        <v>0.25</v>
      </c>
      <c r="D1117" s="41">
        <v>44119.385416666664</v>
      </c>
      <c r="E1117" s="39" t="s">
        <v>828</v>
      </c>
      <c r="F1117" s="39" t="s">
        <v>829</v>
      </c>
      <c r="G1117" s="39" t="s">
        <v>830</v>
      </c>
      <c r="H1117" s="39">
        <v>1020.0</v>
      </c>
      <c r="N1117" s="39" t="s">
        <v>938</v>
      </c>
      <c r="R1117" s="39" t="s">
        <v>832</v>
      </c>
      <c r="S1117" s="39" t="s">
        <v>939</v>
      </c>
      <c r="T1117" s="39" t="s">
        <v>741</v>
      </c>
      <c r="U1117" s="39" t="s">
        <v>938</v>
      </c>
      <c r="X1117" s="39" t="s">
        <v>1513</v>
      </c>
      <c r="Y1117" s="39" t="s">
        <v>1514</v>
      </c>
      <c r="Z1117" s="39" t="s">
        <v>828</v>
      </c>
      <c r="AB1117" s="39">
        <v>0.25</v>
      </c>
      <c r="AD1117" s="39">
        <v>0.25</v>
      </c>
    </row>
    <row r="1118">
      <c r="A1118" s="39" t="s">
        <v>1511</v>
      </c>
      <c r="B1118" s="39" t="s">
        <v>1512</v>
      </c>
      <c r="C1118" s="39">
        <v>2.75</v>
      </c>
      <c r="D1118" s="41">
        <v>44119.395833333336</v>
      </c>
      <c r="E1118" s="39" t="s">
        <v>828</v>
      </c>
      <c r="F1118" s="39" t="s">
        <v>829</v>
      </c>
      <c r="G1118" s="39" t="s">
        <v>830</v>
      </c>
      <c r="H1118" s="39">
        <v>1020.0</v>
      </c>
      <c r="N1118" s="39" t="s">
        <v>938</v>
      </c>
      <c r="R1118" s="39" t="s">
        <v>832</v>
      </c>
      <c r="S1118" s="39" t="s">
        <v>939</v>
      </c>
      <c r="T1118" s="39" t="s">
        <v>741</v>
      </c>
      <c r="U1118" s="39" t="s">
        <v>938</v>
      </c>
      <c r="X1118" s="39" t="s">
        <v>1513</v>
      </c>
      <c r="Y1118" s="39" t="s">
        <v>1514</v>
      </c>
      <c r="Z1118" s="39" t="s">
        <v>828</v>
      </c>
      <c r="AB1118" s="39">
        <v>2.75</v>
      </c>
      <c r="AD1118" s="39">
        <v>0.25</v>
      </c>
    </row>
    <row r="1119">
      <c r="A1119" s="39" t="s">
        <v>1511</v>
      </c>
      <c r="B1119" s="39" t="s">
        <v>1512</v>
      </c>
      <c r="C1119" s="39">
        <v>1.0</v>
      </c>
      <c r="D1119" s="41">
        <v>44119.53125</v>
      </c>
      <c r="E1119" s="39" t="s">
        <v>828</v>
      </c>
      <c r="F1119" s="39" t="s">
        <v>829</v>
      </c>
      <c r="G1119" s="39" t="s">
        <v>830</v>
      </c>
      <c r="H1119" s="39">
        <v>1020.0</v>
      </c>
      <c r="N1119" s="39" t="s">
        <v>938</v>
      </c>
      <c r="R1119" s="39" t="s">
        <v>832</v>
      </c>
      <c r="S1119" s="39" t="s">
        <v>939</v>
      </c>
      <c r="T1119" s="39" t="s">
        <v>741</v>
      </c>
      <c r="U1119" s="39" t="s">
        <v>938</v>
      </c>
      <c r="X1119" s="39" t="s">
        <v>1513</v>
      </c>
      <c r="Y1119" s="39" t="s">
        <v>1514</v>
      </c>
      <c r="Z1119" s="39" t="s">
        <v>828</v>
      </c>
      <c r="AB1119" s="39">
        <v>1.0</v>
      </c>
      <c r="AD1119" s="39">
        <v>0.25</v>
      </c>
    </row>
    <row r="1120">
      <c r="A1120" s="39" t="s">
        <v>1544</v>
      </c>
      <c r="B1120" s="39" t="s">
        <v>1545</v>
      </c>
      <c r="C1120" s="39">
        <v>1.5</v>
      </c>
      <c r="D1120" s="41">
        <v>44119.572916666664</v>
      </c>
      <c r="E1120" s="39" t="s">
        <v>828</v>
      </c>
      <c r="F1120" s="39" t="s">
        <v>829</v>
      </c>
      <c r="G1120" s="39" t="s">
        <v>830</v>
      </c>
      <c r="H1120" s="39">
        <v>1020.0</v>
      </c>
      <c r="N1120" s="39" t="s">
        <v>938</v>
      </c>
      <c r="R1120" s="39" t="s">
        <v>832</v>
      </c>
      <c r="S1120" s="39" t="s">
        <v>939</v>
      </c>
      <c r="T1120" s="39" t="s">
        <v>741</v>
      </c>
      <c r="U1120" s="39" t="s">
        <v>938</v>
      </c>
      <c r="X1120" s="39" t="s">
        <v>1546</v>
      </c>
      <c r="Y1120" s="39" t="s">
        <v>1074</v>
      </c>
      <c r="Z1120" s="39" t="s">
        <v>828</v>
      </c>
      <c r="AB1120" s="39">
        <v>1.5</v>
      </c>
    </row>
    <row r="1121">
      <c r="A1121" s="39" t="s">
        <v>1534</v>
      </c>
      <c r="B1121" s="39" t="s">
        <v>1535</v>
      </c>
      <c r="C1121" s="39">
        <v>1.25</v>
      </c>
      <c r="D1121" s="41">
        <v>44119.572916666664</v>
      </c>
      <c r="E1121" s="39" t="s">
        <v>1600</v>
      </c>
      <c r="F1121" s="39" t="s">
        <v>1601</v>
      </c>
      <c r="G1121" s="39" t="s">
        <v>830</v>
      </c>
      <c r="H1121" s="39">
        <v>1020.0</v>
      </c>
      <c r="N1121" s="39" t="s">
        <v>883</v>
      </c>
      <c r="R1121" s="39" t="s">
        <v>832</v>
      </c>
      <c r="S1121" s="39" t="s">
        <v>833</v>
      </c>
      <c r="T1121" s="39" t="s">
        <v>884</v>
      </c>
      <c r="U1121" s="39" t="s">
        <v>883</v>
      </c>
      <c r="W1121" s="39" t="s">
        <v>904</v>
      </c>
      <c r="X1121" s="39" t="s">
        <v>1775</v>
      </c>
      <c r="Z1121" s="39" t="s">
        <v>837</v>
      </c>
      <c r="AB1121" s="39">
        <v>1.25</v>
      </c>
      <c r="AC1121" s="39">
        <v>8.0</v>
      </c>
      <c r="AD1121" s="39">
        <v>0.0</v>
      </c>
    </row>
    <row r="1122">
      <c r="A1122" s="39" t="s">
        <v>1559</v>
      </c>
      <c r="B1122" s="39" t="s">
        <v>1560</v>
      </c>
      <c r="C1122" s="39">
        <v>1.0</v>
      </c>
      <c r="D1122" s="41">
        <v>44119.635416666664</v>
      </c>
      <c r="E1122" s="39" t="s">
        <v>828</v>
      </c>
      <c r="F1122" s="39" t="s">
        <v>829</v>
      </c>
      <c r="G1122" s="39" t="s">
        <v>830</v>
      </c>
      <c r="H1122" s="39">
        <v>1020.0</v>
      </c>
      <c r="N1122" s="39" t="s">
        <v>938</v>
      </c>
      <c r="R1122" s="39" t="s">
        <v>832</v>
      </c>
      <c r="S1122" s="39" t="s">
        <v>939</v>
      </c>
      <c r="T1122" s="39" t="s">
        <v>741</v>
      </c>
      <c r="U1122" s="39" t="s">
        <v>938</v>
      </c>
      <c r="X1122" s="39" t="s">
        <v>1776</v>
      </c>
      <c r="Y1122" s="39" t="s">
        <v>1074</v>
      </c>
      <c r="Z1122" s="39" t="s">
        <v>828</v>
      </c>
      <c r="AB1122" s="39">
        <v>1.0</v>
      </c>
    </row>
    <row r="1123">
      <c r="A1123" s="39" t="s">
        <v>1616</v>
      </c>
      <c r="B1123" s="42" t="s">
        <v>1617</v>
      </c>
      <c r="C1123" s="39">
        <v>0.25</v>
      </c>
      <c r="D1123" s="41">
        <v>44119.677083333336</v>
      </c>
      <c r="E1123" s="39" t="s">
        <v>828</v>
      </c>
      <c r="F1123" s="39" t="s">
        <v>829</v>
      </c>
      <c r="G1123" s="39" t="s">
        <v>830</v>
      </c>
      <c r="H1123" s="39">
        <v>1020.0</v>
      </c>
      <c r="N1123" s="39" t="s">
        <v>938</v>
      </c>
      <c r="R1123" s="39" t="s">
        <v>832</v>
      </c>
      <c r="S1123" s="39" t="s">
        <v>939</v>
      </c>
      <c r="T1123" s="39" t="s">
        <v>741</v>
      </c>
      <c r="U1123" s="39" t="s">
        <v>938</v>
      </c>
      <c r="X1123" s="39" t="s">
        <v>1618</v>
      </c>
      <c r="Y1123" s="39" t="s">
        <v>1074</v>
      </c>
      <c r="Z1123" s="39" t="s">
        <v>872</v>
      </c>
      <c r="AB1123" s="39">
        <v>0.25</v>
      </c>
    </row>
    <row r="1124">
      <c r="A1124" s="39" t="s">
        <v>1559</v>
      </c>
      <c r="B1124" s="39" t="s">
        <v>1560</v>
      </c>
      <c r="C1124" s="39">
        <v>0.25</v>
      </c>
      <c r="D1124" s="41">
        <v>44119.6875</v>
      </c>
      <c r="E1124" s="39" t="s">
        <v>828</v>
      </c>
      <c r="F1124" s="39" t="s">
        <v>829</v>
      </c>
      <c r="G1124" s="39" t="s">
        <v>830</v>
      </c>
      <c r="H1124" s="39">
        <v>1020.0</v>
      </c>
      <c r="N1124" s="39" t="s">
        <v>938</v>
      </c>
      <c r="R1124" s="39" t="s">
        <v>832</v>
      </c>
      <c r="S1124" s="39" t="s">
        <v>939</v>
      </c>
      <c r="T1124" s="39" t="s">
        <v>741</v>
      </c>
      <c r="U1124" s="39" t="s">
        <v>938</v>
      </c>
      <c r="X1124" s="39" t="s">
        <v>1777</v>
      </c>
      <c r="Y1124" s="39" t="s">
        <v>1074</v>
      </c>
      <c r="Z1124" s="39" t="s">
        <v>828</v>
      </c>
      <c r="AB1124" s="39">
        <v>0.25</v>
      </c>
    </row>
    <row r="1125">
      <c r="A1125" s="39" t="s">
        <v>1131</v>
      </c>
      <c r="B1125" s="39" t="s">
        <v>1591</v>
      </c>
      <c r="C1125" s="39">
        <v>2.0</v>
      </c>
      <c r="D1125" s="41">
        <v>44120.0</v>
      </c>
      <c r="E1125" s="39" t="s">
        <v>872</v>
      </c>
      <c r="F1125" s="39" t="s">
        <v>724</v>
      </c>
      <c r="G1125" s="39" t="s">
        <v>830</v>
      </c>
      <c r="H1125" s="39">
        <v>1020.0</v>
      </c>
      <c r="N1125" s="39" t="s">
        <v>1051</v>
      </c>
      <c r="R1125" s="39" t="s">
        <v>72</v>
      </c>
      <c r="S1125" s="39" t="s">
        <v>889</v>
      </c>
      <c r="T1125" s="39" t="s">
        <v>1053</v>
      </c>
      <c r="U1125" s="39" t="s">
        <v>1051</v>
      </c>
      <c r="X1125" s="39" t="s">
        <v>1724</v>
      </c>
      <c r="Z1125" s="39" t="s">
        <v>872</v>
      </c>
      <c r="AB1125" s="39">
        <v>2.0</v>
      </c>
      <c r="AD1125" s="39">
        <v>0.0</v>
      </c>
    </row>
    <row r="1126">
      <c r="A1126" s="39" t="s">
        <v>1288</v>
      </c>
      <c r="B1126" s="39" t="s">
        <v>1289</v>
      </c>
      <c r="C1126" s="39">
        <v>0.5</v>
      </c>
      <c r="D1126" s="41">
        <v>44120.0</v>
      </c>
      <c r="E1126" s="39" t="s">
        <v>872</v>
      </c>
      <c r="F1126" s="39" t="s">
        <v>724</v>
      </c>
      <c r="G1126" s="39" t="s">
        <v>830</v>
      </c>
      <c r="H1126" s="39">
        <v>1020.0</v>
      </c>
      <c r="N1126" s="39" t="s">
        <v>1051</v>
      </c>
      <c r="R1126" s="39" t="s">
        <v>832</v>
      </c>
      <c r="S1126" s="39" t="s">
        <v>1052</v>
      </c>
      <c r="T1126" s="39" t="s">
        <v>1053</v>
      </c>
      <c r="U1126" s="39" t="s">
        <v>1051</v>
      </c>
      <c r="X1126" s="39" t="s">
        <v>1778</v>
      </c>
      <c r="Y1126" s="39" t="s">
        <v>1131</v>
      </c>
      <c r="Z1126" s="39" t="s">
        <v>872</v>
      </c>
      <c r="AB1126" s="39">
        <v>0.5</v>
      </c>
    </row>
    <row r="1127">
      <c r="A1127" s="39" t="s">
        <v>1587</v>
      </c>
      <c r="B1127" s="39" t="s">
        <v>1588</v>
      </c>
      <c r="C1127" s="39">
        <v>0.25</v>
      </c>
      <c r="D1127" s="41">
        <v>44120.0</v>
      </c>
      <c r="E1127" s="39" t="s">
        <v>872</v>
      </c>
      <c r="F1127" s="39" t="s">
        <v>724</v>
      </c>
      <c r="G1127" s="39" t="s">
        <v>830</v>
      </c>
      <c r="H1127" s="39">
        <v>1020.0</v>
      </c>
      <c r="N1127" s="39" t="s">
        <v>1051</v>
      </c>
      <c r="R1127" s="39" t="s">
        <v>957</v>
      </c>
      <c r="S1127" s="39" t="s">
        <v>889</v>
      </c>
      <c r="T1127" s="39" t="s">
        <v>1053</v>
      </c>
      <c r="U1127" s="39" t="s">
        <v>1051</v>
      </c>
      <c r="X1127" s="39" t="s">
        <v>1589</v>
      </c>
      <c r="Y1127" s="39" t="s">
        <v>1405</v>
      </c>
      <c r="Z1127" s="39" t="s">
        <v>872</v>
      </c>
      <c r="AB1127" s="39">
        <v>0.25</v>
      </c>
    </row>
    <row r="1128">
      <c r="A1128" s="39" t="s">
        <v>1766</v>
      </c>
      <c r="B1128" s="39" t="s">
        <v>1767</v>
      </c>
      <c r="C1128" s="39">
        <v>0.5</v>
      </c>
      <c r="D1128" s="41">
        <v>44120.0</v>
      </c>
      <c r="E1128" s="39" t="s">
        <v>872</v>
      </c>
      <c r="F1128" s="39" t="s">
        <v>724</v>
      </c>
      <c r="G1128" s="39" t="s">
        <v>830</v>
      </c>
      <c r="H1128" s="39">
        <v>1020.0</v>
      </c>
      <c r="N1128" s="39" t="s">
        <v>1051</v>
      </c>
      <c r="R1128" s="39" t="s">
        <v>832</v>
      </c>
      <c r="S1128" s="39" t="s">
        <v>1052</v>
      </c>
      <c r="T1128" s="39" t="s">
        <v>1053</v>
      </c>
      <c r="U1128" s="39" t="s">
        <v>1051</v>
      </c>
      <c r="X1128" s="39" t="s">
        <v>1768</v>
      </c>
      <c r="Y1128" s="39" t="s">
        <v>1131</v>
      </c>
      <c r="Z1128" s="39" t="s">
        <v>872</v>
      </c>
      <c r="AB1128" s="39">
        <v>0.5</v>
      </c>
    </row>
    <row r="1129">
      <c r="A1129" s="39" t="s">
        <v>1708</v>
      </c>
      <c r="B1129" s="39" t="s">
        <v>1709</v>
      </c>
      <c r="C1129" s="39">
        <v>7.0</v>
      </c>
      <c r="D1129" s="41">
        <v>44120.0</v>
      </c>
      <c r="E1129" s="39" t="s">
        <v>1048</v>
      </c>
      <c r="F1129" s="39" t="s">
        <v>1049</v>
      </c>
      <c r="G1129" s="39" t="s">
        <v>1050</v>
      </c>
      <c r="H1129" s="39">
        <v>1020.0</v>
      </c>
      <c r="N1129" s="39" t="s">
        <v>1051</v>
      </c>
      <c r="R1129" s="39" t="s">
        <v>957</v>
      </c>
      <c r="S1129" s="39" t="s">
        <v>889</v>
      </c>
      <c r="T1129" s="39" t="s">
        <v>1053</v>
      </c>
      <c r="U1129" s="39" t="s">
        <v>1051</v>
      </c>
      <c r="X1129" s="39" t="s">
        <v>1779</v>
      </c>
      <c r="Y1129" s="39" t="s">
        <v>1603</v>
      </c>
      <c r="Z1129" s="39" t="s">
        <v>1153</v>
      </c>
      <c r="AB1129" s="39">
        <v>7.0</v>
      </c>
    </row>
    <row r="1130">
      <c r="A1130" s="39" t="s">
        <v>1380</v>
      </c>
      <c r="B1130" s="39" t="s">
        <v>1381</v>
      </c>
      <c r="C1130" s="39">
        <v>7.0</v>
      </c>
      <c r="D1130" s="41">
        <v>44120.0</v>
      </c>
      <c r="E1130" s="39" t="s">
        <v>1059</v>
      </c>
      <c r="F1130" s="39" t="s">
        <v>1060</v>
      </c>
      <c r="G1130" s="39" t="s">
        <v>1050</v>
      </c>
      <c r="H1130" s="39">
        <v>1020.0</v>
      </c>
      <c r="N1130" s="39" t="s">
        <v>1051</v>
      </c>
      <c r="R1130" s="39" t="s">
        <v>832</v>
      </c>
      <c r="S1130" s="39" t="s">
        <v>889</v>
      </c>
      <c r="T1130" s="39" t="s">
        <v>1053</v>
      </c>
      <c r="U1130" s="39" t="s">
        <v>1051</v>
      </c>
      <c r="X1130" s="39" t="s">
        <v>1780</v>
      </c>
      <c r="Y1130" s="39" t="s">
        <v>1131</v>
      </c>
      <c r="Z1130" s="39" t="s">
        <v>872</v>
      </c>
      <c r="AB1130" s="39">
        <v>7.0</v>
      </c>
    </row>
    <row r="1131">
      <c r="A1131" s="39" t="s">
        <v>1565</v>
      </c>
      <c r="B1131" s="39" t="s">
        <v>1566</v>
      </c>
      <c r="C1131" s="39">
        <v>0.75</v>
      </c>
      <c r="D1131" s="41">
        <v>44120.354166666664</v>
      </c>
      <c r="E1131" s="39" t="s">
        <v>828</v>
      </c>
      <c r="F1131" s="39" t="s">
        <v>829</v>
      </c>
      <c r="G1131" s="39" t="s">
        <v>830</v>
      </c>
      <c r="H1131" s="39">
        <v>1020.0</v>
      </c>
      <c r="N1131" s="39" t="s">
        <v>938</v>
      </c>
      <c r="R1131" s="39" t="s">
        <v>832</v>
      </c>
      <c r="S1131" s="39" t="s">
        <v>939</v>
      </c>
      <c r="T1131" s="39" t="s">
        <v>741</v>
      </c>
      <c r="U1131" s="39" t="s">
        <v>938</v>
      </c>
      <c r="X1131" s="39" t="s">
        <v>1567</v>
      </c>
      <c r="Y1131" s="39" t="s">
        <v>1074</v>
      </c>
      <c r="Z1131" s="39" t="s">
        <v>1153</v>
      </c>
      <c r="AB1131" s="39">
        <v>0.75</v>
      </c>
    </row>
    <row r="1132">
      <c r="A1132" s="39" t="s">
        <v>1112</v>
      </c>
      <c r="B1132" s="39" t="s">
        <v>1113</v>
      </c>
      <c r="C1132" s="39">
        <v>0.25</v>
      </c>
      <c r="D1132" s="41">
        <v>44120.385416666664</v>
      </c>
      <c r="E1132" s="39" t="s">
        <v>828</v>
      </c>
      <c r="F1132" s="39" t="s">
        <v>829</v>
      </c>
      <c r="G1132" s="39" t="s">
        <v>830</v>
      </c>
      <c r="H1132" s="39">
        <v>1020.0</v>
      </c>
      <c r="N1132" s="39" t="s">
        <v>938</v>
      </c>
      <c r="R1132" s="39" t="s">
        <v>832</v>
      </c>
      <c r="S1132" s="39" t="s">
        <v>889</v>
      </c>
      <c r="T1132" s="39" t="s">
        <v>741</v>
      </c>
      <c r="U1132" s="39" t="s">
        <v>938</v>
      </c>
      <c r="X1132" s="39" t="s">
        <v>1114</v>
      </c>
      <c r="Y1132" s="39" t="s">
        <v>1115</v>
      </c>
      <c r="Z1132" s="39" t="s">
        <v>872</v>
      </c>
      <c r="AB1132" s="39">
        <v>0.25</v>
      </c>
    </row>
    <row r="1133">
      <c r="A1133" s="39" t="s">
        <v>1112</v>
      </c>
      <c r="B1133" s="39" t="s">
        <v>1113</v>
      </c>
      <c r="C1133" s="39">
        <v>0.75</v>
      </c>
      <c r="D1133" s="41">
        <v>44120.395833333336</v>
      </c>
      <c r="E1133" s="39" t="s">
        <v>828</v>
      </c>
      <c r="F1133" s="39" t="s">
        <v>829</v>
      </c>
      <c r="G1133" s="39" t="s">
        <v>830</v>
      </c>
      <c r="H1133" s="39">
        <v>1020.0</v>
      </c>
      <c r="N1133" s="39" t="s">
        <v>938</v>
      </c>
      <c r="R1133" s="39" t="s">
        <v>832</v>
      </c>
      <c r="S1133" s="39" t="s">
        <v>889</v>
      </c>
      <c r="T1133" s="39" t="s">
        <v>741</v>
      </c>
      <c r="U1133" s="39" t="s">
        <v>938</v>
      </c>
      <c r="X1133" s="39" t="s">
        <v>1781</v>
      </c>
      <c r="Y1133" s="39" t="s">
        <v>1115</v>
      </c>
      <c r="Z1133" s="39" t="s">
        <v>872</v>
      </c>
      <c r="AB1133" s="39">
        <v>0.75</v>
      </c>
    </row>
    <row r="1134">
      <c r="A1134" s="39" t="s">
        <v>1112</v>
      </c>
      <c r="B1134" s="39" t="s">
        <v>1113</v>
      </c>
      <c r="C1134" s="39">
        <v>0.5</v>
      </c>
      <c r="D1134" s="41">
        <v>44120.4375</v>
      </c>
      <c r="E1134" s="39" t="s">
        <v>828</v>
      </c>
      <c r="F1134" s="39" t="s">
        <v>829</v>
      </c>
      <c r="G1134" s="39" t="s">
        <v>830</v>
      </c>
      <c r="H1134" s="39">
        <v>1020.0</v>
      </c>
      <c r="N1134" s="39" t="s">
        <v>938</v>
      </c>
      <c r="R1134" s="39" t="s">
        <v>832</v>
      </c>
      <c r="S1134" s="39" t="s">
        <v>889</v>
      </c>
      <c r="T1134" s="39" t="s">
        <v>741</v>
      </c>
      <c r="U1134" s="39" t="s">
        <v>938</v>
      </c>
      <c r="X1134" s="39" t="s">
        <v>1114</v>
      </c>
      <c r="Y1134" s="39" t="s">
        <v>1115</v>
      </c>
      <c r="Z1134" s="39" t="s">
        <v>872</v>
      </c>
      <c r="AB1134" s="39">
        <v>0.5</v>
      </c>
    </row>
    <row r="1135">
      <c r="A1135" s="39" t="s">
        <v>1434</v>
      </c>
      <c r="B1135" s="39" t="s">
        <v>1435</v>
      </c>
      <c r="C1135" s="39">
        <v>1.25</v>
      </c>
      <c r="D1135" s="41">
        <v>44120.458333333336</v>
      </c>
      <c r="E1135" s="39" t="s">
        <v>828</v>
      </c>
      <c r="F1135" s="39" t="s">
        <v>829</v>
      </c>
      <c r="G1135" s="39" t="s">
        <v>830</v>
      </c>
      <c r="H1135" s="39">
        <v>1020.0</v>
      </c>
      <c r="N1135" s="39" t="s">
        <v>938</v>
      </c>
      <c r="R1135" s="39" t="s">
        <v>832</v>
      </c>
      <c r="S1135" s="39" t="s">
        <v>939</v>
      </c>
      <c r="T1135" s="39" t="s">
        <v>741</v>
      </c>
      <c r="U1135" s="39" t="s">
        <v>938</v>
      </c>
      <c r="X1135" s="39" t="s">
        <v>1436</v>
      </c>
      <c r="Y1135" s="39" t="s">
        <v>1115</v>
      </c>
      <c r="Z1135" s="39" t="s">
        <v>872</v>
      </c>
      <c r="AB1135" s="39">
        <v>1.25</v>
      </c>
      <c r="AD1135" s="39">
        <v>0.0</v>
      </c>
    </row>
    <row r="1136">
      <c r="A1136" s="39" t="s">
        <v>1603</v>
      </c>
      <c r="B1136" s="39" t="s">
        <v>1604</v>
      </c>
      <c r="C1136" s="39">
        <v>0.5</v>
      </c>
      <c r="D1136" s="41">
        <v>44120.5</v>
      </c>
      <c r="E1136" s="39" t="s">
        <v>1153</v>
      </c>
      <c r="F1136" s="39" t="s">
        <v>1154</v>
      </c>
      <c r="G1136" s="39" t="s">
        <v>830</v>
      </c>
      <c r="H1136" s="39">
        <v>1020.0</v>
      </c>
      <c r="N1136" s="39" t="s">
        <v>1051</v>
      </c>
      <c r="R1136" s="39" t="s">
        <v>832</v>
      </c>
      <c r="S1136" s="39" t="s">
        <v>889</v>
      </c>
      <c r="T1136" s="39" t="s">
        <v>1053</v>
      </c>
      <c r="U1136" s="39" t="s">
        <v>1051</v>
      </c>
      <c r="X1136" s="39" t="s">
        <v>1677</v>
      </c>
      <c r="Y1136" s="39" t="s">
        <v>1256</v>
      </c>
      <c r="Z1136" s="39" t="s">
        <v>872</v>
      </c>
      <c r="AB1136" s="39">
        <v>0.5</v>
      </c>
    </row>
    <row r="1137">
      <c r="A1137" s="39" t="s">
        <v>1434</v>
      </c>
      <c r="B1137" s="39" t="s">
        <v>1435</v>
      </c>
      <c r="C1137" s="39">
        <v>4.0</v>
      </c>
      <c r="D1137" s="41">
        <v>44120.541666666664</v>
      </c>
      <c r="E1137" s="39" t="s">
        <v>828</v>
      </c>
      <c r="F1137" s="39" t="s">
        <v>829</v>
      </c>
      <c r="G1137" s="39" t="s">
        <v>830</v>
      </c>
      <c r="H1137" s="39">
        <v>1020.0</v>
      </c>
      <c r="N1137" s="39" t="s">
        <v>938</v>
      </c>
      <c r="R1137" s="39" t="s">
        <v>832</v>
      </c>
      <c r="S1137" s="39" t="s">
        <v>939</v>
      </c>
      <c r="T1137" s="39" t="s">
        <v>741</v>
      </c>
      <c r="U1137" s="39" t="s">
        <v>938</v>
      </c>
      <c r="X1137" s="39" t="s">
        <v>1513</v>
      </c>
      <c r="Y1137" s="39" t="s">
        <v>1115</v>
      </c>
      <c r="Z1137" s="39" t="s">
        <v>872</v>
      </c>
      <c r="AB1137" s="39">
        <v>4.0</v>
      </c>
      <c r="AD1137" s="39">
        <v>0.0</v>
      </c>
    </row>
    <row r="1138">
      <c r="A1138" s="39" t="s">
        <v>1603</v>
      </c>
      <c r="B1138" s="39" t="s">
        <v>1604</v>
      </c>
      <c r="C1138" s="39">
        <v>0.5</v>
      </c>
      <c r="D1138" s="41">
        <v>44120.645833333336</v>
      </c>
      <c r="E1138" s="39" t="s">
        <v>1153</v>
      </c>
      <c r="F1138" s="39" t="s">
        <v>1154</v>
      </c>
      <c r="G1138" s="39" t="s">
        <v>830</v>
      </c>
      <c r="H1138" s="39">
        <v>1020.0</v>
      </c>
      <c r="N1138" s="39" t="s">
        <v>1051</v>
      </c>
      <c r="R1138" s="39" t="s">
        <v>832</v>
      </c>
      <c r="S1138" s="39" t="s">
        <v>889</v>
      </c>
      <c r="T1138" s="39" t="s">
        <v>1053</v>
      </c>
      <c r="U1138" s="39" t="s">
        <v>1051</v>
      </c>
      <c r="X1138" s="39" t="s">
        <v>1677</v>
      </c>
      <c r="Y1138" s="39" t="s">
        <v>1256</v>
      </c>
      <c r="Z1138" s="39" t="s">
        <v>872</v>
      </c>
      <c r="AB1138" s="39">
        <v>0.5</v>
      </c>
    </row>
    <row r="1139">
      <c r="A1139" s="39" t="s">
        <v>1131</v>
      </c>
      <c r="B1139" s="39" t="s">
        <v>1591</v>
      </c>
      <c r="C1139" s="39">
        <v>1.0</v>
      </c>
      <c r="D1139" s="41">
        <v>44121.0</v>
      </c>
      <c r="E1139" s="39" t="s">
        <v>872</v>
      </c>
      <c r="F1139" s="39" t="s">
        <v>724</v>
      </c>
      <c r="G1139" s="39" t="s">
        <v>830</v>
      </c>
      <c r="H1139" s="39">
        <v>1020.0</v>
      </c>
      <c r="N1139" s="39" t="s">
        <v>1051</v>
      </c>
      <c r="R1139" s="39" t="s">
        <v>72</v>
      </c>
      <c r="S1139" s="39" t="s">
        <v>889</v>
      </c>
      <c r="T1139" s="39" t="s">
        <v>1053</v>
      </c>
      <c r="U1139" s="39" t="s">
        <v>1051</v>
      </c>
      <c r="X1139" s="39" t="s">
        <v>1724</v>
      </c>
      <c r="Z1139" s="39" t="s">
        <v>872</v>
      </c>
      <c r="AB1139" s="39">
        <v>1.0</v>
      </c>
      <c r="AD1139" s="39">
        <v>0.0</v>
      </c>
    </row>
    <row r="1140">
      <c r="A1140" s="39" t="s">
        <v>1578</v>
      </c>
      <c r="B1140" s="39" t="s">
        <v>1579</v>
      </c>
      <c r="C1140" s="39">
        <v>0.25</v>
      </c>
      <c r="D1140" s="41">
        <v>44123.0</v>
      </c>
      <c r="E1140" s="39" t="s">
        <v>872</v>
      </c>
      <c r="F1140" s="39" t="s">
        <v>724</v>
      </c>
      <c r="G1140" s="39" t="s">
        <v>830</v>
      </c>
      <c r="H1140" s="39">
        <v>1020.0</v>
      </c>
      <c r="N1140" s="39" t="s">
        <v>1051</v>
      </c>
      <c r="R1140" s="39" t="s">
        <v>832</v>
      </c>
      <c r="S1140" s="39" t="s">
        <v>889</v>
      </c>
      <c r="T1140" s="39" t="s">
        <v>1053</v>
      </c>
      <c r="U1140" s="39" t="s">
        <v>1051</v>
      </c>
      <c r="X1140" s="39" t="s">
        <v>1782</v>
      </c>
      <c r="Y1140" s="39" t="s">
        <v>1131</v>
      </c>
      <c r="Z1140" s="39" t="s">
        <v>872</v>
      </c>
      <c r="AB1140" s="39">
        <v>0.25</v>
      </c>
    </row>
    <row r="1141">
      <c r="A1141" s="39" t="s">
        <v>1783</v>
      </c>
      <c r="B1141" s="39" t="s">
        <v>1784</v>
      </c>
      <c r="C1141" s="39">
        <v>0.25</v>
      </c>
      <c r="D1141" s="41">
        <v>44123.0</v>
      </c>
      <c r="E1141" s="39" t="s">
        <v>872</v>
      </c>
      <c r="F1141" s="39" t="s">
        <v>724</v>
      </c>
      <c r="G1141" s="39" t="s">
        <v>830</v>
      </c>
      <c r="H1141" s="39">
        <v>1020.0</v>
      </c>
      <c r="N1141" s="39" t="s">
        <v>938</v>
      </c>
      <c r="R1141" s="39" t="s">
        <v>957</v>
      </c>
      <c r="S1141" s="39" t="s">
        <v>939</v>
      </c>
      <c r="T1141" s="39" t="s">
        <v>741</v>
      </c>
      <c r="U1141" s="39" t="s">
        <v>938</v>
      </c>
      <c r="X1141" s="39" t="s">
        <v>1785</v>
      </c>
      <c r="Y1141" s="39" t="s">
        <v>1112</v>
      </c>
      <c r="Z1141" s="39" t="s">
        <v>828</v>
      </c>
      <c r="AB1141" s="39">
        <v>0.25</v>
      </c>
    </row>
    <row r="1142">
      <c r="A1142" s="39" t="s">
        <v>1770</v>
      </c>
      <c r="B1142" s="39" t="s">
        <v>1771</v>
      </c>
      <c r="C1142" s="39">
        <v>3.0</v>
      </c>
      <c r="D1142" s="41">
        <v>44123.0</v>
      </c>
      <c r="E1142" s="39" t="s">
        <v>1048</v>
      </c>
      <c r="F1142" s="39" t="s">
        <v>1049</v>
      </c>
      <c r="G1142" s="39" t="s">
        <v>1050</v>
      </c>
      <c r="H1142" s="39">
        <v>1020.0</v>
      </c>
      <c r="N1142" s="39" t="s">
        <v>1051</v>
      </c>
      <c r="R1142" s="39" t="s">
        <v>957</v>
      </c>
      <c r="S1142" s="39" t="s">
        <v>1274</v>
      </c>
      <c r="T1142" s="39" t="s">
        <v>1053</v>
      </c>
      <c r="U1142" s="39" t="s">
        <v>1051</v>
      </c>
      <c r="X1142" s="39" t="s">
        <v>1786</v>
      </c>
      <c r="Y1142" s="39" t="s">
        <v>1603</v>
      </c>
      <c r="Z1142" s="39" t="s">
        <v>1048</v>
      </c>
      <c r="AB1142" s="39">
        <v>3.0</v>
      </c>
    </row>
    <row r="1143">
      <c r="A1143" s="39" t="s">
        <v>1288</v>
      </c>
      <c r="B1143" s="39" t="s">
        <v>1289</v>
      </c>
      <c r="C1143" s="39">
        <v>7.0</v>
      </c>
      <c r="D1143" s="41">
        <v>44123.0</v>
      </c>
      <c r="E1143" s="39" t="s">
        <v>1059</v>
      </c>
      <c r="F1143" s="39" t="s">
        <v>1060</v>
      </c>
      <c r="G1143" s="39" t="s">
        <v>1050</v>
      </c>
      <c r="H1143" s="39">
        <v>1020.0</v>
      </c>
      <c r="N1143" s="39" t="s">
        <v>1051</v>
      </c>
      <c r="R1143" s="39" t="s">
        <v>832</v>
      </c>
      <c r="S1143" s="39" t="s">
        <v>1052</v>
      </c>
      <c r="T1143" s="39" t="s">
        <v>1053</v>
      </c>
      <c r="U1143" s="39" t="s">
        <v>1051</v>
      </c>
      <c r="X1143" s="39" t="s">
        <v>1787</v>
      </c>
      <c r="Y1143" s="39" t="s">
        <v>1131</v>
      </c>
      <c r="Z1143" s="39" t="s">
        <v>872</v>
      </c>
      <c r="AB1143" s="39">
        <v>7.0</v>
      </c>
    </row>
    <row r="1144">
      <c r="A1144" s="39" t="s">
        <v>1434</v>
      </c>
      <c r="B1144" s="39" t="s">
        <v>1435</v>
      </c>
      <c r="C1144" s="39">
        <v>0.25</v>
      </c>
      <c r="D1144" s="41">
        <v>44123.5</v>
      </c>
      <c r="E1144" s="39" t="s">
        <v>828</v>
      </c>
      <c r="F1144" s="39" t="s">
        <v>829</v>
      </c>
      <c r="G1144" s="39" t="s">
        <v>830</v>
      </c>
      <c r="H1144" s="39">
        <v>1020.0</v>
      </c>
      <c r="N1144" s="39" t="s">
        <v>938</v>
      </c>
      <c r="R1144" s="39" t="s">
        <v>832</v>
      </c>
      <c r="S1144" s="39" t="s">
        <v>939</v>
      </c>
      <c r="T1144" s="39" t="s">
        <v>741</v>
      </c>
      <c r="U1144" s="39" t="s">
        <v>938</v>
      </c>
      <c r="X1144" s="39" t="s">
        <v>1609</v>
      </c>
      <c r="Y1144" s="39" t="s">
        <v>1115</v>
      </c>
      <c r="Z1144" s="39" t="s">
        <v>872</v>
      </c>
      <c r="AB1144" s="39">
        <v>0.25</v>
      </c>
      <c r="AD1144" s="39">
        <v>0.0</v>
      </c>
    </row>
    <row r="1145">
      <c r="A1145" s="39" t="s">
        <v>1616</v>
      </c>
      <c r="B1145" s="42" t="s">
        <v>1617</v>
      </c>
      <c r="C1145" s="39">
        <v>0.25</v>
      </c>
      <c r="D1145" s="41">
        <v>44123.552083333336</v>
      </c>
      <c r="E1145" s="39" t="s">
        <v>828</v>
      </c>
      <c r="F1145" s="39" t="s">
        <v>829</v>
      </c>
      <c r="G1145" s="39" t="s">
        <v>830</v>
      </c>
      <c r="H1145" s="39">
        <v>1020.0</v>
      </c>
      <c r="N1145" s="39" t="s">
        <v>938</v>
      </c>
      <c r="R1145" s="39" t="s">
        <v>832</v>
      </c>
      <c r="S1145" s="39" t="s">
        <v>939</v>
      </c>
      <c r="T1145" s="39" t="s">
        <v>741</v>
      </c>
      <c r="U1145" s="39" t="s">
        <v>938</v>
      </c>
      <c r="X1145" s="39" t="s">
        <v>1609</v>
      </c>
      <c r="Y1145" s="39" t="s">
        <v>1074</v>
      </c>
      <c r="Z1145" s="39" t="s">
        <v>872</v>
      </c>
      <c r="AB1145" s="39">
        <v>0.25</v>
      </c>
    </row>
    <row r="1146">
      <c r="A1146" s="39" t="s">
        <v>1074</v>
      </c>
      <c r="B1146" s="39" t="s">
        <v>1571</v>
      </c>
      <c r="C1146" s="39">
        <v>1.25</v>
      </c>
      <c r="D1146" s="41">
        <v>44123.583333333336</v>
      </c>
      <c r="E1146" s="39" t="s">
        <v>828</v>
      </c>
      <c r="F1146" s="39" t="s">
        <v>829</v>
      </c>
      <c r="G1146" s="39" t="s">
        <v>830</v>
      </c>
      <c r="H1146" s="39">
        <v>1020.0</v>
      </c>
      <c r="N1146" s="39" t="s">
        <v>938</v>
      </c>
      <c r="R1146" s="39" t="s">
        <v>72</v>
      </c>
      <c r="S1146" s="39" t="s">
        <v>889</v>
      </c>
      <c r="T1146" s="39" t="s">
        <v>741</v>
      </c>
      <c r="U1146" s="39" t="s">
        <v>938</v>
      </c>
      <c r="X1146" s="39" t="s">
        <v>1788</v>
      </c>
      <c r="Z1146" s="39" t="s">
        <v>872</v>
      </c>
      <c r="AB1146" s="39">
        <v>1.25</v>
      </c>
    </row>
    <row r="1147">
      <c r="A1147" s="39" t="s">
        <v>1074</v>
      </c>
      <c r="B1147" s="39" t="s">
        <v>1571</v>
      </c>
      <c r="C1147" s="39">
        <v>0.5</v>
      </c>
      <c r="D1147" s="41">
        <v>44123.635416666664</v>
      </c>
      <c r="E1147" s="39" t="s">
        <v>828</v>
      </c>
      <c r="F1147" s="39" t="s">
        <v>829</v>
      </c>
      <c r="G1147" s="39" t="s">
        <v>830</v>
      </c>
      <c r="H1147" s="39">
        <v>1020.0</v>
      </c>
      <c r="N1147" s="39" t="s">
        <v>938</v>
      </c>
      <c r="R1147" s="39" t="s">
        <v>72</v>
      </c>
      <c r="S1147" s="39" t="s">
        <v>889</v>
      </c>
      <c r="T1147" s="39" t="s">
        <v>741</v>
      </c>
      <c r="U1147" s="39" t="s">
        <v>938</v>
      </c>
      <c r="X1147" s="39" t="s">
        <v>1789</v>
      </c>
      <c r="Z1147" s="39" t="s">
        <v>872</v>
      </c>
      <c r="AB1147" s="39">
        <v>0.5</v>
      </c>
    </row>
    <row r="1148">
      <c r="A1148" s="39" t="s">
        <v>1534</v>
      </c>
      <c r="B1148" s="39" t="s">
        <v>1535</v>
      </c>
      <c r="C1148" s="39">
        <v>0.5</v>
      </c>
      <c r="D1148" s="41">
        <v>44123.677083333336</v>
      </c>
      <c r="E1148" s="39" t="s">
        <v>828</v>
      </c>
      <c r="F1148" s="39" t="s">
        <v>829</v>
      </c>
      <c r="G1148" s="39" t="s">
        <v>830</v>
      </c>
      <c r="H1148" s="39">
        <v>1020.0</v>
      </c>
      <c r="N1148" s="39" t="s">
        <v>883</v>
      </c>
      <c r="R1148" s="39" t="s">
        <v>832</v>
      </c>
      <c r="S1148" s="39" t="s">
        <v>833</v>
      </c>
      <c r="T1148" s="39" t="s">
        <v>884</v>
      </c>
      <c r="U1148" s="39" t="s">
        <v>883</v>
      </c>
      <c r="W1148" s="39" t="s">
        <v>904</v>
      </c>
      <c r="X1148" s="39" t="s">
        <v>1790</v>
      </c>
      <c r="Z1148" s="39" t="s">
        <v>837</v>
      </c>
      <c r="AB1148" s="39">
        <v>0.5</v>
      </c>
      <c r="AC1148" s="39">
        <v>8.0</v>
      </c>
      <c r="AD1148" s="39">
        <v>0.0</v>
      </c>
    </row>
    <row r="1149">
      <c r="A1149" s="39" t="s">
        <v>1791</v>
      </c>
      <c r="B1149" s="39" t="s">
        <v>1792</v>
      </c>
      <c r="C1149" s="39">
        <v>0.5</v>
      </c>
      <c r="D1149" s="41">
        <v>44124.0</v>
      </c>
      <c r="E1149" s="39" t="s">
        <v>872</v>
      </c>
      <c r="F1149" s="39" t="s">
        <v>724</v>
      </c>
      <c r="G1149" s="39" t="s">
        <v>830</v>
      </c>
      <c r="H1149" s="39">
        <v>1020.0</v>
      </c>
      <c r="N1149" s="39" t="s">
        <v>1051</v>
      </c>
      <c r="R1149" s="39" t="s">
        <v>832</v>
      </c>
      <c r="S1149" s="39" t="s">
        <v>1052</v>
      </c>
      <c r="T1149" s="39" t="s">
        <v>1053</v>
      </c>
      <c r="U1149" s="39" t="s">
        <v>1051</v>
      </c>
      <c r="X1149" s="39" t="s">
        <v>1793</v>
      </c>
      <c r="Y1149" s="39" t="s">
        <v>1055</v>
      </c>
      <c r="Z1149" s="39" t="s">
        <v>872</v>
      </c>
      <c r="AB1149" s="39">
        <v>0.5</v>
      </c>
    </row>
    <row r="1150">
      <c r="A1150" s="39" t="s">
        <v>1131</v>
      </c>
      <c r="B1150" s="39" t="s">
        <v>1591</v>
      </c>
      <c r="C1150" s="39">
        <v>2.5</v>
      </c>
      <c r="D1150" s="41">
        <v>44124.0</v>
      </c>
      <c r="E1150" s="39" t="s">
        <v>872</v>
      </c>
      <c r="F1150" s="39" t="s">
        <v>724</v>
      </c>
      <c r="G1150" s="39" t="s">
        <v>830</v>
      </c>
      <c r="H1150" s="39">
        <v>1020.0</v>
      </c>
      <c r="N1150" s="39" t="s">
        <v>1051</v>
      </c>
      <c r="R1150" s="39" t="s">
        <v>72</v>
      </c>
      <c r="S1150" s="39" t="s">
        <v>889</v>
      </c>
      <c r="T1150" s="39" t="s">
        <v>1053</v>
      </c>
      <c r="U1150" s="39" t="s">
        <v>1051</v>
      </c>
      <c r="X1150" s="39" t="s">
        <v>1724</v>
      </c>
      <c r="Z1150" s="39" t="s">
        <v>872</v>
      </c>
      <c r="AB1150" s="39">
        <v>2.5</v>
      </c>
      <c r="AD1150" s="39">
        <v>0.0</v>
      </c>
    </row>
    <row r="1151">
      <c r="A1151" s="39" t="s">
        <v>1188</v>
      </c>
      <c r="B1151" s="39" t="s">
        <v>1794</v>
      </c>
      <c r="C1151" s="39">
        <v>0.25</v>
      </c>
      <c r="D1151" s="41">
        <v>44124.0</v>
      </c>
      <c r="E1151" s="39" t="s">
        <v>872</v>
      </c>
      <c r="F1151" s="39" t="s">
        <v>724</v>
      </c>
      <c r="G1151" s="39" t="s">
        <v>830</v>
      </c>
      <c r="H1151" s="39">
        <v>1020.0</v>
      </c>
      <c r="N1151" s="39" t="s">
        <v>1185</v>
      </c>
      <c r="R1151" s="39" t="s">
        <v>72</v>
      </c>
      <c r="S1151" s="39" t="s">
        <v>889</v>
      </c>
      <c r="T1151" s="39" t="s">
        <v>1186</v>
      </c>
      <c r="U1151" s="39" t="s">
        <v>1185</v>
      </c>
      <c r="X1151" s="39" t="s">
        <v>1795</v>
      </c>
      <c r="Z1151" s="39" t="s">
        <v>872</v>
      </c>
      <c r="AB1151" s="39">
        <v>0.25</v>
      </c>
    </row>
    <row r="1152">
      <c r="A1152" s="39" t="s">
        <v>1534</v>
      </c>
      <c r="B1152" s="39" t="s">
        <v>1535</v>
      </c>
      <c r="C1152" s="39">
        <v>0.25</v>
      </c>
      <c r="D1152" s="41">
        <v>44124.0</v>
      </c>
      <c r="E1152" s="39" t="s">
        <v>872</v>
      </c>
      <c r="F1152" s="39" t="s">
        <v>724</v>
      </c>
      <c r="G1152" s="39" t="s">
        <v>830</v>
      </c>
      <c r="H1152" s="39">
        <v>1020.0</v>
      </c>
      <c r="N1152" s="39" t="s">
        <v>883</v>
      </c>
      <c r="R1152" s="39" t="s">
        <v>832</v>
      </c>
      <c r="S1152" s="39" t="s">
        <v>833</v>
      </c>
      <c r="T1152" s="39" t="s">
        <v>884</v>
      </c>
      <c r="U1152" s="39" t="s">
        <v>883</v>
      </c>
      <c r="W1152" s="39" t="s">
        <v>904</v>
      </c>
      <c r="X1152" s="39" t="s">
        <v>1536</v>
      </c>
      <c r="Z1152" s="39" t="s">
        <v>837</v>
      </c>
      <c r="AB1152" s="39">
        <v>0.25</v>
      </c>
      <c r="AC1152" s="39">
        <v>8.0</v>
      </c>
      <c r="AD1152" s="39">
        <v>0.0</v>
      </c>
    </row>
    <row r="1153">
      <c r="A1153" s="39" t="s">
        <v>1074</v>
      </c>
      <c r="B1153" s="39" t="s">
        <v>1571</v>
      </c>
      <c r="C1153" s="39">
        <v>0.5</v>
      </c>
      <c r="D1153" s="41">
        <v>44124.0</v>
      </c>
      <c r="E1153" s="39" t="s">
        <v>872</v>
      </c>
      <c r="F1153" s="39" t="s">
        <v>724</v>
      </c>
      <c r="G1153" s="39" t="s">
        <v>830</v>
      </c>
      <c r="H1153" s="39">
        <v>1020.0</v>
      </c>
      <c r="N1153" s="39" t="s">
        <v>938</v>
      </c>
      <c r="R1153" s="39" t="s">
        <v>72</v>
      </c>
      <c r="S1153" s="39" t="s">
        <v>889</v>
      </c>
      <c r="T1153" s="39" t="s">
        <v>741</v>
      </c>
      <c r="U1153" s="39" t="s">
        <v>938</v>
      </c>
      <c r="X1153" s="39" t="s">
        <v>1572</v>
      </c>
      <c r="Z1153" s="39" t="s">
        <v>872</v>
      </c>
      <c r="AB1153" s="39">
        <v>0.5</v>
      </c>
    </row>
    <row r="1154">
      <c r="A1154" s="39" t="s">
        <v>1791</v>
      </c>
      <c r="B1154" s="39" t="s">
        <v>1792</v>
      </c>
      <c r="C1154" s="39">
        <v>7.0</v>
      </c>
      <c r="D1154" s="41">
        <v>44124.0</v>
      </c>
      <c r="E1154" s="39" t="s">
        <v>1048</v>
      </c>
      <c r="F1154" s="39" t="s">
        <v>1049</v>
      </c>
      <c r="G1154" s="39" t="s">
        <v>1050</v>
      </c>
      <c r="H1154" s="39">
        <v>1020.0</v>
      </c>
      <c r="N1154" s="39" t="s">
        <v>1051</v>
      </c>
      <c r="R1154" s="39" t="s">
        <v>832</v>
      </c>
      <c r="S1154" s="39" t="s">
        <v>1052</v>
      </c>
      <c r="T1154" s="39" t="s">
        <v>1053</v>
      </c>
      <c r="U1154" s="39" t="s">
        <v>1051</v>
      </c>
      <c r="X1154" s="39" t="s">
        <v>1796</v>
      </c>
      <c r="Y1154" s="39" t="s">
        <v>1055</v>
      </c>
      <c r="Z1154" s="39" t="s">
        <v>872</v>
      </c>
      <c r="AB1154" s="39">
        <v>7.0</v>
      </c>
    </row>
    <row r="1155">
      <c r="A1155" s="39" t="s">
        <v>1752</v>
      </c>
      <c r="B1155" s="39" t="s">
        <v>1753</v>
      </c>
      <c r="C1155" s="39">
        <v>7.0</v>
      </c>
      <c r="D1155" s="41">
        <v>44124.0</v>
      </c>
      <c r="E1155" s="39" t="s">
        <v>1059</v>
      </c>
      <c r="F1155" s="39" t="s">
        <v>1060</v>
      </c>
      <c r="G1155" s="39" t="s">
        <v>1050</v>
      </c>
      <c r="H1155" s="39">
        <v>1020.0</v>
      </c>
      <c r="N1155" s="39" t="s">
        <v>1051</v>
      </c>
      <c r="R1155" s="39" t="s">
        <v>957</v>
      </c>
      <c r="S1155" s="39" t="s">
        <v>1052</v>
      </c>
      <c r="T1155" s="39" t="s">
        <v>1053</v>
      </c>
      <c r="U1155" s="39" t="s">
        <v>1051</v>
      </c>
      <c r="X1155" s="39" t="s">
        <v>1797</v>
      </c>
      <c r="Y1155" s="39" t="s">
        <v>1380</v>
      </c>
      <c r="Z1155" s="39" t="s">
        <v>872</v>
      </c>
      <c r="AB1155" s="39">
        <v>7.0</v>
      </c>
    </row>
    <row r="1156">
      <c r="A1156" s="39" t="s">
        <v>1534</v>
      </c>
      <c r="B1156" s="39" t="s">
        <v>1535</v>
      </c>
      <c r="C1156" s="39">
        <v>1.75</v>
      </c>
      <c r="D1156" s="41">
        <v>44124.333333333336</v>
      </c>
      <c r="E1156" s="39" t="s">
        <v>1600</v>
      </c>
      <c r="F1156" s="39" t="s">
        <v>1601</v>
      </c>
      <c r="G1156" s="39" t="s">
        <v>830</v>
      </c>
      <c r="H1156" s="39">
        <v>1020.0</v>
      </c>
      <c r="N1156" s="39" t="s">
        <v>883</v>
      </c>
      <c r="R1156" s="39" t="s">
        <v>832</v>
      </c>
      <c r="S1156" s="39" t="s">
        <v>833</v>
      </c>
      <c r="T1156" s="39" t="s">
        <v>884</v>
      </c>
      <c r="U1156" s="39" t="s">
        <v>883</v>
      </c>
      <c r="W1156" s="39" t="s">
        <v>904</v>
      </c>
      <c r="X1156" s="39" t="s">
        <v>1798</v>
      </c>
      <c r="Z1156" s="39" t="s">
        <v>837</v>
      </c>
      <c r="AB1156" s="39">
        <v>1.75</v>
      </c>
      <c r="AC1156" s="39">
        <v>8.0</v>
      </c>
      <c r="AD1156" s="39">
        <v>0.0</v>
      </c>
    </row>
    <row r="1157">
      <c r="A1157" s="39" t="s">
        <v>1074</v>
      </c>
      <c r="B1157" s="39" t="s">
        <v>1571</v>
      </c>
      <c r="C1157" s="39">
        <v>0.5</v>
      </c>
      <c r="D1157" s="41">
        <v>44124.385416666664</v>
      </c>
      <c r="E1157" s="39" t="s">
        <v>828</v>
      </c>
      <c r="F1157" s="39" t="s">
        <v>829</v>
      </c>
      <c r="G1157" s="39" t="s">
        <v>830</v>
      </c>
      <c r="H1157" s="39">
        <v>1020.0</v>
      </c>
      <c r="N1157" s="39" t="s">
        <v>938</v>
      </c>
      <c r="R1157" s="39" t="s">
        <v>72</v>
      </c>
      <c r="S1157" s="39" t="s">
        <v>889</v>
      </c>
      <c r="T1157" s="39" t="s">
        <v>741</v>
      </c>
      <c r="U1157" s="39" t="s">
        <v>938</v>
      </c>
      <c r="X1157" s="39" t="s">
        <v>1673</v>
      </c>
      <c r="Z1157" s="39" t="s">
        <v>872</v>
      </c>
      <c r="AB1157" s="39">
        <v>0.5</v>
      </c>
    </row>
    <row r="1158">
      <c r="A1158" s="39" t="s">
        <v>1074</v>
      </c>
      <c r="B1158" s="39" t="s">
        <v>1571</v>
      </c>
      <c r="C1158" s="39">
        <v>0.5</v>
      </c>
      <c r="D1158" s="41">
        <v>44124.427083333336</v>
      </c>
      <c r="E1158" s="39" t="s">
        <v>828</v>
      </c>
      <c r="F1158" s="39" t="s">
        <v>829</v>
      </c>
      <c r="G1158" s="39" t="s">
        <v>830</v>
      </c>
      <c r="H1158" s="39">
        <v>1020.0</v>
      </c>
      <c r="N1158" s="39" t="s">
        <v>938</v>
      </c>
      <c r="R1158" s="39" t="s">
        <v>72</v>
      </c>
      <c r="S1158" s="39" t="s">
        <v>889</v>
      </c>
      <c r="T1158" s="39" t="s">
        <v>741</v>
      </c>
      <c r="U1158" s="39" t="s">
        <v>938</v>
      </c>
      <c r="X1158" s="39" t="s">
        <v>1673</v>
      </c>
      <c r="Z1158" s="39" t="s">
        <v>872</v>
      </c>
      <c r="AB1158" s="39">
        <v>0.5</v>
      </c>
    </row>
    <row r="1159">
      <c r="A1159" s="39" t="s">
        <v>1074</v>
      </c>
      <c r="B1159" s="39" t="s">
        <v>1571</v>
      </c>
      <c r="C1159" s="39">
        <v>0.25</v>
      </c>
      <c r="D1159" s="41">
        <v>44124.447916666664</v>
      </c>
      <c r="E1159" s="39" t="s">
        <v>828</v>
      </c>
      <c r="F1159" s="39" t="s">
        <v>829</v>
      </c>
      <c r="G1159" s="39" t="s">
        <v>830</v>
      </c>
      <c r="H1159" s="39">
        <v>1020.0</v>
      </c>
      <c r="N1159" s="39" t="s">
        <v>938</v>
      </c>
      <c r="R1159" s="39" t="s">
        <v>72</v>
      </c>
      <c r="S1159" s="39" t="s">
        <v>889</v>
      </c>
      <c r="T1159" s="39" t="s">
        <v>741</v>
      </c>
      <c r="U1159" s="39" t="s">
        <v>938</v>
      </c>
      <c r="X1159" s="39" t="s">
        <v>1799</v>
      </c>
      <c r="Z1159" s="39" t="s">
        <v>872</v>
      </c>
      <c r="AB1159" s="39">
        <v>0.25</v>
      </c>
    </row>
    <row r="1160">
      <c r="A1160" s="39" t="s">
        <v>1534</v>
      </c>
      <c r="B1160" s="39" t="s">
        <v>1535</v>
      </c>
      <c r="C1160" s="39">
        <v>0.25</v>
      </c>
      <c r="D1160" s="41">
        <v>44124.479166666664</v>
      </c>
      <c r="E1160" s="39" t="s">
        <v>828</v>
      </c>
      <c r="F1160" s="39" t="s">
        <v>829</v>
      </c>
      <c r="G1160" s="39" t="s">
        <v>830</v>
      </c>
      <c r="H1160" s="39">
        <v>1020.0</v>
      </c>
      <c r="N1160" s="39" t="s">
        <v>883</v>
      </c>
      <c r="R1160" s="39" t="s">
        <v>832</v>
      </c>
      <c r="S1160" s="39" t="s">
        <v>833</v>
      </c>
      <c r="T1160" s="39" t="s">
        <v>884</v>
      </c>
      <c r="U1160" s="39" t="s">
        <v>883</v>
      </c>
      <c r="W1160" s="39" t="s">
        <v>904</v>
      </c>
      <c r="X1160" s="39" t="s">
        <v>1800</v>
      </c>
      <c r="Z1160" s="39" t="s">
        <v>837</v>
      </c>
      <c r="AB1160" s="39">
        <v>0.25</v>
      </c>
      <c r="AC1160" s="39">
        <v>8.0</v>
      </c>
      <c r="AD1160" s="39">
        <v>0.0</v>
      </c>
    </row>
    <row r="1161">
      <c r="A1161" s="39" t="s">
        <v>1074</v>
      </c>
      <c r="B1161" s="39" t="s">
        <v>1571</v>
      </c>
      <c r="C1161" s="39">
        <v>0.5</v>
      </c>
      <c r="D1161" s="41">
        <v>44124.666666666664</v>
      </c>
      <c r="E1161" s="39" t="s">
        <v>828</v>
      </c>
      <c r="F1161" s="39" t="s">
        <v>829</v>
      </c>
      <c r="G1161" s="39" t="s">
        <v>830</v>
      </c>
      <c r="H1161" s="39">
        <v>1020.0</v>
      </c>
      <c r="N1161" s="39" t="s">
        <v>938</v>
      </c>
      <c r="R1161" s="39" t="s">
        <v>72</v>
      </c>
      <c r="S1161" s="39" t="s">
        <v>889</v>
      </c>
      <c r="T1161" s="39" t="s">
        <v>741</v>
      </c>
      <c r="U1161" s="39" t="s">
        <v>938</v>
      </c>
      <c r="X1161" s="39" t="s">
        <v>1799</v>
      </c>
      <c r="Z1161" s="39" t="s">
        <v>872</v>
      </c>
      <c r="AB1161" s="39">
        <v>0.5</v>
      </c>
    </row>
    <row r="1162">
      <c r="A1162" s="39" t="s">
        <v>1791</v>
      </c>
      <c r="B1162" s="39" t="s">
        <v>1792</v>
      </c>
      <c r="C1162" s="39">
        <v>0.25</v>
      </c>
      <c r="D1162" s="41">
        <v>44125.0</v>
      </c>
      <c r="E1162" s="39" t="s">
        <v>872</v>
      </c>
      <c r="F1162" s="39" t="s">
        <v>724</v>
      </c>
      <c r="G1162" s="39" t="s">
        <v>830</v>
      </c>
      <c r="H1162" s="39">
        <v>1020.0</v>
      </c>
      <c r="N1162" s="39" t="s">
        <v>1051</v>
      </c>
      <c r="R1162" s="39" t="s">
        <v>832</v>
      </c>
      <c r="S1162" s="39" t="s">
        <v>1052</v>
      </c>
      <c r="T1162" s="39" t="s">
        <v>1053</v>
      </c>
      <c r="U1162" s="39" t="s">
        <v>1051</v>
      </c>
      <c r="X1162" s="39" t="s">
        <v>1793</v>
      </c>
      <c r="Y1162" s="39" t="s">
        <v>1055</v>
      </c>
      <c r="Z1162" s="39" t="s">
        <v>872</v>
      </c>
      <c r="AB1162" s="39">
        <v>0.25</v>
      </c>
    </row>
    <row r="1163">
      <c r="A1163" s="39" t="s">
        <v>1791</v>
      </c>
      <c r="B1163" s="39" t="s">
        <v>1792</v>
      </c>
      <c r="C1163" s="39">
        <v>7.0</v>
      </c>
      <c r="D1163" s="41">
        <v>44125.0</v>
      </c>
      <c r="E1163" s="39" t="s">
        <v>1048</v>
      </c>
      <c r="F1163" s="39" t="s">
        <v>1049</v>
      </c>
      <c r="G1163" s="39" t="s">
        <v>1050</v>
      </c>
      <c r="H1163" s="39">
        <v>1020.0</v>
      </c>
      <c r="N1163" s="39" t="s">
        <v>1051</v>
      </c>
      <c r="R1163" s="39" t="s">
        <v>832</v>
      </c>
      <c r="S1163" s="39" t="s">
        <v>1052</v>
      </c>
      <c r="T1163" s="39" t="s">
        <v>1053</v>
      </c>
      <c r="U1163" s="39" t="s">
        <v>1051</v>
      </c>
      <c r="X1163" s="39" t="s">
        <v>1801</v>
      </c>
      <c r="Y1163" s="39" t="s">
        <v>1055</v>
      </c>
      <c r="Z1163" s="39" t="s">
        <v>872</v>
      </c>
      <c r="AB1163" s="39">
        <v>7.0</v>
      </c>
    </row>
    <row r="1164">
      <c r="A1164" s="39" t="s">
        <v>1802</v>
      </c>
      <c r="B1164" s="39" t="s">
        <v>1803</v>
      </c>
      <c r="C1164" s="39">
        <v>7.0</v>
      </c>
      <c r="D1164" s="41">
        <v>44125.0</v>
      </c>
      <c r="E1164" s="39" t="s">
        <v>1059</v>
      </c>
      <c r="F1164" s="39" t="s">
        <v>1060</v>
      </c>
      <c r="G1164" s="39" t="s">
        <v>1050</v>
      </c>
      <c r="H1164" s="39">
        <v>1020.0</v>
      </c>
      <c r="N1164" s="39" t="s">
        <v>1051</v>
      </c>
      <c r="R1164" s="39" t="s">
        <v>832</v>
      </c>
      <c r="S1164" s="39" t="s">
        <v>1052</v>
      </c>
      <c r="T1164" s="39" t="s">
        <v>1053</v>
      </c>
      <c r="U1164" s="39" t="s">
        <v>1051</v>
      </c>
      <c r="X1164" s="39" t="s">
        <v>1804</v>
      </c>
      <c r="Y1164" s="39" t="s">
        <v>1131</v>
      </c>
      <c r="Z1164" s="39" t="s">
        <v>872</v>
      </c>
      <c r="AB1164" s="39">
        <v>7.0</v>
      </c>
    </row>
    <row r="1165">
      <c r="A1165" s="39" t="s">
        <v>1074</v>
      </c>
      <c r="B1165" s="39" t="s">
        <v>1571</v>
      </c>
      <c r="C1165" s="39">
        <v>0.5</v>
      </c>
      <c r="D1165" s="41">
        <v>44125.385416666664</v>
      </c>
      <c r="E1165" s="39" t="s">
        <v>828</v>
      </c>
      <c r="F1165" s="39" t="s">
        <v>829</v>
      </c>
      <c r="G1165" s="39" t="s">
        <v>830</v>
      </c>
      <c r="H1165" s="39">
        <v>1020.0</v>
      </c>
      <c r="N1165" s="39" t="s">
        <v>938</v>
      </c>
      <c r="R1165" s="39" t="s">
        <v>72</v>
      </c>
      <c r="S1165" s="39" t="s">
        <v>889</v>
      </c>
      <c r="T1165" s="39" t="s">
        <v>741</v>
      </c>
      <c r="U1165" s="39" t="s">
        <v>938</v>
      </c>
      <c r="X1165" s="39" t="s">
        <v>1805</v>
      </c>
      <c r="Z1165" s="39" t="s">
        <v>872</v>
      </c>
      <c r="AB1165" s="39">
        <v>0.5</v>
      </c>
    </row>
    <row r="1166">
      <c r="A1166" s="39" t="s">
        <v>1783</v>
      </c>
      <c r="B1166" s="39" t="s">
        <v>1784</v>
      </c>
      <c r="C1166" s="39">
        <v>2.0</v>
      </c>
      <c r="D1166" s="41">
        <v>44125.427083333336</v>
      </c>
      <c r="E1166" s="39" t="s">
        <v>828</v>
      </c>
      <c r="F1166" s="39" t="s">
        <v>829</v>
      </c>
      <c r="G1166" s="39" t="s">
        <v>830</v>
      </c>
      <c r="H1166" s="39">
        <v>1020.0</v>
      </c>
      <c r="N1166" s="39" t="s">
        <v>938</v>
      </c>
      <c r="R1166" s="39" t="s">
        <v>957</v>
      </c>
      <c r="S1166" s="39" t="s">
        <v>939</v>
      </c>
      <c r="T1166" s="39" t="s">
        <v>741</v>
      </c>
      <c r="U1166" s="39" t="s">
        <v>938</v>
      </c>
      <c r="X1166" s="39" t="s">
        <v>1785</v>
      </c>
      <c r="Y1166" s="39" t="s">
        <v>1112</v>
      </c>
      <c r="Z1166" s="39" t="s">
        <v>828</v>
      </c>
      <c r="AB1166" s="39">
        <v>2.0</v>
      </c>
    </row>
    <row r="1167">
      <c r="A1167" s="39" t="s">
        <v>1783</v>
      </c>
      <c r="B1167" s="39" t="s">
        <v>1784</v>
      </c>
      <c r="C1167" s="39">
        <v>3.0</v>
      </c>
      <c r="D1167" s="41">
        <v>44125.552083333336</v>
      </c>
      <c r="E1167" s="39" t="s">
        <v>828</v>
      </c>
      <c r="F1167" s="39" t="s">
        <v>829</v>
      </c>
      <c r="G1167" s="39" t="s">
        <v>830</v>
      </c>
      <c r="H1167" s="39">
        <v>1020.0</v>
      </c>
      <c r="N1167" s="39" t="s">
        <v>938</v>
      </c>
      <c r="R1167" s="39" t="s">
        <v>957</v>
      </c>
      <c r="S1167" s="39" t="s">
        <v>939</v>
      </c>
      <c r="T1167" s="39" t="s">
        <v>741</v>
      </c>
      <c r="U1167" s="39" t="s">
        <v>938</v>
      </c>
      <c r="X1167" s="39" t="s">
        <v>1785</v>
      </c>
      <c r="Y1167" s="39" t="s">
        <v>1112</v>
      </c>
      <c r="Z1167" s="39" t="s">
        <v>828</v>
      </c>
      <c r="AB1167" s="39">
        <v>3.0</v>
      </c>
    </row>
    <row r="1168">
      <c r="A1168" s="39" t="s">
        <v>1806</v>
      </c>
      <c r="B1168" s="39" t="s">
        <v>1807</v>
      </c>
      <c r="C1168" s="39">
        <v>2.0</v>
      </c>
      <c r="D1168" s="41">
        <v>44125.645833333336</v>
      </c>
      <c r="E1168" s="39" t="s">
        <v>1808</v>
      </c>
      <c r="F1168" s="39" t="s">
        <v>1809</v>
      </c>
      <c r="G1168" s="39" t="s">
        <v>849</v>
      </c>
      <c r="H1168" s="39">
        <v>1020.0</v>
      </c>
      <c r="N1168" s="39" t="s">
        <v>1810</v>
      </c>
      <c r="R1168" s="39" t="s">
        <v>1811</v>
      </c>
      <c r="S1168" s="39" t="s">
        <v>833</v>
      </c>
      <c r="T1168" s="39" t="s">
        <v>1812</v>
      </c>
      <c r="U1168" s="39" t="s">
        <v>1810</v>
      </c>
      <c r="W1168" s="39" t="s">
        <v>125</v>
      </c>
      <c r="X1168" s="39" t="s">
        <v>1813</v>
      </c>
      <c r="Y1168" s="39" t="s">
        <v>1814</v>
      </c>
      <c r="Z1168" s="39" t="s">
        <v>872</v>
      </c>
      <c r="AB1168" s="39">
        <v>2.0</v>
      </c>
      <c r="AC1168" s="39">
        <v>0.0</v>
      </c>
      <c r="AD1168" s="39">
        <v>0.0</v>
      </c>
    </row>
    <row r="1169">
      <c r="A1169" s="39" t="s">
        <v>1783</v>
      </c>
      <c r="B1169" s="39" t="s">
        <v>1784</v>
      </c>
      <c r="C1169" s="39">
        <v>0.5</v>
      </c>
      <c r="D1169" s="41">
        <v>44125.6875</v>
      </c>
      <c r="E1169" s="39" t="s">
        <v>828</v>
      </c>
      <c r="F1169" s="39" t="s">
        <v>829</v>
      </c>
      <c r="G1169" s="39" t="s">
        <v>830</v>
      </c>
      <c r="H1169" s="39">
        <v>1020.0</v>
      </c>
      <c r="N1169" s="39" t="s">
        <v>938</v>
      </c>
      <c r="R1169" s="39" t="s">
        <v>957</v>
      </c>
      <c r="S1169" s="39" t="s">
        <v>939</v>
      </c>
      <c r="T1169" s="39" t="s">
        <v>741</v>
      </c>
      <c r="U1169" s="39" t="s">
        <v>938</v>
      </c>
      <c r="X1169" s="39" t="s">
        <v>1815</v>
      </c>
      <c r="Y1169" s="39" t="s">
        <v>1112</v>
      </c>
      <c r="Z1169" s="39" t="s">
        <v>828</v>
      </c>
      <c r="AB1169" s="39">
        <v>0.5</v>
      </c>
    </row>
    <row r="1170">
      <c r="A1170" s="39" t="s">
        <v>1055</v>
      </c>
      <c r="B1170" s="39" t="s">
        <v>1816</v>
      </c>
      <c r="C1170" s="39">
        <v>0.5</v>
      </c>
      <c r="D1170" s="41">
        <v>44126.0</v>
      </c>
      <c r="E1170" s="39" t="s">
        <v>872</v>
      </c>
      <c r="F1170" s="39" t="s">
        <v>724</v>
      </c>
      <c r="G1170" s="39" t="s">
        <v>830</v>
      </c>
      <c r="H1170" s="39">
        <v>1020.0</v>
      </c>
      <c r="N1170" s="39" t="s">
        <v>1051</v>
      </c>
      <c r="R1170" s="39" t="s">
        <v>72</v>
      </c>
      <c r="S1170" s="39" t="s">
        <v>1052</v>
      </c>
      <c r="T1170" s="39" t="s">
        <v>1053</v>
      </c>
      <c r="U1170" s="39" t="s">
        <v>1051</v>
      </c>
      <c r="X1170" s="39" t="s">
        <v>1817</v>
      </c>
      <c r="Z1170" s="39" t="s">
        <v>872</v>
      </c>
      <c r="AB1170" s="39">
        <v>0.5</v>
      </c>
    </row>
    <row r="1171">
      <c r="A1171" s="39" t="s">
        <v>1818</v>
      </c>
      <c r="B1171" s="39" t="s">
        <v>1819</v>
      </c>
      <c r="C1171" s="39">
        <v>0.5</v>
      </c>
      <c r="D1171" s="41">
        <v>44126.0</v>
      </c>
      <c r="E1171" s="39" t="s">
        <v>872</v>
      </c>
      <c r="F1171" s="39" t="s">
        <v>724</v>
      </c>
      <c r="G1171" s="39" t="s">
        <v>830</v>
      </c>
      <c r="H1171" s="39">
        <v>1020.0</v>
      </c>
      <c r="N1171" s="39" t="s">
        <v>1051</v>
      </c>
      <c r="R1171" s="39" t="s">
        <v>832</v>
      </c>
      <c r="S1171" s="39" t="s">
        <v>1052</v>
      </c>
      <c r="T1171" s="39" t="s">
        <v>1053</v>
      </c>
      <c r="U1171" s="39" t="s">
        <v>1051</v>
      </c>
      <c r="X1171" s="39" t="s">
        <v>1820</v>
      </c>
      <c r="Y1171" s="39" t="s">
        <v>1131</v>
      </c>
      <c r="Z1171" s="39" t="s">
        <v>872</v>
      </c>
      <c r="AB1171" s="39">
        <v>0.5</v>
      </c>
    </row>
    <row r="1172">
      <c r="A1172" s="39" t="s">
        <v>1821</v>
      </c>
      <c r="B1172" s="39" t="s">
        <v>1822</v>
      </c>
      <c r="C1172" s="39">
        <v>0.25</v>
      </c>
      <c r="D1172" s="41">
        <v>44126.0</v>
      </c>
      <c r="E1172" s="39" t="s">
        <v>872</v>
      </c>
      <c r="F1172" s="39" t="s">
        <v>724</v>
      </c>
      <c r="G1172" s="39" t="s">
        <v>830</v>
      </c>
      <c r="H1172" s="39">
        <v>1020.0</v>
      </c>
      <c r="N1172" s="39" t="s">
        <v>938</v>
      </c>
      <c r="R1172" s="39" t="s">
        <v>832</v>
      </c>
      <c r="S1172" s="39" t="s">
        <v>889</v>
      </c>
      <c r="T1172" s="39" t="s">
        <v>741</v>
      </c>
      <c r="U1172" s="39" t="s">
        <v>938</v>
      </c>
      <c r="X1172" s="39" t="s">
        <v>1823</v>
      </c>
      <c r="Y1172" s="39" t="s">
        <v>1074</v>
      </c>
      <c r="Z1172" s="39" t="s">
        <v>872</v>
      </c>
      <c r="AB1172" s="39">
        <v>0.25</v>
      </c>
      <c r="AD1172" s="39">
        <v>0.0</v>
      </c>
    </row>
    <row r="1173">
      <c r="A1173" s="39" t="s">
        <v>1514</v>
      </c>
      <c r="B1173" s="39" t="s">
        <v>1659</v>
      </c>
      <c r="C1173" s="39">
        <v>0.5</v>
      </c>
      <c r="D1173" s="41">
        <v>44126.0</v>
      </c>
      <c r="E1173" s="39" t="s">
        <v>872</v>
      </c>
      <c r="F1173" s="39" t="s">
        <v>724</v>
      </c>
      <c r="G1173" s="39" t="s">
        <v>830</v>
      </c>
      <c r="H1173" s="39">
        <v>1020.0</v>
      </c>
      <c r="N1173" s="39" t="s">
        <v>938</v>
      </c>
      <c r="R1173" s="39" t="s">
        <v>72</v>
      </c>
      <c r="S1173" s="39" t="s">
        <v>939</v>
      </c>
      <c r="T1173" s="39" t="s">
        <v>741</v>
      </c>
      <c r="U1173" s="39" t="s">
        <v>938</v>
      </c>
      <c r="X1173" s="39" t="s">
        <v>1660</v>
      </c>
      <c r="Z1173" s="39" t="s">
        <v>872</v>
      </c>
      <c r="AB1173" s="39">
        <v>0.5</v>
      </c>
    </row>
    <row r="1174">
      <c r="A1174" s="39" t="s">
        <v>1824</v>
      </c>
      <c r="B1174" s="39" t="s">
        <v>1825</v>
      </c>
      <c r="C1174" s="39">
        <v>0.5</v>
      </c>
      <c r="D1174" s="41">
        <v>44126.0</v>
      </c>
      <c r="E1174" s="39" t="s">
        <v>872</v>
      </c>
      <c r="F1174" s="39" t="s">
        <v>724</v>
      </c>
      <c r="G1174" s="39" t="s">
        <v>830</v>
      </c>
      <c r="H1174" s="39">
        <v>1020.0</v>
      </c>
      <c r="N1174" s="39" t="s">
        <v>1051</v>
      </c>
      <c r="R1174" s="39" t="s">
        <v>72</v>
      </c>
      <c r="S1174" s="39" t="s">
        <v>889</v>
      </c>
      <c r="T1174" s="39" t="s">
        <v>1053</v>
      </c>
      <c r="U1174" s="39" t="s">
        <v>1051</v>
      </c>
      <c r="X1174" s="39" t="s">
        <v>1826</v>
      </c>
      <c r="Z1174" s="39" t="s">
        <v>872</v>
      </c>
      <c r="AB1174" s="39">
        <v>0.5</v>
      </c>
    </row>
    <row r="1175">
      <c r="A1175" s="39" t="s">
        <v>1827</v>
      </c>
      <c r="B1175" s="39" t="s">
        <v>1828</v>
      </c>
      <c r="C1175" s="39">
        <v>0.5</v>
      </c>
      <c r="D1175" s="41">
        <v>44126.0</v>
      </c>
      <c r="E1175" s="39" t="s">
        <v>872</v>
      </c>
      <c r="F1175" s="39" t="s">
        <v>724</v>
      </c>
      <c r="G1175" s="39" t="s">
        <v>830</v>
      </c>
      <c r="H1175" s="39">
        <v>1020.0</v>
      </c>
      <c r="N1175" s="39" t="s">
        <v>1051</v>
      </c>
      <c r="R1175" s="39" t="s">
        <v>72</v>
      </c>
      <c r="S1175" s="39" t="s">
        <v>889</v>
      </c>
      <c r="T1175" s="39" t="s">
        <v>1053</v>
      </c>
      <c r="U1175" s="39" t="s">
        <v>1051</v>
      </c>
      <c r="X1175" s="39" t="s">
        <v>1829</v>
      </c>
      <c r="Z1175" s="39" t="s">
        <v>872</v>
      </c>
      <c r="AB1175" s="39">
        <v>0.5</v>
      </c>
    </row>
    <row r="1176">
      <c r="A1176" s="39" t="s">
        <v>1791</v>
      </c>
      <c r="B1176" s="39" t="s">
        <v>1792</v>
      </c>
      <c r="C1176" s="39">
        <v>2.0</v>
      </c>
      <c r="D1176" s="41">
        <v>44126.0</v>
      </c>
      <c r="E1176" s="39" t="s">
        <v>1048</v>
      </c>
      <c r="F1176" s="39" t="s">
        <v>1049</v>
      </c>
      <c r="G1176" s="39" t="s">
        <v>1050</v>
      </c>
      <c r="H1176" s="39">
        <v>1020.0</v>
      </c>
      <c r="N1176" s="39" t="s">
        <v>1051</v>
      </c>
      <c r="R1176" s="39" t="s">
        <v>832</v>
      </c>
      <c r="S1176" s="39" t="s">
        <v>1052</v>
      </c>
      <c r="T1176" s="39" t="s">
        <v>1053</v>
      </c>
      <c r="U1176" s="39" t="s">
        <v>1051</v>
      </c>
      <c r="X1176" s="39" t="s">
        <v>1830</v>
      </c>
      <c r="Y1176" s="39" t="s">
        <v>1055</v>
      </c>
      <c r="Z1176" s="39" t="s">
        <v>872</v>
      </c>
      <c r="AB1176" s="39">
        <v>2.0</v>
      </c>
    </row>
    <row r="1177">
      <c r="A1177" s="39" t="s">
        <v>1831</v>
      </c>
      <c r="B1177" s="39" t="s">
        <v>1832</v>
      </c>
      <c r="C1177" s="39">
        <v>7.0</v>
      </c>
      <c r="D1177" s="41">
        <v>44126.0</v>
      </c>
      <c r="E1177" s="39" t="s">
        <v>1059</v>
      </c>
      <c r="F1177" s="39" t="s">
        <v>1060</v>
      </c>
      <c r="G1177" s="39" t="s">
        <v>1050</v>
      </c>
      <c r="H1177" s="39">
        <v>1020.0</v>
      </c>
      <c r="N1177" s="39" t="s">
        <v>1051</v>
      </c>
      <c r="R1177" s="39" t="s">
        <v>832</v>
      </c>
      <c r="S1177" s="39" t="s">
        <v>1052</v>
      </c>
      <c r="T1177" s="39" t="s">
        <v>1053</v>
      </c>
      <c r="U1177" s="39" t="s">
        <v>1051</v>
      </c>
      <c r="X1177" s="39" t="s">
        <v>1833</v>
      </c>
      <c r="Y1177" s="39" t="s">
        <v>1131</v>
      </c>
      <c r="Z1177" s="39" t="s">
        <v>872</v>
      </c>
      <c r="AB1177" s="39">
        <v>7.0</v>
      </c>
    </row>
    <row r="1178">
      <c r="A1178" s="39" t="s">
        <v>1834</v>
      </c>
      <c r="B1178" s="39" t="s">
        <v>1835</v>
      </c>
      <c r="C1178" s="39">
        <v>0.166666666666666</v>
      </c>
      <c r="D1178" s="41">
        <v>44126.42013888889</v>
      </c>
      <c r="E1178" s="39" t="s">
        <v>1153</v>
      </c>
      <c r="F1178" s="39" t="s">
        <v>1154</v>
      </c>
      <c r="G1178" s="39" t="s">
        <v>830</v>
      </c>
      <c r="H1178" s="39">
        <v>1020.0</v>
      </c>
      <c r="N1178" s="39" t="s">
        <v>938</v>
      </c>
      <c r="R1178" s="39" t="s">
        <v>832</v>
      </c>
      <c r="S1178" s="39" t="s">
        <v>889</v>
      </c>
      <c r="T1178" s="39" t="s">
        <v>741</v>
      </c>
      <c r="U1178" s="39" t="s">
        <v>938</v>
      </c>
      <c r="X1178" s="39" t="s">
        <v>1777</v>
      </c>
      <c r="Y1178" s="39" t="s">
        <v>1074</v>
      </c>
      <c r="Z1178" s="39" t="s">
        <v>1153</v>
      </c>
      <c r="AB1178" s="39">
        <v>0.166666666666666</v>
      </c>
    </row>
    <row r="1179">
      <c r="A1179" s="39" t="s">
        <v>1131</v>
      </c>
      <c r="B1179" s="39" t="s">
        <v>1591</v>
      </c>
      <c r="C1179" s="39">
        <v>5.0</v>
      </c>
      <c r="D1179" s="41">
        <v>44127.0</v>
      </c>
      <c r="E1179" s="39" t="s">
        <v>872</v>
      </c>
      <c r="F1179" s="39" t="s">
        <v>724</v>
      </c>
      <c r="G1179" s="39" t="s">
        <v>830</v>
      </c>
      <c r="H1179" s="39">
        <v>1020.0</v>
      </c>
      <c r="N1179" s="39" t="s">
        <v>1051</v>
      </c>
      <c r="R1179" s="39" t="s">
        <v>72</v>
      </c>
      <c r="S1179" s="39" t="s">
        <v>889</v>
      </c>
      <c r="T1179" s="39" t="s">
        <v>1053</v>
      </c>
      <c r="U1179" s="39" t="s">
        <v>1051</v>
      </c>
      <c r="X1179" s="39" t="s">
        <v>1724</v>
      </c>
      <c r="Z1179" s="39" t="s">
        <v>872</v>
      </c>
      <c r="AB1179" s="39">
        <v>5.0</v>
      </c>
      <c r="AD1179" s="39">
        <v>0.0</v>
      </c>
    </row>
    <row r="1180">
      <c r="A1180" s="39" t="s">
        <v>1791</v>
      </c>
      <c r="B1180" s="39" t="s">
        <v>1792</v>
      </c>
      <c r="C1180" s="39">
        <v>7.0</v>
      </c>
      <c r="D1180" s="41">
        <v>44127.0</v>
      </c>
      <c r="E1180" s="39" t="s">
        <v>1048</v>
      </c>
      <c r="F1180" s="39" t="s">
        <v>1049</v>
      </c>
      <c r="G1180" s="39" t="s">
        <v>1050</v>
      </c>
      <c r="H1180" s="39">
        <v>1020.0</v>
      </c>
      <c r="N1180" s="39" t="s">
        <v>1051</v>
      </c>
      <c r="R1180" s="39" t="s">
        <v>832</v>
      </c>
      <c r="S1180" s="39" t="s">
        <v>1052</v>
      </c>
      <c r="T1180" s="39" t="s">
        <v>1053</v>
      </c>
      <c r="U1180" s="39" t="s">
        <v>1051</v>
      </c>
      <c r="X1180" s="39" t="s">
        <v>1836</v>
      </c>
      <c r="Y1180" s="39" t="s">
        <v>1055</v>
      </c>
      <c r="Z1180" s="39" t="s">
        <v>872</v>
      </c>
      <c r="AB1180" s="39">
        <v>7.0</v>
      </c>
    </row>
    <row r="1181">
      <c r="A1181" s="39" t="s">
        <v>1631</v>
      </c>
      <c r="B1181" s="39" t="s">
        <v>1632</v>
      </c>
      <c r="C1181" s="39">
        <v>7.0</v>
      </c>
      <c r="D1181" s="41">
        <v>44127.0</v>
      </c>
      <c r="E1181" s="39" t="s">
        <v>1059</v>
      </c>
      <c r="F1181" s="39" t="s">
        <v>1060</v>
      </c>
      <c r="G1181" s="39" t="s">
        <v>1050</v>
      </c>
      <c r="H1181" s="39">
        <v>1020.0</v>
      </c>
      <c r="N1181" s="39" t="s">
        <v>1051</v>
      </c>
      <c r="R1181" s="39" t="s">
        <v>957</v>
      </c>
      <c r="S1181" s="39" t="s">
        <v>1052</v>
      </c>
      <c r="T1181" s="39" t="s">
        <v>1053</v>
      </c>
      <c r="U1181" s="39" t="s">
        <v>1051</v>
      </c>
      <c r="X1181" s="39" t="s">
        <v>1837</v>
      </c>
      <c r="Y1181" s="39" t="s">
        <v>1596</v>
      </c>
      <c r="Z1181" s="39" t="s">
        <v>872</v>
      </c>
      <c r="AB1181" s="39">
        <v>7.0</v>
      </c>
    </row>
    <row r="1182">
      <c r="A1182" s="39" t="s">
        <v>1115</v>
      </c>
      <c r="B1182" s="39" t="s">
        <v>1122</v>
      </c>
      <c r="C1182" s="39">
        <v>0.25</v>
      </c>
      <c r="D1182" s="41">
        <v>44130.0</v>
      </c>
      <c r="E1182" s="39" t="s">
        <v>872</v>
      </c>
      <c r="F1182" s="39" t="s">
        <v>724</v>
      </c>
      <c r="G1182" s="39" t="s">
        <v>830</v>
      </c>
      <c r="H1182" s="39">
        <v>1020.0</v>
      </c>
      <c r="N1182" s="39" t="s">
        <v>938</v>
      </c>
      <c r="R1182" s="39" t="s">
        <v>72</v>
      </c>
      <c r="S1182" s="39" t="s">
        <v>842</v>
      </c>
      <c r="T1182" s="39" t="s">
        <v>741</v>
      </c>
      <c r="U1182" s="39" t="s">
        <v>938</v>
      </c>
      <c r="X1182" s="39" t="s">
        <v>1123</v>
      </c>
      <c r="Z1182" s="39" t="s">
        <v>872</v>
      </c>
      <c r="AB1182" s="39">
        <v>0.25</v>
      </c>
    </row>
    <row r="1183">
      <c r="A1183" s="39" t="s">
        <v>1131</v>
      </c>
      <c r="B1183" s="39" t="s">
        <v>1591</v>
      </c>
      <c r="C1183" s="39">
        <v>2.0</v>
      </c>
      <c r="D1183" s="41">
        <v>44130.0</v>
      </c>
      <c r="E1183" s="39" t="s">
        <v>872</v>
      </c>
      <c r="F1183" s="39" t="s">
        <v>724</v>
      </c>
      <c r="G1183" s="39" t="s">
        <v>830</v>
      </c>
      <c r="H1183" s="39">
        <v>1020.0</v>
      </c>
      <c r="N1183" s="39" t="s">
        <v>1051</v>
      </c>
      <c r="R1183" s="39" t="s">
        <v>72</v>
      </c>
      <c r="S1183" s="39" t="s">
        <v>889</v>
      </c>
      <c r="T1183" s="39" t="s">
        <v>1053</v>
      </c>
      <c r="U1183" s="39" t="s">
        <v>1051</v>
      </c>
      <c r="X1183" s="39" t="s">
        <v>1724</v>
      </c>
      <c r="Z1183" s="39" t="s">
        <v>872</v>
      </c>
      <c r="AB1183" s="39">
        <v>2.0</v>
      </c>
      <c r="AD1183" s="39">
        <v>0.0</v>
      </c>
    </row>
    <row r="1184">
      <c r="A1184" s="39" t="s">
        <v>1838</v>
      </c>
      <c r="B1184" s="39" t="s">
        <v>1839</v>
      </c>
      <c r="C1184" s="39">
        <v>0.5</v>
      </c>
      <c r="D1184" s="41">
        <v>44130.0</v>
      </c>
      <c r="E1184" s="39" t="s">
        <v>872</v>
      </c>
      <c r="F1184" s="39" t="s">
        <v>724</v>
      </c>
      <c r="G1184" s="39" t="s">
        <v>830</v>
      </c>
      <c r="H1184" s="39">
        <v>1020.0</v>
      </c>
      <c r="N1184" s="39" t="s">
        <v>1051</v>
      </c>
      <c r="R1184" s="39" t="s">
        <v>832</v>
      </c>
      <c r="S1184" s="39" t="s">
        <v>1052</v>
      </c>
      <c r="T1184" s="39" t="s">
        <v>1053</v>
      </c>
      <c r="U1184" s="39" t="s">
        <v>1051</v>
      </c>
      <c r="X1184" s="39" t="s">
        <v>1840</v>
      </c>
      <c r="Y1184" s="39" t="s">
        <v>1131</v>
      </c>
      <c r="Z1184" s="39" t="s">
        <v>872</v>
      </c>
      <c r="AB1184" s="39">
        <v>0.5</v>
      </c>
    </row>
    <row r="1185">
      <c r="A1185" s="39" t="s">
        <v>1827</v>
      </c>
      <c r="B1185" s="39" t="s">
        <v>1828</v>
      </c>
      <c r="C1185" s="39">
        <v>0.75</v>
      </c>
      <c r="D1185" s="41">
        <v>44130.0</v>
      </c>
      <c r="E1185" s="39" t="s">
        <v>872</v>
      </c>
      <c r="F1185" s="39" t="s">
        <v>724</v>
      </c>
      <c r="G1185" s="39" t="s">
        <v>830</v>
      </c>
      <c r="H1185" s="39">
        <v>1020.0</v>
      </c>
      <c r="N1185" s="39" t="s">
        <v>1051</v>
      </c>
      <c r="R1185" s="39" t="s">
        <v>72</v>
      </c>
      <c r="S1185" s="39" t="s">
        <v>889</v>
      </c>
      <c r="T1185" s="39" t="s">
        <v>1053</v>
      </c>
      <c r="U1185" s="39" t="s">
        <v>1051</v>
      </c>
      <c r="X1185" s="39" t="s">
        <v>1829</v>
      </c>
      <c r="Z1185" s="39" t="s">
        <v>872</v>
      </c>
      <c r="AB1185" s="39">
        <v>0.75</v>
      </c>
    </row>
    <row r="1186">
      <c r="A1186" s="39" t="s">
        <v>1131</v>
      </c>
      <c r="B1186" s="39" t="s">
        <v>1591</v>
      </c>
      <c r="C1186" s="39">
        <v>3.0</v>
      </c>
      <c r="D1186" s="41">
        <v>44130.0</v>
      </c>
      <c r="E1186" s="39" t="s">
        <v>872</v>
      </c>
      <c r="F1186" s="39" t="s">
        <v>724</v>
      </c>
      <c r="G1186" s="39" t="s">
        <v>830</v>
      </c>
      <c r="H1186" s="39">
        <v>1020.0</v>
      </c>
      <c r="N1186" s="39" t="s">
        <v>1051</v>
      </c>
      <c r="R1186" s="39" t="s">
        <v>72</v>
      </c>
      <c r="S1186" s="39" t="s">
        <v>889</v>
      </c>
      <c r="T1186" s="39" t="s">
        <v>1053</v>
      </c>
      <c r="U1186" s="39" t="s">
        <v>1051</v>
      </c>
      <c r="X1186" s="39" t="s">
        <v>1724</v>
      </c>
      <c r="Z1186" s="39" t="s">
        <v>872</v>
      </c>
      <c r="AB1186" s="39">
        <v>3.0</v>
      </c>
      <c r="AD1186" s="39">
        <v>0.0</v>
      </c>
    </row>
    <row r="1187">
      <c r="A1187" s="39" t="s">
        <v>1791</v>
      </c>
      <c r="B1187" s="39" t="s">
        <v>1792</v>
      </c>
      <c r="C1187" s="39">
        <v>3.0</v>
      </c>
      <c r="D1187" s="41">
        <v>44130.0</v>
      </c>
      <c r="E1187" s="39" t="s">
        <v>1048</v>
      </c>
      <c r="F1187" s="39" t="s">
        <v>1049</v>
      </c>
      <c r="G1187" s="39" t="s">
        <v>1050</v>
      </c>
      <c r="H1187" s="39">
        <v>1020.0</v>
      </c>
      <c r="N1187" s="39" t="s">
        <v>1051</v>
      </c>
      <c r="R1187" s="39" t="s">
        <v>832</v>
      </c>
      <c r="S1187" s="39" t="s">
        <v>1052</v>
      </c>
      <c r="T1187" s="39" t="s">
        <v>1053</v>
      </c>
      <c r="U1187" s="39" t="s">
        <v>1051</v>
      </c>
      <c r="X1187" s="39" t="s">
        <v>1841</v>
      </c>
      <c r="Y1187" s="39" t="s">
        <v>1055</v>
      </c>
      <c r="Z1187" s="39" t="s">
        <v>872</v>
      </c>
      <c r="AB1187" s="39">
        <v>3.0</v>
      </c>
    </row>
    <row r="1188">
      <c r="A1188" s="39" t="s">
        <v>1791</v>
      </c>
      <c r="B1188" s="39" t="s">
        <v>1792</v>
      </c>
      <c r="C1188" s="39">
        <v>4.0</v>
      </c>
      <c r="D1188" s="41">
        <v>44130.0</v>
      </c>
      <c r="E1188" s="39" t="s">
        <v>1048</v>
      </c>
      <c r="F1188" s="39" t="s">
        <v>1049</v>
      </c>
      <c r="G1188" s="39" t="s">
        <v>1050</v>
      </c>
      <c r="H1188" s="39">
        <v>1020.0</v>
      </c>
      <c r="N1188" s="39" t="s">
        <v>1051</v>
      </c>
      <c r="R1188" s="39" t="s">
        <v>832</v>
      </c>
      <c r="S1188" s="39" t="s">
        <v>1052</v>
      </c>
      <c r="T1188" s="39" t="s">
        <v>1053</v>
      </c>
      <c r="U1188" s="39" t="s">
        <v>1051</v>
      </c>
      <c r="X1188" s="39" t="s">
        <v>1842</v>
      </c>
      <c r="Y1188" s="39" t="s">
        <v>1055</v>
      </c>
      <c r="Z1188" s="39" t="s">
        <v>872</v>
      </c>
      <c r="AB1188" s="39">
        <v>4.0</v>
      </c>
    </row>
    <row r="1189">
      <c r="A1189" s="39" t="s">
        <v>1766</v>
      </c>
      <c r="B1189" s="39" t="s">
        <v>1767</v>
      </c>
      <c r="C1189" s="39">
        <v>7.0</v>
      </c>
      <c r="D1189" s="41">
        <v>44130.0</v>
      </c>
      <c r="E1189" s="39" t="s">
        <v>1059</v>
      </c>
      <c r="F1189" s="39" t="s">
        <v>1060</v>
      </c>
      <c r="G1189" s="39" t="s">
        <v>1050</v>
      </c>
      <c r="H1189" s="39">
        <v>1020.0</v>
      </c>
      <c r="N1189" s="39" t="s">
        <v>1051</v>
      </c>
      <c r="R1189" s="39" t="s">
        <v>832</v>
      </c>
      <c r="S1189" s="39" t="s">
        <v>1052</v>
      </c>
      <c r="T1189" s="39" t="s">
        <v>1053</v>
      </c>
      <c r="U1189" s="39" t="s">
        <v>1051</v>
      </c>
      <c r="X1189" s="39" t="s">
        <v>1843</v>
      </c>
      <c r="Y1189" s="39" t="s">
        <v>1131</v>
      </c>
      <c r="Z1189" s="39" t="s">
        <v>872</v>
      </c>
      <c r="AB1189" s="39">
        <v>7.0</v>
      </c>
    </row>
    <row r="1190">
      <c r="A1190" s="39" t="s">
        <v>1080</v>
      </c>
      <c r="B1190" s="39" t="s">
        <v>1081</v>
      </c>
      <c r="C1190" s="39">
        <v>2.25</v>
      </c>
      <c r="D1190" s="41">
        <v>44130.645833333336</v>
      </c>
      <c r="E1190" s="39" t="s">
        <v>1153</v>
      </c>
      <c r="F1190" s="39" t="s">
        <v>1154</v>
      </c>
      <c r="G1190" s="39" t="s">
        <v>830</v>
      </c>
      <c r="H1190" s="39">
        <v>1020.0</v>
      </c>
      <c r="N1190" s="39" t="s">
        <v>938</v>
      </c>
      <c r="R1190" s="39" t="s">
        <v>957</v>
      </c>
      <c r="S1190" s="39" t="s">
        <v>889</v>
      </c>
      <c r="T1190" s="39" t="s">
        <v>741</v>
      </c>
      <c r="U1190" s="39" t="s">
        <v>938</v>
      </c>
      <c r="X1190" s="39" t="s">
        <v>1082</v>
      </c>
      <c r="Y1190" s="39" t="s">
        <v>1042</v>
      </c>
      <c r="Z1190" s="39" t="s">
        <v>828</v>
      </c>
      <c r="AB1190" s="39">
        <v>2.25</v>
      </c>
    </row>
    <row r="1191">
      <c r="A1191" s="39" t="s">
        <v>1131</v>
      </c>
      <c r="B1191" s="39" t="s">
        <v>1591</v>
      </c>
      <c r="C1191" s="39">
        <v>6.5</v>
      </c>
      <c r="D1191" s="41">
        <v>44131.0</v>
      </c>
      <c r="E1191" s="39" t="s">
        <v>872</v>
      </c>
      <c r="F1191" s="39" t="s">
        <v>724</v>
      </c>
      <c r="G1191" s="39" t="s">
        <v>830</v>
      </c>
      <c r="H1191" s="39">
        <v>1020.0</v>
      </c>
      <c r="N1191" s="39" t="s">
        <v>1051</v>
      </c>
      <c r="R1191" s="39" t="s">
        <v>72</v>
      </c>
      <c r="S1191" s="39" t="s">
        <v>889</v>
      </c>
      <c r="T1191" s="39" t="s">
        <v>1053</v>
      </c>
      <c r="U1191" s="39" t="s">
        <v>1051</v>
      </c>
      <c r="X1191" s="39" t="s">
        <v>1724</v>
      </c>
      <c r="Z1191" s="39" t="s">
        <v>872</v>
      </c>
      <c r="AB1191" s="39">
        <v>6.5</v>
      </c>
      <c r="AD1191" s="39">
        <v>0.0</v>
      </c>
    </row>
    <row r="1192">
      <c r="A1192" s="39" t="s">
        <v>1827</v>
      </c>
      <c r="B1192" s="39" t="s">
        <v>1828</v>
      </c>
      <c r="C1192" s="39">
        <v>1.5</v>
      </c>
      <c r="D1192" s="41">
        <v>44131.0</v>
      </c>
      <c r="E1192" s="39" t="s">
        <v>872</v>
      </c>
      <c r="F1192" s="39" t="s">
        <v>724</v>
      </c>
      <c r="G1192" s="39" t="s">
        <v>830</v>
      </c>
      <c r="H1192" s="39">
        <v>1020.0</v>
      </c>
      <c r="N1192" s="39" t="s">
        <v>1051</v>
      </c>
      <c r="R1192" s="39" t="s">
        <v>72</v>
      </c>
      <c r="S1192" s="39" t="s">
        <v>889</v>
      </c>
      <c r="T1192" s="39" t="s">
        <v>1053</v>
      </c>
      <c r="U1192" s="39" t="s">
        <v>1051</v>
      </c>
      <c r="X1192" s="39" t="s">
        <v>1829</v>
      </c>
      <c r="Z1192" s="39" t="s">
        <v>872</v>
      </c>
      <c r="AB1192" s="39">
        <v>1.5</v>
      </c>
    </row>
    <row r="1193">
      <c r="A1193" s="39" t="s">
        <v>1603</v>
      </c>
      <c r="B1193" s="39" t="s">
        <v>1604</v>
      </c>
      <c r="C1193" s="39">
        <v>3.0</v>
      </c>
      <c r="D1193" s="41">
        <v>44131.0</v>
      </c>
      <c r="E1193" s="39" t="s">
        <v>1048</v>
      </c>
      <c r="F1193" s="39" t="s">
        <v>1049</v>
      </c>
      <c r="G1193" s="39" t="s">
        <v>1050</v>
      </c>
      <c r="H1193" s="39">
        <v>1020.0</v>
      </c>
      <c r="N1193" s="39" t="s">
        <v>1051</v>
      </c>
      <c r="R1193" s="39" t="s">
        <v>832</v>
      </c>
      <c r="S1193" s="39" t="s">
        <v>889</v>
      </c>
      <c r="T1193" s="39" t="s">
        <v>1053</v>
      </c>
      <c r="U1193" s="39" t="s">
        <v>1051</v>
      </c>
      <c r="X1193" s="39" t="s">
        <v>1844</v>
      </c>
      <c r="Y1193" s="39" t="s">
        <v>1256</v>
      </c>
      <c r="Z1193" s="39" t="s">
        <v>872</v>
      </c>
      <c r="AB1193" s="39">
        <v>3.0</v>
      </c>
    </row>
    <row r="1194">
      <c r="A1194" s="39" t="s">
        <v>1845</v>
      </c>
      <c r="B1194" s="39" t="s">
        <v>1846</v>
      </c>
      <c r="C1194" s="39">
        <v>4.0</v>
      </c>
      <c r="D1194" s="41">
        <v>44131.0</v>
      </c>
      <c r="E1194" s="39" t="s">
        <v>1048</v>
      </c>
      <c r="F1194" s="39" t="s">
        <v>1049</v>
      </c>
      <c r="G1194" s="39" t="s">
        <v>1050</v>
      </c>
      <c r="H1194" s="39">
        <v>1020.0</v>
      </c>
      <c r="N1194" s="39" t="s">
        <v>1051</v>
      </c>
      <c r="R1194" s="39" t="s">
        <v>957</v>
      </c>
      <c r="S1194" s="39" t="s">
        <v>1274</v>
      </c>
      <c r="T1194" s="39" t="s">
        <v>1053</v>
      </c>
      <c r="U1194" s="39" t="s">
        <v>1051</v>
      </c>
      <c r="X1194" s="39" t="s">
        <v>1847</v>
      </c>
      <c r="Y1194" s="39" t="s">
        <v>1848</v>
      </c>
      <c r="Z1194" s="39" t="s">
        <v>872</v>
      </c>
      <c r="AB1194" s="39">
        <v>4.0</v>
      </c>
    </row>
    <row r="1195">
      <c r="A1195" s="39" t="s">
        <v>1849</v>
      </c>
      <c r="B1195" s="39" t="s">
        <v>1850</v>
      </c>
      <c r="C1195" s="39">
        <v>7.0</v>
      </c>
      <c r="D1195" s="41">
        <v>44131.0</v>
      </c>
      <c r="E1195" s="39" t="s">
        <v>1059</v>
      </c>
      <c r="F1195" s="39" t="s">
        <v>1060</v>
      </c>
      <c r="G1195" s="39" t="s">
        <v>1050</v>
      </c>
      <c r="H1195" s="39">
        <v>1020.0</v>
      </c>
      <c r="N1195" s="39" t="s">
        <v>1051</v>
      </c>
      <c r="R1195" s="39" t="s">
        <v>832</v>
      </c>
      <c r="S1195" s="39" t="s">
        <v>1052</v>
      </c>
      <c r="T1195" s="39" t="s">
        <v>1053</v>
      </c>
      <c r="U1195" s="39" t="s">
        <v>1051</v>
      </c>
      <c r="X1195" s="39" t="s">
        <v>1851</v>
      </c>
      <c r="Y1195" s="39" t="s">
        <v>1131</v>
      </c>
      <c r="Z1195" s="39" t="s">
        <v>872</v>
      </c>
      <c r="AB1195" s="39">
        <v>7.0</v>
      </c>
    </row>
    <row r="1196">
      <c r="A1196" s="39" t="s">
        <v>1080</v>
      </c>
      <c r="B1196" s="39" t="s">
        <v>1081</v>
      </c>
      <c r="C1196" s="39">
        <v>0.25</v>
      </c>
      <c r="D1196" s="41">
        <v>44131.375</v>
      </c>
      <c r="E1196" s="39" t="s">
        <v>828</v>
      </c>
      <c r="F1196" s="39" t="s">
        <v>829</v>
      </c>
      <c r="G1196" s="39" t="s">
        <v>830</v>
      </c>
      <c r="H1196" s="39">
        <v>1020.0</v>
      </c>
      <c r="N1196" s="39" t="s">
        <v>938</v>
      </c>
      <c r="R1196" s="39" t="s">
        <v>957</v>
      </c>
      <c r="S1196" s="39" t="s">
        <v>889</v>
      </c>
      <c r="T1196" s="39" t="s">
        <v>741</v>
      </c>
      <c r="U1196" s="39" t="s">
        <v>938</v>
      </c>
      <c r="X1196" s="39" t="s">
        <v>1852</v>
      </c>
      <c r="Y1196" s="39" t="s">
        <v>1042</v>
      </c>
      <c r="Z1196" s="39" t="s">
        <v>828</v>
      </c>
      <c r="AB1196" s="39">
        <v>0.25</v>
      </c>
    </row>
    <row r="1197">
      <c r="A1197" s="39" t="s">
        <v>1783</v>
      </c>
      <c r="B1197" s="39" t="s">
        <v>1784</v>
      </c>
      <c r="C1197" s="39">
        <v>1.0</v>
      </c>
      <c r="D1197" s="41">
        <v>44131.4375</v>
      </c>
      <c r="E1197" s="39" t="s">
        <v>828</v>
      </c>
      <c r="F1197" s="39" t="s">
        <v>829</v>
      </c>
      <c r="G1197" s="39" t="s">
        <v>830</v>
      </c>
      <c r="H1197" s="39">
        <v>1020.0</v>
      </c>
      <c r="N1197" s="39" t="s">
        <v>938</v>
      </c>
      <c r="R1197" s="39" t="s">
        <v>957</v>
      </c>
      <c r="S1197" s="39" t="s">
        <v>939</v>
      </c>
      <c r="T1197" s="39" t="s">
        <v>741</v>
      </c>
      <c r="U1197" s="39" t="s">
        <v>938</v>
      </c>
      <c r="X1197" s="39" t="s">
        <v>1785</v>
      </c>
      <c r="Y1197" s="39" t="s">
        <v>1112</v>
      </c>
      <c r="Z1197" s="39" t="s">
        <v>828</v>
      </c>
      <c r="AB1197" s="39">
        <v>1.0</v>
      </c>
    </row>
    <row r="1198">
      <c r="A1198" s="39" t="s">
        <v>1783</v>
      </c>
      <c r="B1198" s="39" t="s">
        <v>1784</v>
      </c>
      <c r="C1198" s="39">
        <v>0.25</v>
      </c>
      <c r="D1198" s="41">
        <v>44131.697916666664</v>
      </c>
      <c r="E1198" s="39" t="s">
        <v>828</v>
      </c>
      <c r="F1198" s="39" t="s">
        <v>829</v>
      </c>
      <c r="G1198" s="39" t="s">
        <v>830</v>
      </c>
      <c r="H1198" s="39">
        <v>1020.0</v>
      </c>
      <c r="N1198" s="39" t="s">
        <v>938</v>
      </c>
      <c r="R1198" s="39" t="s">
        <v>957</v>
      </c>
      <c r="S1198" s="39" t="s">
        <v>939</v>
      </c>
      <c r="T1198" s="39" t="s">
        <v>741</v>
      </c>
      <c r="U1198" s="39" t="s">
        <v>938</v>
      </c>
      <c r="X1198" s="39" t="s">
        <v>1785</v>
      </c>
      <c r="Y1198" s="39" t="s">
        <v>1112</v>
      </c>
      <c r="Z1198" s="39" t="s">
        <v>828</v>
      </c>
      <c r="AB1198" s="39">
        <v>0.25</v>
      </c>
    </row>
    <row r="1199">
      <c r="A1199" s="39" t="s">
        <v>1791</v>
      </c>
      <c r="B1199" s="39" t="s">
        <v>1792</v>
      </c>
      <c r="C1199" s="39">
        <v>0.25</v>
      </c>
      <c r="D1199" s="41">
        <v>44132.0</v>
      </c>
      <c r="E1199" s="39" t="s">
        <v>872</v>
      </c>
      <c r="F1199" s="39" t="s">
        <v>724</v>
      </c>
      <c r="G1199" s="39" t="s">
        <v>830</v>
      </c>
      <c r="H1199" s="39">
        <v>1020.0</v>
      </c>
      <c r="N1199" s="39" t="s">
        <v>1051</v>
      </c>
      <c r="R1199" s="39" t="s">
        <v>832</v>
      </c>
      <c r="S1199" s="39" t="s">
        <v>1052</v>
      </c>
      <c r="T1199" s="39" t="s">
        <v>1053</v>
      </c>
      <c r="U1199" s="39" t="s">
        <v>1051</v>
      </c>
      <c r="X1199" s="39" t="s">
        <v>1793</v>
      </c>
      <c r="Y1199" s="39" t="s">
        <v>1055</v>
      </c>
      <c r="Z1199" s="39" t="s">
        <v>872</v>
      </c>
      <c r="AB1199" s="39">
        <v>0.25</v>
      </c>
    </row>
    <row r="1200">
      <c r="A1200" s="39" t="s">
        <v>1380</v>
      </c>
      <c r="B1200" s="39" t="s">
        <v>1381</v>
      </c>
      <c r="C1200" s="39">
        <v>0.5</v>
      </c>
      <c r="D1200" s="41">
        <v>44132.0</v>
      </c>
      <c r="E1200" s="39" t="s">
        <v>872</v>
      </c>
      <c r="F1200" s="39" t="s">
        <v>724</v>
      </c>
      <c r="G1200" s="39" t="s">
        <v>830</v>
      </c>
      <c r="H1200" s="39">
        <v>1020.0</v>
      </c>
      <c r="N1200" s="39" t="s">
        <v>1051</v>
      </c>
      <c r="R1200" s="39" t="s">
        <v>832</v>
      </c>
      <c r="S1200" s="39" t="s">
        <v>889</v>
      </c>
      <c r="T1200" s="39" t="s">
        <v>1053</v>
      </c>
      <c r="U1200" s="39" t="s">
        <v>1051</v>
      </c>
      <c r="X1200" s="39" t="s">
        <v>1853</v>
      </c>
      <c r="Y1200" s="39" t="s">
        <v>1131</v>
      </c>
      <c r="Z1200" s="39" t="s">
        <v>872</v>
      </c>
      <c r="AB1200" s="39">
        <v>0.5</v>
      </c>
    </row>
    <row r="1201">
      <c r="A1201" s="39" t="s">
        <v>1854</v>
      </c>
      <c r="B1201" s="39" t="s">
        <v>1855</v>
      </c>
      <c r="C1201" s="39">
        <v>0.25</v>
      </c>
      <c r="D1201" s="41">
        <v>44132.0</v>
      </c>
      <c r="E1201" s="39" t="s">
        <v>872</v>
      </c>
      <c r="F1201" s="39" t="s">
        <v>724</v>
      </c>
      <c r="G1201" s="39" t="s">
        <v>830</v>
      </c>
      <c r="H1201" s="39">
        <v>1020.0</v>
      </c>
      <c r="N1201" s="39" t="s">
        <v>1051</v>
      </c>
      <c r="R1201" s="39" t="s">
        <v>957</v>
      </c>
      <c r="S1201" s="39" t="s">
        <v>1052</v>
      </c>
      <c r="T1201" s="39" t="s">
        <v>1053</v>
      </c>
      <c r="U1201" s="39" t="s">
        <v>1051</v>
      </c>
      <c r="X1201" s="39" t="s">
        <v>1856</v>
      </c>
      <c r="Y1201" s="39" t="s">
        <v>1380</v>
      </c>
      <c r="Z1201" s="39" t="s">
        <v>872</v>
      </c>
      <c r="AB1201" s="39">
        <v>0.25</v>
      </c>
    </row>
    <row r="1202">
      <c r="A1202" s="39" t="s">
        <v>1845</v>
      </c>
      <c r="B1202" s="39" t="s">
        <v>1846</v>
      </c>
      <c r="C1202" s="39">
        <v>0.5</v>
      </c>
      <c r="D1202" s="41">
        <v>44132.0</v>
      </c>
      <c r="E1202" s="39" t="s">
        <v>872</v>
      </c>
      <c r="F1202" s="39" t="s">
        <v>724</v>
      </c>
      <c r="G1202" s="39" t="s">
        <v>830</v>
      </c>
      <c r="H1202" s="39">
        <v>1020.0</v>
      </c>
      <c r="N1202" s="39" t="s">
        <v>1051</v>
      </c>
      <c r="R1202" s="39" t="s">
        <v>957</v>
      </c>
      <c r="S1202" s="39" t="s">
        <v>1274</v>
      </c>
      <c r="T1202" s="39" t="s">
        <v>1053</v>
      </c>
      <c r="U1202" s="39" t="s">
        <v>1051</v>
      </c>
      <c r="X1202" s="39" t="s">
        <v>1857</v>
      </c>
      <c r="Y1202" s="39" t="s">
        <v>1848</v>
      </c>
      <c r="Z1202" s="39" t="s">
        <v>872</v>
      </c>
      <c r="AB1202" s="39">
        <v>0.5</v>
      </c>
    </row>
    <row r="1203">
      <c r="A1203" s="39" t="s">
        <v>1838</v>
      </c>
      <c r="B1203" s="39" t="s">
        <v>1839</v>
      </c>
      <c r="C1203" s="39">
        <v>2.0</v>
      </c>
      <c r="D1203" s="41">
        <v>44132.0</v>
      </c>
      <c r="E1203" s="39" t="s">
        <v>872</v>
      </c>
      <c r="F1203" s="39" t="s">
        <v>724</v>
      </c>
      <c r="G1203" s="39" t="s">
        <v>830</v>
      </c>
      <c r="H1203" s="39">
        <v>1020.0</v>
      </c>
      <c r="N1203" s="39" t="s">
        <v>1051</v>
      </c>
      <c r="R1203" s="39" t="s">
        <v>832</v>
      </c>
      <c r="S1203" s="39" t="s">
        <v>1052</v>
      </c>
      <c r="T1203" s="39" t="s">
        <v>1053</v>
      </c>
      <c r="U1203" s="39" t="s">
        <v>1051</v>
      </c>
      <c r="X1203" s="39" t="s">
        <v>1840</v>
      </c>
      <c r="Y1203" s="39" t="s">
        <v>1131</v>
      </c>
      <c r="Z1203" s="39" t="s">
        <v>872</v>
      </c>
      <c r="AB1203" s="39">
        <v>2.0</v>
      </c>
    </row>
    <row r="1204">
      <c r="A1204" s="39" t="s">
        <v>1858</v>
      </c>
      <c r="B1204" s="39" t="s">
        <v>1859</v>
      </c>
      <c r="C1204" s="39">
        <v>0.5</v>
      </c>
      <c r="D1204" s="41">
        <v>44132.0</v>
      </c>
      <c r="E1204" s="39" t="s">
        <v>872</v>
      </c>
      <c r="F1204" s="39" t="s">
        <v>724</v>
      </c>
      <c r="G1204" s="39" t="s">
        <v>830</v>
      </c>
      <c r="H1204" s="39">
        <v>1020.0</v>
      </c>
      <c r="N1204" s="39" t="s">
        <v>1051</v>
      </c>
      <c r="R1204" s="39" t="s">
        <v>957</v>
      </c>
      <c r="S1204" s="39" t="s">
        <v>1052</v>
      </c>
      <c r="T1204" s="39" t="s">
        <v>1053</v>
      </c>
      <c r="U1204" s="39" t="s">
        <v>1051</v>
      </c>
      <c r="X1204" s="39" t="s">
        <v>1860</v>
      </c>
      <c r="Y1204" s="39" t="s">
        <v>1380</v>
      </c>
      <c r="Z1204" s="39" t="s">
        <v>1059</v>
      </c>
      <c r="AB1204" s="39">
        <v>0.5</v>
      </c>
    </row>
    <row r="1205">
      <c r="A1205" s="39" t="s">
        <v>1188</v>
      </c>
      <c r="B1205" s="39" t="s">
        <v>1794</v>
      </c>
      <c r="C1205" s="39">
        <v>0.5</v>
      </c>
      <c r="D1205" s="41">
        <v>44132.0</v>
      </c>
      <c r="E1205" s="39" t="s">
        <v>872</v>
      </c>
      <c r="F1205" s="39" t="s">
        <v>724</v>
      </c>
      <c r="G1205" s="39" t="s">
        <v>830</v>
      </c>
      <c r="H1205" s="39">
        <v>1020.0</v>
      </c>
      <c r="N1205" s="39" t="s">
        <v>1185</v>
      </c>
      <c r="R1205" s="39" t="s">
        <v>72</v>
      </c>
      <c r="S1205" s="39" t="s">
        <v>889</v>
      </c>
      <c r="T1205" s="39" t="s">
        <v>1186</v>
      </c>
      <c r="U1205" s="39" t="s">
        <v>1185</v>
      </c>
      <c r="X1205" s="39" t="s">
        <v>1795</v>
      </c>
      <c r="Z1205" s="39" t="s">
        <v>872</v>
      </c>
      <c r="AB1205" s="39">
        <v>0.5</v>
      </c>
    </row>
    <row r="1206">
      <c r="A1206" s="39" t="s">
        <v>1838</v>
      </c>
      <c r="B1206" s="39" t="s">
        <v>1839</v>
      </c>
      <c r="C1206" s="39">
        <v>0.5</v>
      </c>
      <c r="D1206" s="41">
        <v>44132.0</v>
      </c>
      <c r="E1206" s="39" t="s">
        <v>872</v>
      </c>
      <c r="F1206" s="39" t="s">
        <v>724</v>
      </c>
      <c r="G1206" s="39" t="s">
        <v>830</v>
      </c>
      <c r="H1206" s="39">
        <v>1020.0</v>
      </c>
      <c r="N1206" s="39" t="s">
        <v>1051</v>
      </c>
      <c r="R1206" s="39" t="s">
        <v>832</v>
      </c>
      <c r="S1206" s="39" t="s">
        <v>1052</v>
      </c>
      <c r="T1206" s="39" t="s">
        <v>1053</v>
      </c>
      <c r="U1206" s="39" t="s">
        <v>1051</v>
      </c>
      <c r="X1206" s="39" t="s">
        <v>1840</v>
      </c>
      <c r="Y1206" s="39" t="s">
        <v>1131</v>
      </c>
      <c r="Z1206" s="39" t="s">
        <v>872</v>
      </c>
      <c r="AB1206" s="39">
        <v>0.5</v>
      </c>
    </row>
    <row r="1207">
      <c r="A1207" s="39" t="s">
        <v>1849</v>
      </c>
      <c r="B1207" s="39" t="s">
        <v>1850</v>
      </c>
      <c r="C1207" s="39">
        <v>0.5</v>
      </c>
      <c r="D1207" s="41">
        <v>44132.0</v>
      </c>
      <c r="E1207" s="39" t="s">
        <v>872</v>
      </c>
      <c r="F1207" s="39" t="s">
        <v>724</v>
      </c>
      <c r="G1207" s="39" t="s">
        <v>830</v>
      </c>
      <c r="H1207" s="39">
        <v>1020.0</v>
      </c>
      <c r="N1207" s="39" t="s">
        <v>1051</v>
      </c>
      <c r="R1207" s="39" t="s">
        <v>832</v>
      </c>
      <c r="S1207" s="39" t="s">
        <v>1052</v>
      </c>
      <c r="T1207" s="39" t="s">
        <v>1053</v>
      </c>
      <c r="U1207" s="39" t="s">
        <v>1051</v>
      </c>
      <c r="X1207" s="39" t="s">
        <v>1861</v>
      </c>
      <c r="Y1207" s="39" t="s">
        <v>1131</v>
      </c>
      <c r="Z1207" s="39" t="s">
        <v>872</v>
      </c>
      <c r="AB1207" s="39">
        <v>0.5</v>
      </c>
    </row>
    <row r="1208">
      <c r="A1208" s="39" t="s">
        <v>1791</v>
      </c>
      <c r="B1208" s="39" t="s">
        <v>1792</v>
      </c>
      <c r="C1208" s="39">
        <v>2.0</v>
      </c>
      <c r="D1208" s="41">
        <v>44132.0</v>
      </c>
      <c r="E1208" s="39" t="s">
        <v>1048</v>
      </c>
      <c r="F1208" s="39" t="s">
        <v>1049</v>
      </c>
      <c r="G1208" s="39" t="s">
        <v>1050</v>
      </c>
      <c r="H1208" s="39">
        <v>1020.0</v>
      </c>
      <c r="N1208" s="39" t="s">
        <v>1051</v>
      </c>
      <c r="R1208" s="39" t="s">
        <v>832</v>
      </c>
      <c r="S1208" s="39" t="s">
        <v>1052</v>
      </c>
      <c r="T1208" s="39" t="s">
        <v>1053</v>
      </c>
      <c r="U1208" s="39" t="s">
        <v>1051</v>
      </c>
      <c r="X1208" s="39" t="s">
        <v>1862</v>
      </c>
      <c r="Y1208" s="39" t="s">
        <v>1055</v>
      </c>
      <c r="Z1208" s="39" t="s">
        <v>872</v>
      </c>
      <c r="AB1208" s="39">
        <v>2.0</v>
      </c>
    </row>
    <row r="1209">
      <c r="A1209" s="39" t="s">
        <v>1845</v>
      </c>
      <c r="B1209" s="39" t="s">
        <v>1846</v>
      </c>
      <c r="C1209" s="39">
        <v>5.0</v>
      </c>
      <c r="D1209" s="41">
        <v>44132.0</v>
      </c>
      <c r="E1209" s="39" t="s">
        <v>1048</v>
      </c>
      <c r="F1209" s="39" t="s">
        <v>1049</v>
      </c>
      <c r="G1209" s="39" t="s">
        <v>1050</v>
      </c>
      <c r="H1209" s="39">
        <v>1020.0</v>
      </c>
      <c r="N1209" s="39" t="s">
        <v>1051</v>
      </c>
      <c r="R1209" s="39" t="s">
        <v>957</v>
      </c>
      <c r="S1209" s="39" t="s">
        <v>1274</v>
      </c>
      <c r="T1209" s="39" t="s">
        <v>1053</v>
      </c>
      <c r="U1209" s="39" t="s">
        <v>1051</v>
      </c>
      <c r="X1209" s="39" t="s">
        <v>1863</v>
      </c>
      <c r="Y1209" s="39" t="s">
        <v>1848</v>
      </c>
      <c r="Z1209" s="39" t="s">
        <v>872</v>
      </c>
      <c r="AB1209" s="39">
        <v>5.0</v>
      </c>
    </row>
    <row r="1210">
      <c r="A1210" s="39" t="s">
        <v>1858</v>
      </c>
      <c r="B1210" s="39" t="s">
        <v>1859</v>
      </c>
      <c r="C1210" s="39">
        <v>7.0</v>
      </c>
      <c r="D1210" s="41">
        <v>44132.0</v>
      </c>
      <c r="E1210" s="39" t="s">
        <v>1059</v>
      </c>
      <c r="F1210" s="39" t="s">
        <v>1060</v>
      </c>
      <c r="G1210" s="39" t="s">
        <v>1050</v>
      </c>
      <c r="H1210" s="39">
        <v>1020.0</v>
      </c>
      <c r="N1210" s="39" t="s">
        <v>1051</v>
      </c>
      <c r="R1210" s="39" t="s">
        <v>957</v>
      </c>
      <c r="S1210" s="39" t="s">
        <v>1052</v>
      </c>
      <c r="T1210" s="39" t="s">
        <v>1053</v>
      </c>
      <c r="U1210" s="39" t="s">
        <v>1051</v>
      </c>
      <c r="X1210" s="39" t="s">
        <v>1864</v>
      </c>
      <c r="Y1210" s="39" t="s">
        <v>1380</v>
      </c>
      <c r="Z1210" s="39" t="s">
        <v>1059</v>
      </c>
      <c r="AB1210" s="39">
        <v>7.0</v>
      </c>
    </row>
    <row r="1211">
      <c r="A1211" s="39" t="s">
        <v>1534</v>
      </c>
      <c r="B1211" s="39" t="s">
        <v>1535</v>
      </c>
      <c r="C1211" s="39">
        <v>0.25</v>
      </c>
      <c r="D1211" s="41">
        <v>44132.427083333336</v>
      </c>
      <c r="E1211" s="39" t="s">
        <v>828</v>
      </c>
      <c r="F1211" s="39" t="s">
        <v>829</v>
      </c>
      <c r="G1211" s="39" t="s">
        <v>830</v>
      </c>
      <c r="H1211" s="39">
        <v>1020.0</v>
      </c>
      <c r="N1211" s="39" t="s">
        <v>883</v>
      </c>
      <c r="R1211" s="39" t="s">
        <v>832</v>
      </c>
      <c r="S1211" s="39" t="s">
        <v>833</v>
      </c>
      <c r="T1211" s="39" t="s">
        <v>884</v>
      </c>
      <c r="U1211" s="39" t="s">
        <v>883</v>
      </c>
      <c r="W1211" s="39" t="s">
        <v>904</v>
      </c>
      <c r="X1211" s="39" t="s">
        <v>1536</v>
      </c>
      <c r="Z1211" s="39" t="s">
        <v>837</v>
      </c>
      <c r="AB1211" s="39">
        <v>0.25</v>
      </c>
      <c r="AC1211" s="39">
        <v>8.0</v>
      </c>
      <c r="AD1211" s="39">
        <v>0.0</v>
      </c>
    </row>
    <row r="1212">
      <c r="A1212" s="39" t="s">
        <v>1783</v>
      </c>
      <c r="B1212" s="39" t="s">
        <v>1784</v>
      </c>
      <c r="C1212" s="39">
        <v>1.75</v>
      </c>
      <c r="D1212" s="41">
        <v>44132.4375</v>
      </c>
      <c r="E1212" s="39" t="s">
        <v>828</v>
      </c>
      <c r="F1212" s="39" t="s">
        <v>829</v>
      </c>
      <c r="G1212" s="39" t="s">
        <v>830</v>
      </c>
      <c r="H1212" s="39">
        <v>1020.0</v>
      </c>
      <c r="N1212" s="39" t="s">
        <v>938</v>
      </c>
      <c r="R1212" s="39" t="s">
        <v>957</v>
      </c>
      <c r="S1212" s="39" t="s">
        <v>939</v>
      </c>
      <c r="T1212" s="39" t="s">
        <v>741</v>
      </c>
      <c r="U1212" s="39" t="s">
        <v>938</v>
      </c>
      <c r="X1212" s="39" t="s">
        <v>1785</v>
      </c>
      <c r="Y1212" s="39" t="s">
        <v>1112</v>
      </c>
      <c r="Z1212" s="39" t="s">
        <v>828</v>
      </c>
      <c r="AB1212" s="39">
        <v>1.75</v>
      </c>
    </row>
    <row r="1213">
      <c r="A1213" s="39" t="s">
        <v>1131</v>
      </c>
      <c r="B1213" s="39" t="s">
        <v>1591</v>
      </c>
      <c r="C1213" s="39">
        <v>2.0</v>
      </c>
      <c r="D1213" s="41">
        <v>44133.0</v>
      </c>
      <c r="E1213" s="39" t="s">
        <v>872</v>
      </c>
      <c r="F1213" s="39" t="s">
        <v>724</v>
      </c>
      <c r="G1213" s="39" t="s">
        <v>830</v>
      </c>
      <c r="H1213" s="39">
        <v>1020.0</v>
      </c>
      <c r="N1213" s="39" t="s">
        <v>1051</v>
      </c>
      <c r="R1213" s="39" t="s">
        <v>72</v>
      </c>
      <c r="S1213" s="39" t="s">
        <v>889</v>
      </c>
      <c r="T1213" s="39" t="s">
        <v>1053</v>
      </c>
      <c r="U1213" s="39" t="s">
        <v>1051</v>
      </c>
      <c r="X1213" s="39" t="s">
        <v>1724</v>
      </c>
      <c r="Z1213" s="39" t="s">
        <v>872</v>
      </c>
      <c r="AB1213" s="39">
        <v>2.0</v>
      </c>
      <c r="AD1213" s="39">
        <v>0.0</v>
      </c>
    </row>
    <row r="1214">
      <c r="A1214" s="39" t="s">
        <v>1827</v>
      </c>
      <c r="B1214" s="39" t="s">
        <v>1828</v>
      </c>
      <c r="C1214" s="39">
        <v>0.5</v>
      </c>
      <c r="D1214" s="41">
        <v>44133.0</v>
      </c>
      <c r="E1214" s="39" t="s">
        <v>872</v>
      </c>
      <c r="F1214" s="39" t="s">
        <v>724</v>
      </c>
      <c r="G1214" s="39" t="s">
        <v>830</v>
      </c>
      <c r="H1214" s="39">
        <v>1020.0</v>
      </c>
      <c r="N1214" s="39" t="s">
        <v>1051</v>
      </c>
      <c r="R1214" s="39" t="s">
        <v>72</v>
      </c>
      <c r="S1214" s="39" t="s">
        <v>889</v>
      </c>
      <c r="T1214" s="39" t="s">
        <v>1053</v>
      </c>
      <c r="U1214" s="39" t="s">
        <v>1051</v>
      </c>
      <c r="X1214" s="39" t="s">
        <v>1829</v>
      </c>
      <c r="Z1214" s="39" t="s">
        <v>872</v>
      </c>
      <c r="AB1214" s="39">
        <v>0.5</v>
      </c>
    </row>
    <row r="1215">
      <c r="A1215" s="39" t="s">
        <v>1845</v>
      </c>
      <c r="B1215" s="39" t="s">
        <v>1846</v>
      </c>
      <c r="C1215" s="39">
        <v>0.5</v>
      </c>
      <c r="D1215" s="41">
        <v>44133.0</v>
      </c>
      <c r="E1215" s="39" t="s">
        <v>872</v>
      </c>
      <c r="F1215" s="39" t="s">
        <v>724</v>
      </c>
      <c r="G1215" s="39" t="s">
        <v>830</v>
      </c>
      <c r="H1215" s="39">
        <v>1020.0</v>
      </c>
      <c r="N1215" s="39" t="s">
        <v>1051</v>
      </c>
      <c r="R1215" s="39" t="s">
        <v>957</v>
      </c>
      <c r="S1215" s="39" t="s">
        <v>1274</v>
      </c>
      <c r="T1215" s="39" t="s">
        <v>1053</v>
      </c>
      <c r="U1215" s="39" t="s">
        <v>1051</v>
      </c>
      <c r="X1215" s="39" t="s">
        <v>1857</v>
      </c>
      <c r="Y1215" s="39" t="s">
        <v>1848</v>
      </c>
      <c r="Z1215" s="39" t="s">
        <v>872</v>
      </c>
      <c r="AB1215" s="39">
        <v>0.5</v>
      </c>
    </row>
    <row r="1216">
      <c r="A1216" s="39" t="s">
        <v>1845</v>
      </c>
      <c r="B1216" s="39" t="s">
        <v>1846</v>
      </c>
      <c r="C1216" s="39">
        <v>7.0</v>
      </c>
      <c r="D1216" s="41">
        <v>44133.0</v>
      </c>
      <c r="E1216" s="39" t="s">
        <v>1048</v>
      </c>
      <c r="F1216" s="39" t="s">
        <v>1049</v>
      </c>
      <c r="G1216" s="39" t="s">
        <v>1050</v>
      </c>
      <c r="H1216" s="39">
        <v>1020.0</v>
      </c>
      <c r="N1216" s="39" t="s">
        <v>1051</v>
      </c>
      <c r="R1216" s="39" t="s">
        <v>957</v>
      </c>
      <c r="S1216" s="39" t="s">
        <v>1274</v>
      </c>
      <c r="T1216" s="39" t="s">
        <v>1053</v>
      </c>
      <c r="U1216" s="39" t="s">
        <v>1051</v>
      </c>
      <c r="X1216" s="39" t="s">
        <v>1865</v>
      </c>
      <c r="Y1216" s="39" t="s">
        <v>1848</v>
      </c>
      <c r="Z1216" s="39" t="s">
        <v>872</v>
      </c>
      <c r="AB1216" s="39">
        <v>7.0</v>
      </c>
    </row>
    <row r="1217">
      <c r="A1217" s="39" t="s">
        <v>1849</v>
      </c>
      <c r="B1217" s="39" t="s">
        <v>1850</v>
      </c>
      <c r="C1217" s="39">
        <v>7.0</v>
      </c>
      <c r="D1217" s="41">
        <v>44133.0</v>
      </c>
      <c r="E1217" s="39" t="s">
        <v>1059</v>
      </c>
      <c r="F1217" s="39" t="s">
        <v>1060</v>
      </c>
      <c r="G1217" s="39" t="s">
        <v>1050</v>
      </c>
      <c r="H1217" s="39">
        <v>1020.0</v>
      </c>
      <c r="N1217" s="39" t="s">
        <v>1051</v>
      </c>
      <c r="R1217" s="39" t="s">
        <v>832</v>
      </c>
      <c r="S1217" s="39" t="s">
        <v>1052</v>
      </c>
      <c r="T1217" s="39" t="s">
        <v>1053</v>
      </c>
      <c r="U1217" s="39" t="s">
        <v>1051</v>
      </c>
      <c r="X1217" s="39" t="s">
        <v>1866</v>
      </c>
      <c r="Y1217" s="39" t="s">
        <v>1131</v>
      </c>
      <c r="Z1217" s="39" t="s">
        <v>872</v>
      </c>
      <c r="AB1217" s="39">
        <v>7.0</v>
      </c>
    </row>
    <row r="1218">
      <c r="A1218" s="39" t="s">
        <v>1534</v>
      </c>
      <c r="B1218" s="39" t="s">
        <v>1535</v>
      </c>
      <c r="C1218" s="39">
        <v>1.0</v>
      </c>
      <c r="D1218" s="41">
        <v>44133.375</v>
      </c>
      <c r="E1218" s="39" t="s">
        <v>837</v>
      </c>
      <c r="F1218" s="39" t="s">
        <v>886</v>
      </c>
      <c r="G1218" s="39" t="s">
        <v>849</v>
      </c>
      <c r="H1218" s="39">
        <v>1020.0</v>
      </c>
      <c r="N1218" s="39" t="s">
        <v>883</v>
      </c>
      <c r="R1218" s="39" t="s">
        <v>832</v>
      </c>
      <c r="S1218" s="39" t="s">
        <v>833</v>
      </c>
      <c r="T1218" s="39" t="s">
        <v>884</v>
      </c>
      <c r="U1218" s="39" t="s">
        <v>883</v>
      </c>
      <c r="W1218" s="39" t="s">
        <v>904</v>
      </c>
      <c r="X1218" s="39" t="s">
        <v>1536</v>
      </c>
      <c r="Z1218" s="39" t="s">
        <v>837</v>
      </c>
      <c r="AB1218" s="39">
        <v>1.0</v>
      </c>
      <c r="AC1218" s="39">
        <v>8.0</v>
      </c>
      <c r="AD1218" s="39">
        <v>0.0</v>
      </c>
    </row>
    <row r="1219">
      <c r="A1219" s="39" t="s">
        <v>1646</v>
      </c>
      <c r="B1219" s="39" t="s">
        <v>1647</v>
      </c>
      <c r="C1219" s="39">
        <v>2.0</v>
      </c>
      <c r="D1219" s="41">
        <v>44133.447916666664</v>
      </c>
      <c r="E1219" s="39" t="s">
        <v>1600</v>
      </c>
      <c r="F1219" s="39" t="s">
        <v>1601</v>
      </c>
      <c r="G1219" s="39" t="s">
        <v>830</v>
      </c>
      <c r="H1219" s="39">
        <v>1020.0</v>
      </c>
      <c r="N1219" s="39" t="s">
        <v>883</v>
      </c>
      <c r="R1219" s="39" t="s">
        <v>1021</v>
      </c>
      <c r="S1219" s="39" t="s">
        <v>833</v>
      </c>
      <c r="T1219" s="39" t="s">
        <v>884</v>
      </c>
      <c r="U1219" s="39" t="s">
        <v>883</v>
      </c>
      <c r="X1219" s="39" t="s">
        <v>1867</v>
      </c>
      <c r="Z1219" s="39" t="s">
        <v>1649</v>
      </c>
      <c r="AB1219" s="39">
        <v>2.0</v>
      </c>
    </row>
    <row r="1220">
      <c r="A1220" s="39" t="s">
        <v>1646</v>
      </c>
      <c r="B1220" s="39" t="s">
        <v>1647</v>
      </c>
      <c r="C1220" s="39">
        <v>0.25</v>
      </c>
      <c r="D1220" s="41">
        <v>44133.489583333336</v>
      </c>
      <c r="E1220" s="39" t="s">
        <v>828</v>
      </c>
      <c r="F1220" s="39" t="s">
        <v>829</v>
      </c>
      <c r="G1220" s="39" t="s">
        <v>830</v>
      </c>
      <c r="H1220" s="39">
        <v>1020.0</v>
      </c>
      <c r="N1220" s="39" t="s">
        <v>883</v>
      </c>
      <c r="R1220" s="39" t="s">
        <v>1021</v>
      </c>
      <c r="S1220" s="39" t="s">
        <v>833</v>
      </c>
      <c r="T1220" s="39" t="s">
        <v>884</v>
      </c>
      <c r="U1220" s="39" t="s">
        <v>883</v>
      </c>
      <c r="X1220" s="39" t="s">
        <v>1868</v>
      </c>
      <c r="Z1220" s="39" t="s">
        <v>1649</v>
      </c>
      <c r="AB1220" s="39">
        <v>0.25</v>
      </c>
    </row>
    <row r="1221">
      <c r="A1221" s="39" t="s">
        <v>1783</v>
      </c>
      <c r="B1221" s="39" t="s">
        <v>1784</v>
      </c>
      <c r="C1221" s="39">
        <v>0.25</v>
      </c>
      <c r="D1221" s="41">
        <v>44133.541666666664</v>
      </c>
      <c r="E1221" s="39" t="s">
        <v>828</v>
      </c>
      <c r="F1221" s="39" t="s">
        <v>829</v>
      </c>
      <c r="G1221" s="39" t="s">
        <v>830</v>
      </c>
      <c r="H1221" s="39">
        <v>1020.0</v>
      </c>
      <c r="N1221" s="39" t="s">
        <v>938</v>
      </c>
      <c r="R1221" s="39" t="s">
        <v>957</v>
      </c>
      <c r="S1221" s="39" t="s">
        <v>939</v>
      </c>
      <c r="T1221" s="39" t="s">
        <v>741</v>
      </c>
      <c r="U1221" s="39" t="s">
        <v>938</v>
      </c>
      <c r="X1221" s="39" t="s">
        <v>1785</v>
      </c>
      <c r="Y1221" s="39" t="s">
        <v>1112</v>
      </c>
      <c r="Z1221" s="39" t="s">
        <v>828</v>
      </c>
      <c r="AB1221" s="39">
        <v>0.25</v>
      </c>
    </row>
    <row r="1222">
      <c r="A1222" s="39" t="s">
        <v>1646</v>
      </c>
      <c r="B1222" s="39" t="s">
        <v>1647</v>
      </c>
      <c r="C1222" s="39">
        <v>0.25</v>
      </c>
      <c r="D1222" s="41">
        <v>44133.552083333336</v>
      </c>
      <c r="E1222" s="39" t="s">
        <v>1600</v>
      </c>
      <c r="F1222" s="39" t="s">
        <v>1601</v>
      </c>
      <c r="G1222" s="39" t="s">
        <v>830</v>
      </c>
      <c r="H1222" s="39">
        <v>1020.0</v>
      </c>
      <c r="N1222" s="39" t="s">
        <v>883</v>
      </c>
      <c r="R1222" s="39" t="s">
        <v>1021</v>
      </c>
      <c r="S1222" s="39" t="s">
        <v>833</v>
      </c>
      <c r="T1222" s="39" t="s">
        <v>884</v>
      </c>
      <c r="U1222" s="39" t="s">
        <v>883</v>
      </c>
      <c r="X1222" s="39" t="s">
        <v>1869</v>
      </c>
      <c r="Z1222" s="39" t="s">
        <v>1649</v>
      </c>
      <c r="AB1222" s="39">
        <v>0.25</v>
      </c>
    </row>
    <row r="1223">
      <c r="A1223" s="39" t="s">
        <v>1646</v>
      </c>
      <c r="B1223" s="39" t="s">
        <v>1647</v>
      </c>
      <c r="C1223" s="39">
        <v>0.75</v>
      </c>
      <c r="D1223" s="41">
        <v>44133.635416666664</v>
      </c>
      <c r="E1223" s="39" t="s">
        <v>828</v>
      </c>
      <c r="F1223" s="39" t="s">
        <v>829</v>
      </c>
      <c r="G1223" s="39" t="s">
        <v>830</v>
      </c>
      <c r="H1223" s="39">
        <v>1020.0</v>
      </c>
      <c r="N1223" s="39" t="s">
        <v>883</v>
      </c>
      <c r="R1223" s="39" t="s">
        <v>1021</v>
      </c>
      <c r="S1223" s="39" t="s">
        <v>833</v>
      </c>
      <c r="T1223" s="39" t="s">
        <v>884</v>
      </c>
      <c r="U1223" s="39" t="s">
        <v>883</v>
      </c>
      <c r="X1223" s="39" t="s">
        <v>1868</v>
      </c>
      <c r="Z1223" s="39" t="s">
        <v>1649</v>
      </c>
      <c r="AB1223" s="39">
        <v>0.75</v>
      </c>
    </row>
    <row r="1224">
      <c r="A1224" s="39" t="s">
        <v>1646</v>
      </c>
      <c r="B1224" s="39" t="s">
        <v>1647</v>
      </c>
      <c r="C1224" s="39">
        <v>0.5</v>
      </c>
      <c r="D1224" s="41">
        <v>44133.635416666664</v>
      </c>
      <c r="E1224" s="39" t="s">
        <v>1600</v>
      </c>
      <c r="F1224" s="39" t="s">
        <v>1601</v>
      </c>
      <c r="G1224" s="39" t="s">
        <v>830</v>
      </c>
      <c r="H1224" s="39">
        <v>1020.0</v>
      </c>
      <c r="N1224" s="39" t="s">
        <v>883</v>
      </c>
      <c r="R1224" s="39" t="s">
        <v>1021</v>
      </c>
      <c r="S1224" s="39" t="s">
        <v>833</v>
      </c>
      <c r="T1224" s="39" t="s">
        <v>884</v>
      </c>
      <c r="U1224" s="39" t="s">
        <v>883</v>
      </c>
      <c r="X1224" s="39" t="s">
        <v>1870</v>
      </c>
      <c r="Z1224" s="39" t="s">
        <v>1649</v>
      </c>
      <c r="AB1224" s="39">
        <v>0.5</v>
      </c>
    </row>
    <row r="1225">
      <c r="A1225" s="39" t="s">
        <v>1824</v>
      </c>
      <c r="B1225" s="39" t="s">
        <v>1825</v>
      </c>
      <c r="C1225" s="39">
        <v>0.5</v>
      </c>
      <c r="D1225" s="41">
        <v>44134.0</v>
      </c>
      <c r="E1225" s="39" t="s">
        <v>872</v>
      </c>
      <c r="F1225" s="39" t="s">
        <v>724</v>
      </c>
      <c r="G1225" s="39" t="s">
        <v>830</v>
      </c>
      <c r="H1225" s="39">
        <v>1020.0</v>
      </c>
      <c r="N1225" s="39" t="s">
        <v>1051</v>
      </c>
      <c r="R1225" s="39" t="s">
        <v>72</v>
      </c>
      <c r="S1225" s="39" t="s">
        <v>889</v>
      </c>
      <c r="T1225" s="39" t="s">
        <v>1053</v>
      </c>
      <c r="U1225" s="39" t="s">
        <v>1051</v>
      </c>
      <c r="X1225" s="39" t="s">
        <v>1826</v>
      </c>
      <c r="Z1225" s="39" t="s">
        <v>872</v>
      </c>
      <c r="AB1225" s="39">
        <v>0.5</v>
      </c>
    </row>
    <row r="1226">
      <c r="A1226" s="39" t="s">
        <v>1131</v>
      </c>
      <c r="B1226" s="39" t="s">
        <v>1591</v>
      </c>
      <c r="C1226" s="39">
        <v>2.0</v>
      </c>
      <c r="D1226" s="41">
        <v>44134.0</v>
      </c>
      <c r="E1226" s="39" t="s">
        <v>872</v>
      </c>
      <c r="F1226" s="39" t="s">
        <v>724</v>
      </c>
      <c r="G1226" s="39" t="s">
        <v>830</v>
      </c>
      <c r="H1226" s="39">
        <v>1020.0</v>
      </c>
      <c r="N1226" s="39" t="s">
        <v>1051</v>
      </c>
      <c r="R1226" s="39" t="s">
        <v>72</v>
      </c>
      <c r="S1226" s="39" t="s">
        <v>889</v>
      </c>
      <c r="T1226" s="39" t="s">
        <v>1053</v>
      </c>
      <c r="U1226" s="39" t="s">
        <v>1051</v>
      </c>
      <c r="X1226" s="39" t="s">
        <v>1724</v>
      </c>
      <c r="Z1226" s="39" t="s">
        <v>872</v>
      </c>
      <c r="AB1226" s="39">
        <v>2.0</v>
      </c>
      <c r="AD1226" s="39">
        <v>0.0</v>
      </c>
    </row>
    <row r="1227">
      <c r="A1227" s="39" t="s">
        <v>1827</v>
      </c>
      <c r="B1227" s="39" t="s">
        <v>1828</v>
      </c>
      <c r="C1227" s="39">
        <v>2.0</v>
      </c>
      <c r="D1227" s="41">
        <v>44134.0</v>
      </c>
      <c r="E1227" s="39" t="s">
        <v>872</v>
      </c>
      <c r="F1227" s="39" t="s">
        <v>724</v>
      </c>
      <c r="G1227" s="39" t="s">
        <v>830</v>
      </c>
      <c r="H1227" s="39">
        <v>1020.0</v>
      </c>
      <c r="N1227" s="39" t="s">
        <v>1051</v>
      </c>
      <c r="R1227" s="39" t="s">
        <v>72</v>
      </c>
      <c r="S1227" s="39" t="s">
        <v>889</v>
      </c>
      <c r="T1227" s="39" t="s">
        <v>1053</v>
      </c>
      <c r="U1227" s="39" t="s">
        <v>1051</v>
      </c>
      <c r="X1227" s="39" t="s">
        <v>1829</v>
      </c>
      <c r="Z1227" s="39" t="s">
        <v>872</v>
      </c>
      <c r="AB1227" s="39">
        <v>2.0</v>
      </c>
    </row>
    <row r="1228">
      <c r="A1228" s="39" t="s">
        <v>1845</v>
      </c>
      <c r="B1228" s="39" t="s">
        <v>1846</v>
      </c>
      <c r="C1228" s="39">
        <v>7.0</v>
      </c>
      <c r="D1228" s="41">
        <v>44134.0</v>
      </c>
      <c r="E1228" s="39" t="s">
        <v>1048</v>
      </c>
      <c r="F1228" s="39" t="s">
        <v>1049</v>
      </c>
      <c r="G1228" s="39" t="s">
        <v>1050</v>
      </c>
      <c r="H1228" s="39">
        <v>1020.0</v>
      </c>
      <c r="N1228" s="39" t="s">
        <v>1051</v>
      </c>
      <c r="R1228" s="39" t="s">
        <v>957</v>
      </c>
      <c r="S1228" s="39" t="s">
        <v>1274</v>
      </c>
      <c r="T1228" s="39" t="s">
        <v>1053</v>
      </c>
      <c r="U1228" s="39" t="s">
        <v>1051</v>
      </c>
      <c r="X1228" s="39" t="s">
        <v>1871</v>
      </c>
      <c r="Y1228" s="39" t="s">
        <v>1848</v>
      </c>
      <c r="Z1228" s="39" t="s">
        <v>872</v>
      </c>
      <c r="AB1228" s="39">
        <v>7.0</v>
      </c>
    </row>
    <row r="1229">
      <c r="A1229" s="39" t="s">
        <v>1763</v>
      </c>
      <c r="B1229" s="39" t="s">
        <v>1764</v>
      </c>
      <c r="C1229" s="39">
        <v>7.0</v>
      </c>
      <c r="D1229" s="41">
        <v>44134.0</v>
      </c>
      <c r="E1229" s="39" t="s">
        <v>1059</v>
      </c>
      <c r="F1229" s="39" t="s">
        <v>1060</v>
      </c>
      <c r="G1229" s="39" t="s">
        <v>1050</v>
      </c>
      <c r="H1229" s="39">
        <v>1020.0</v>
      </c>
      <c r="N1229" s="39" t="s">
        <v>1051</v>
      </c>
      <c r="R1229" s="39" t="s">
        <v>957</v>
      </c>
      <c r="S1229" s="39" t="s">
        <v>1052</v>
      </c>
      <c r="T1229" s="39" t="s">
        <v>1053</v>
      </c>
      <c r="U1229" s="39" t="s">
        <v>1051</v>
      </c>
      <c r="X1229" s="39" t="s">
        <v>1872</v>
      </c>
      <c r="Y1229" s="39" t="s">
        <v>1694</v>
      </c>
      <c r="Z1229" s="39" t="s">
        <v>872</v>
      </c>
      <c r="AB1229" s="39">
        <v>7.0</v>
      </c>
    </row>
    <row r="1230">
      <c r="A1230" s="39" t="s">
        <v>1646</v>
      </c>
      <c r="B1230" s="39" t="s">
        <v>1647</v>
      </c>
      <c r="C1230" s="39">
        <v>1.75</v>
      </c>
      <c r="D1230" s="41">
        <v>44134.291666666664</v>
      </c>
      <c r="E1230" s="39" t="s">
        <v>1600</v>
      </c>
      <c r="F1230" s="39" t="s">
        <v>1601</v>
      </c>
      <c r="G1230" s="39" t="s">
        <v>830</v>
      </c>
      <c r="H1230" s="39">
        <v>1020.0</v>
      </c>
      <c r="N1230" s="39" t="s">
        <v>883</v>
      </c>
      <c r="R1230" s="39" t="s">
        <v>1021</v>
      </c>
      <c r="S1230" s="39" t="s">
        <v>833</v>
      </c>
      <c r="T1230" s="39" t="s">
        <v>884</v>
      </c>
      <c r="U1230" s="39" t="s">
        <v>883</v>
      </c>
      <c r="X1230" s="39" t="s">
        <v>1873</v>
      </c>
      <c r="Z1230" s="39" t="s">
        <v>1649</v>
      </c>
      <c r="AB1230" s="39">
        <v>1.75</v>
      </c>
    </row>
    <row r="1231">
      <c r="A1231" s="39" t="s">
        <v>1783</v>
      </c>
      <c r="B1231" s="39" t="s">
        <v>1784</v>
      </c>
      <c r="C1231" s="39">
        <v>0.25</v>
      </c>
      <c r="D1231" s="41">
        <v>44134.385416666664</v>
      </c>
      <c r="E1231" s="39" t="s">
        <v>828</v>
      </c>
      <c r="F1231" s="39" t="s">
        <v>829</v>
      </c>
      <c r="G1231" s="39" t="s">
        <v>830</v>
      </c>
      <c r="H1231" s="39">
        <v>1020.0</v>
      </c>
      <c r="N1231" s="39" t="s">
        <v>938</v>
      </c>
      <c r="R1231" s="39" t="s">
        <v>957</v>
      </c>
      <c r="S1231" s="39" t="s">
        <v>939</v>
      </c>
      <c r="T1231" s="39" t="s">
        <v>741</v>
      </c>
      <c r="U1231" s="39" t="s">
        <v>938</v>
      </c>
      <c r="X1231" s="39" t="s">
        <v>1789</v>
      </c>
      <c r="Y1231" s="39" t="s">
        <v>1112</v>
      </c>
      <c r="Z1231" s="39" t="s">
        <v>828</v>
      </c>
      <c r="AB1231" s="39">
        <v>0.25</v>
      </c>
    </row>
    <row r="1232">
      <c r="A1232" s="39" t="s">
        <v>1646</v>
      </c>
      <c r="B1232" s="39" t="s">
        <v>1647</v>
      </c>
      <c r="C1232" s="39">
        <v>0.5</v>
      </c>
      <c r="D1232" s="41">
        <v>44134.40625</v>
      </c>
      <c r="E1232" s="39" t="s">
        <v>1600</v>
      </c>
      <c r="F1232" s="39" t="s">
        <v>1601</v>
      </c>
      <c r="G1232" s="39" t="s">
        <v>830</v>
      </c>
      <c r="H1232" s="39">
        <v>1020.0</v>
      </c>
      <c r="N1232" s="39" t="s">
        <v>883</v>
      </c>
      <c r="R1232" s="39" t="s">
        <v>1021</v>
      </c>
      <c r="S1232" s="39" t="s">
        <v>833</v>
      </c>
      <c r="T1232" s="39" t="s">
        <v>884</v>
      </c>
      <c r="U1232" s="39" t="s">
        <v>883</v>
      </c>
      <c r="X1232" s="39" t="s">
        <v>1874</v>
      </c>
      <c r="Z1232" s="39" t="s">
        <v>1649</v>
      </c>
      <c r="AB1232" s="39">
        <v>0.5</v>
      </c>
    </row>
    <row r="1233">
      <c r="A1233" s="39" t="s">
        <v>1845</v>
      </c>
      <c r="B1233" s="39" t="s">
        <v>1846</v>
      </c>
      <c r="C1233" s="39">
        <v>7.0</v>
      </c>
      <c r="D1233" s="41">
        <v>44137.0</v>
      </c>
      <c r="E1233" s="39" t="s">
        <v>1048</v>
      </c>
      <c r="F1233" s="39" t="s">
        <v>1049</v>
      </c>
      <c r="G1233" s="39" t="s">
        <v>1050</v>
      </c>
      <c r="H1233" s="39">
        <v>1120.0</v>
      </c>
      <c r="N1233" s="39" t="s">
        <v>1051</v>
      </c>
      <c r="R1233" s="39" t="s">
        <v>957</v>
      </c>
      <c r="S1233" s="39" t="s">
        <v>1274</v>
      </c>
      <c r="T1233" s="39" t="s">
        <v>1053</v>
      </c>
      <c r="U1233" s="39" t="s">
        <v>1051</v>
      </c>
      <c r="X1233" s="39" t="s">
        <v>1875</v>
      </c>
      <c r="Y1233" s="39" t="s">
        <v>1848</v>
      </c>
      <c r="Z1233" s="39" t="s">
        <v>872</v>
      </c>
      <c r="AB1233" s="39">
        <v>7.0</v>
      </c>
    </row>
    <row r="1234">
      <c r="A1234" s="39" t="s">
        <v>1876</v>
      </c>
      <c r="B1234" s="39" t="s">
        <v>1877</v>
      </c>
      <c r="C1234" s="39">
        <v>1.0</v>
      </c>
      <c r="D1234" s="41">
        <v>44137.0</v>
      </c>
      <c r="E1234" s="39" t="s">
        <v>1059</v>
      </c>
      <c r="F1234" s="39" t="s">
        <v>1060</v>
      </c>
      <c r="G1234" s="39" t="s">
        <v>1050</v>
      </c>
      <c r="H1234" s="39">
        <v>1120.0</v>
      </c>
      <c r="N1234" s="39" t="s">
        <v>1051</v>
      </c>
      <c r="R1234" s="39" t="s">
        <v>957</v>
      </c>
      <c r="S1234" s="39" t="s">
        <v>1052</v>
      </c>
      <c r="T1234" s="39" t="s">
        <v>1053</v>
      </c>
      <c r="U1234" s="39" t="s">
        <v>1051</v>
      </c>
      <c r="X1234" s="39" t="s">
        <v>1878</v>
      </c>
      <c r="Y1234" s="39" t="s">
        <v>1288</v>
      </c>
      <c r="Z1234" s="39" t="s">
        <v>872</v>
      </c>
      <c r="AB1234" s="39">
        <v>1.0</v>
      </c>
    </row>
    <row r="1235">
      <c r="A1235" s="39" t="s">
        <v>1752</v>
      </c>
      <c r="B1235" s="39" t="s">
        <v>1753</v>
      </c>
      <c r="C1235" s="39">
        <v>2.0</v>
      </c>
      <c r="D1235" s="41">
        <v>44137.0</v>
      </c>
      <c r="E1235" s="39" t="s">
        <v>1059</v>
      </c>
      <c r="F1235" s="39" t="s">
        <v>1060</v>
      </c>
      <c r="G1235" s="39" t="s">
        <v>1050</v>
      </c>
      <c r="H1235" s="39">
        <v>1120.0</v>
      </c>
      <c r="N1235" s="39" t="s">
        <v>1051</v>
      </c>
      <c r="R1235" s="39" t="s">
        <v>957</v>
      </c>
      <c r="S1235" s="39" t="s">
        <v>1052</v>
      </c>
      <c r="T1235" s="39" t="s">
        <v>1053</v>
      </c>
      <c r="U1235" s="39" t="s">
        <v>1051</v>
      </c>
      <c r="X1235" s="39" t="s">
        <v>1879</v>
      </c>
      <c r="Y1235" s="39" t="s">
        <v>1380</v>
      </c>
      <c r="Z1235" s="39" t="s">
        <v>872</v>
      </c>
      <c r="AB1235" s="39">
        <v>2.0</v>
      </c>
    </row>
    <row r="1236">
      <c r="A1236" s="39" t="s">
        <v>1831</v>
      </c>
      <c r="B1236" s="39" t="s">
        <v>1832</v>
      </c>
      <c r="C1236" s="39">
        <v>5.0</v>
      </c>
      <c r="D1236" s="41">
        <v>44137.0</v>
      </c>
      <c r="E1236" s="39" t="s">
        <v>1059</v>
      </c>
      <c r="F1236" s="39" t="s">
        <v>1060</v>
      </c>
      <c r="G1236" s="39" t="s">
        <v>1050</v>
      </c>
      <c r="H1236" s="39">
        <v>1120.0</v>
      </c>
      <c r="N1236" s="39" t="s">
        <v>1051</v>
      </c>
      <c r="R1236" s="39" t="s">
        <v>832</v>
      </c>
      <c r="S1236" s="39" t="s">
        <v>1052</v>
      </c>
      <c r="T1236" s="39" t="s">
        <v>1053</v>
      </c>
      <c r="U1236" s="39" t="s">
        <v>1051</v>
      </c>
      <c r="X1236" s="39" t="s">
        <v>1880</v>
      </c>
      <c r="Y1236" s="39" t="s">
        <v>1131</v>
      </c>
      <c r="Z1236" s="39" t="s">
        <v>872</v>
      </c>
      <c r="AB1236" s="39">
        <v>5.0</v>
      </c>
    </row>
    <row r="1237">
      <c r="A1237" s="39" t="s">
        <v>1534</v>
      </c>
      <c r="B1237" s="39" t="s">
        <v>1535</v>
      </c>
      <c r="C1237" s="39">
        <v>2.75</v>
      </c>
      <c r="D1237" s="41">
        <v>44137.34375</v>
      </c>
      <c r="E1237" s="39" t="s">
        <v>1600</v>
      </c>
      <c r="F1237" s="39" t="s">
        <v>1601</v>
      </c>
      <c r="G1237" s="39" t="s">
        <v>830</v>
      </c>
      <c r="H1237" s="39">
        <v>1120.0</v>
      </c>
      <c r="N1237" s="39" t="s">
        <v>883</v>
      </c>
      <c r="R1237" s="39" t="s">
        <v>832</v>
      </c>
      <c r="S1237" s="39" t="s">
        <v>833</v>
      </c>
      <c r="T1237" s="39" t="s">
        <v>884</v>
      </c>
      <c r="U1237" s="39" t="s">
        <v>883</v>
      </c>
      <c r="W1237" s="39" t="s">
        <v>904</v>
      </c>
      <c r="X1237" s="39" t="s">
        <v>1881</v>
      </c>
      <c r="Z1237" s="39" t="s">
        <v>837</v>
      </c>
      <c r="AB1237" s="39">
        <v>2.75</v>
      </c>
      <c r="AC1237" s="39">
        <v>8.0</v>
      </c>
      <c r="AD1237" s="39">
        <v>0.0</v>
      </c>
    </row>
    <row r="1238">
      <c r="A1238" s="39" t="s">
        <v>1646</v>
      </c>
      <c r="B1238" s="39" t="s">
        <v>1647</v>
      </c>
      <c r="C1238" s="39">
        <v>0.75</v>
      </c>
      <c r="D1238" s="41">
        <v>44137.53125</v>
      </c>
      <c r="E1238" s="39" t="s">
        <v>1600</v>
      </c>
      <c r="F1238" s="39" t="s">
        <v>1601</v>
      </c>
      <c r="G1238" s="39" t="s">
        <v>830</v>
      </c>
      <c r="H1238" s="39">
        <v>1120.0</v>
      </c>
      <c r="N1238" s="39" t="s">
        <v>883</v>
      </c>
      <c r="R1238" s="39" t="s">
        <v>1021</v>
      </c>
      <c r="S1238" s="39" t="s">
        <v>833</v>
      </c>
      <c r="T1238" s="39" t="s">
        <v>884</v>
      </c>
      <c r="U1238" s="39" t="s">
        <v>883</v>
      </c>
      <c r="X1238" s="39" t="s">
        <v>1882</v>
      </c>
      <c r="Z1238" s="39" t="s">
        <v>1649</v>
      </c>
      <c r="AB1238" s="39">
        <v>0.75</v>
      </c>
    </row>
    <row r="1239">
      <c r="A1239" s="39" t="s">
        <v>1534</v>
      </c>
      <c r="B1239" s="39" t="s">
        <v>1535</v>
      </c>
      <c r="C1239" s="39">
        <v>2.0</v>
      </c>
      <c r="D1239" s="41">
        <v>44137.5625</v>
      </c>
      <c r="E1239" s="39" t="s">
        <v>1600</v>
      </c>
      <c r="F1239" s="39" t="s">
        <v>1601</v>
      </c>
      <c r="G1239" s="39" t="s">
        <v>830</v>
      </c>
      <c r="H1239" s="39">
        <v>1120.0</v>
      </c>
      <c r="N1239" s="39" t="s">
        <v>883</v>
      </c>
      <c r="R1239" s="39" t="s">
        <v>832</v>
      </c>
      <c r="S1239" s="39" t="s">
        <v>833</v>
      </c>
      <c r="T1239" s="39" t="s">
        <v>884</v>
      </c>
      <c r="U1239" s="39" t="s">
        <v>883</v>
      </c>
      <c r="W1239" s="39" t="s">
        <v>904</v>
      </c>
      <c r="X1239" s="39" t="s">
        <v>1883</v>
      </c>
      <c r="Z1239" s="39" t="s">
        <v>837</v>
      </c>
      <c r="AB1239" s="39">
        <v>2.0</v>
      </c>
      <c r="AC1239" s="39">
        <v>8.0</v>
      </c>
      <c r="AD1239" s="39">
        <v>0.0</v>
      </c>
    </row>
    <row r="1240">
      <c r="A1240" s="39" t="s">
        <v>1783</v>
      </c>
      <c r="B1240" s="39" t="s">
        <v>1784</v>
      </c>
      <c r="C1240" s="39">
        <v>0.25</v>
      </c>
      <c r="D1240" s="41">
        <v>44137.604166666664</v>
      </c>
      <c r="E1240" s="39" t="s">
        <v>828</v>
      </c>
      <c r="F1240" s="39" t="s">
        <v>829</v>
      </c>
      <c r="G1240" s="39" t="s">
        <v>830</v>
      </c>
      <c r="H1240" s="39">
        <v>1120.0</v>
      </c>
      <c r="N1240" s="39" t="s">
        <v>938</v>
      </c>
      <c r="R1240" s="39" t="s">
        <v>957</v>
      </c>
      <c r="S1240" s="39" t="s">
        <v>939</v>
      </c>
      <c r="T1240" s="39" t="s">
        <v>741</v>
      </c>
      <c r="U1240" s="39" t="s">
        <v>938</v>
      </c>
      <c r="X1240" s="39" t="s">
        <v>1785</v>
      </c>
      <c r="Y1240" s="39" t="s">
        <v>1112</v>
      </c>
      <c r="Z1240" s="39" t="s">
        <v>828</v>
      </c>
      <c r="AB1240" s="39">
        <v>0.25</v>
      </c>
    </row>
    <row r="1241">
      <c r="A1241" s="39" t="s">
        <v>1763</v>
      </c>
      <c r="B1241" s="39" t="s">
        <v>1764</v>
      </c>
      <c r="C1241" s="39">
        <v>0.25</v>
      </c>
      <c r="D1241" s="41">
        <v>44138.0</v>
      </c>
      <c r="E1241" s="39" t="s">
        <v>872</v>
      </c>
      <c r="F1241" s="39" t="s">
        <v>724</v>
      </c>
      <c r="G1241" s="39" t="s">
        <v>830</v>
      </c>
      <c r="H1241" s="39">
        <v>1120.0</v>
      </c>
      <c r="N1241" s="39" t="s">
        <v>1051</v>
      </c>
      <c r="R1241" s="39" t="s">
        <v>957</v>
      </c>
      <c r="S1241" s="39" t="s">
        <v>1052</v>
      </c>
      <c r="T1241" s="39" t="s">
        <v>1053</v>
      </c>
      <c r="U1241" s="39" t="s">
        <v>1051</v>
      </c>
      <c r="X1241" s="39" t="s">
        <v>1765</v>
      </c>
      <c r="Y1241" s="39" t="s">
        <v>1694</v>
      </c>
      <c r="Z1241" s="39" t="s">
        <v>872</v>
      </c>
      <c r="AB1241" s="39">
        <v>0.25</v>
      </c>
    </row>
    <row r="1242">
      <c r="A1242" s="39" t="s">
        <v>1876</v>
      </c>
      <c r="B1242" s="39" t="s">
        <v>1877</v>
      </c>
      <c r="C1242" s="39">
        <v>0.25</v>
      </c>
      <c r="D1242" s="41">
        <v>44138.0</v>
      </c>
      <c r="E1242" s="39" t="s">
        <v>872</v>
      </c>
      <c r="F1242" s="39" t="s">
        <v>724</v>
      </c>
      <c r="G1242" s="39" t="s">
        <v>830</v>
      </c>
      <c r="H1242" s="39">
        <v>1120.0</v>
      </c>
      <c r="N1242" s="39" t="s">
        <v>1051</v>
      </c>
      <c r="R1242" s="39" t="s">
        <v>957</v>
      </c>
      <c r="S1242" s="39" t="s">
        <v>1052</v>
      </c>
      <c r="T1242" s="39" t="s">
        <v>1053</v>
      </c>
      <c r="U1242" s="39" t="s">
        <v>1051</v>
      </c>
      <c r="X1242" s="39" t="s">
        <v>1878</v>
      </c>
      <c r="Y1242" s="39" t="s">
        <v>1288</v>
      </c>
      <c r="Z1242" s="39" t="s">
        <v>872</v>
      </c>
      <c r="AB1242" s="39">
        <v>0.25</v>
      </c>
    </row>
    <row r="1243">
      <c r="A1243" s="39" t="s">
        <v>1845</v>
      </c>
      <c r="B1243" s="39" t="s">
        <v>1846</v>
      </c>
      <c r="C1243" s="39">
        <v>3.0</v>
      </c>
      <c r="D1243" s="41">
        <v>44138.0</v>
      </c>
      <c r="E1243" s="39" t="s">
        <v>1048</v>
      </c>
      <c r="F1243" s="39" t="s">
        <v>1049</v>
      </c>
      <c r="G1243" s="39" t="s">
        <v>1050</v>
      </c>
      <c r="H1243" s="39">
        <v>1120.0</v>
      </c>
      <c r="N1243" s="39" t="s">
        <v>1051</v>
      </c>
      <c r="R1243" s="39" t="s">
        <v>957</v>
      </c>
      <c r="S1243" s="39" t="s">
        <v>1274</v>
      </c>
      <c r="T1243" s="39" t="s">
        <v>1053</v>
      </c>
      <c r="U1243" s="39" t="s">
        <v>1051</v>
      </c>
      <c r="X1243" s="39" t="s">
        <v>1884</v>
      </c>
      <c r="Y1243" s="39" t="s">
        <v>1848</v>
      </c>
      <c r="Z1243" s="39" t="s">
        <v>872</v>
      </c>
      <c r="AB1243" s="39">
        <v>3.0</v>
      </c>
    </row>
    <row r="1244">
      <c r="A1244" s="39" t="s">
        <v>1845</v>
      </c>
      <c r="B1244" s="39" t="s">
        <v>1846</v>
      </c>
      <c r="C1244" s="39">
        <v>4.0</v>
      </c>
      <c r="D1244" s="41">
        <v>44138.0</v>
      </c>
      <c r="E1244" s="39" t="s">
        <v>1048</v>
      </c>
      <c r="F1244" s="39" t="s">
        <v>1049</v>
      </c>
      <c r="G1244" s="39" t="s">
        <v>1050</v>
      </c>
      <c r="H1244" s="39">
        <v>1120.0</v>
      </c>
      <c r="N1244" s="39" t="s">
        <v>1051</v>
      </c>
      <c r="R1244" s="39" t="s">
        <v>957</v>
      </c>
      <c r="S1244" s="39" t="s">
        <v>1274</v>
      </c>
      <c r="T1244" s="39" t="s">
        <v>1053</v>
      </c>
      <c r="U1244" s="39" t="s">
        <v>1051</v>
      </c>
      <c r="X1244" s="39" t="s">
        <v>1885</v>
      </c>
      <c r="Y1244" s="39" t="s">
        <v>1848</v>
      </c>
      <c r="Z1244" s="39" t="s">
        <v>872</v>
      </c>
      <c r="AB1244" s="39">
        <v>4.0</v>
      </c>
    </row>
    <row r="1245">
      <c r="A1245" s="39" t="s">
        <v>1288</v>
      </c>
      <c r="B1245" s="39" t="s">
        <v>1289</v>
      </c>
      <c r="C1245" s="39">
        <v>6.0</v>
      </c>
      <c r="D1245" s="41">
        <v>44138.0</v>
      </c>
      <c r="E1245" s="39" t="s">
        <v>1059</v>
      </c>
      <c r="F1245" s="39" t="s">
        <v>1060</v>
      </c>
      <c r="G1245" s="39" t="s">
        <v>1050</v>
      </c>
      <c r="H1245" s="39">
        <v>1120.0</v>
      </c>
      <c r="N1245" s="39" t="s">
        <v>1051</v>
      </c>
      <c r="R1245" s="39" t="s">
        <v>832</v>
      </c>
      <c r="S1245" s="39" t="s">
        <v>1052</v>
      </c>
      <c r="T1245" s="39" t="s">
        <v>1053</v>
      </c>
      <c r="U1245" s="39" t="s">
        <v>1051</v>
      </c>
      <c r="X1245" s="39" t="s">
        <v>1886</v>
      </c>
      <c r="Y1245" s="39" t="s">
        <v>1131</v>
      </c>
      <c r="Z1245" s="39" t="s">
        <v>872</v>
      </c>
      <c r="AB1245" s="39">
        <v>6.0</v>
      </c>
    </row>
    <row r="1246">
      <c r="A1246" s="39" t="s">
        <v>1534</v>
      </c>
      <c r="B1246" s="39" t="s">
        <v>1535</v>
      </c>
      <c r="C1246" s="39">
        <v>0.5</v>
      </c>
      <c r="D1246" s="41">
        <v>44138.322916666664</v>
      </c>
      <c r="E1246" s="39" t="s">
        <v>1600</v>
      </c>
      <c r="F1246" s="39" t="s">
        <v>1601</v>
      </c>
      <c r="G1246" s="39" t="s">
        <v>830</v>
      </c>
      <c r="H1246" s="39">
        <v>1120.0</v>
      </c>
      <c r="N1246" s="39" t="s">
        <v>883</v>
      </c>
      <c r="R1246" s="39" t="s">
        <v>832</v>
      </c>
      <c r="S1246" s="39" t="s">
        <v>833</v>
      </c>
      <c r="T1246" s="39" t="s">
        <v>884</v>
      </c>
      <c r="U1246" s="39" t="s">
        <v>883</v>
      </c>
      <c r="W1246" s="39" t="s">
        <v>904</v>
      </c>
      <c r="X1246" s="39" t="s">
        <v>1887</v>
      </c>
      <c r="Z1246" s="39" t="s">
        <v>837</v>
      </c>
      <c r="AB1246" s="39">
        <v>0.5</v>
      </c>
      <c r="AC1246" s="39">
        <v>8.0</v>
      </c>
      <c r="AD1246" s="39">
        <v>0.0</v>
      </c>
    </row>
    <row r="1247">
      <c r="A1247" s="39" t="s">
        <v>1783</v>
      </c>
      <c r="B1247" s="39" t="s">
        <v>1784</v>
      </c>
      <c r="C1247" s="39">
        <v>1.0</v>
      </c>
      <c r="D1247" s="41">
        <v>44138.364583333336</v>
      </c>
      <c r="E1247" s="39" t="s">
        <v>828</v>
      </c>
      <c r="F1247" s="39" t="s">
        <v>829</v>
      </c>
      <c r="G1247" s="39" t="s">
        <v>830</v>
      </c>
      <c r="H1247" s="39">
        <v>1120.0</v>
      </c>
      <c r="N1247" s="39" t="s">
        <v>938</v>
      </c>
      <c r="R1247" s="39" t="s">
        <v>957</v>
      </c>
      <c r="S1247" s="39" t="s">
        <v>939</v>
      </c>
      <c r="T1247" s="39" t="s">
        <v>741</v>
      </c>
      <c r="U1247" s="39" t="s">
        <v>938</v>
      </c>
      <c r="X1247" s="39" t="s">
        <v>1673</v>
      </c>
      <c r="Y1247" s="39" t="s">
        <v>1112</v>
      </c>
      <c r="Z1247" s="39" t="s">
        <v>828</v>
      </c>
      <c r="AB1247" s="39">
        <v>1.0</v>
      </c>
    </row>
    <row r="1248">
      <c r="A1248" s="39" t="s">
        <v>1646</v>
      </c>
      <c r="B1248" s="39" t="s">
        <v>1647</v>
      </c>
      <c r="C1248" s="39">
        <v>1.5</v>
      </c>
      <c r="D1248" s="41">
        <v>44138.385416666664</v>
      </c>
      <c r="E1248" s="39" t="s">
        <v>1600</v>
      </c>
      <c r="F1248" s="39" t="s">
        <v>1601</v>
      </c>
      <c r="G1248" s="39" t="s">
        <v>830</v>
      </c>
      <c r="H1248" s="39">
        <v>1120.0</v>
      </c>
      <c r="N1248" s="39" t="s">
        <v>883</v>
      </c>
      <c r="R1248" s="39" t="s">
        <v>1021</v>
      </c>
      <c r="S1248" s="39" t="s">
        <v>833</v>
      </c>
      <c r="T1248" s="39" t="s">
        <v>884</v>
      </c>
      <c r="U1248" s="39" t="s">
        <v>883</v>
      </c>
      <c r="X1248" s="39" t="s">
        <v>1888</v>
      </c>
      <c r="Z1248" s="39" t="s">
        <v>1649</v>
      </c>
      <c r="AB1248" s="39">
        <v>1.5</v>
      </c>
    </row>
    <row r="1249">
      <c r="A1249" s="39" t="s">
        <v>1534</v>
      </c>
      <c r="B1249" s="39" t="s">
        <v>1535</v>
      </c>
      <c r="C1249" s="39">
        <v>0.25</v>
      </c>
      <c r="D1249" s="41">
        <v>44138.510416666664</v>
      </c>
      <c r="E1249" s="39" t="s">
        <v>828</v>
      </c>
      <c r="F1249" s="39" t="s">
        <v>829</v>
      </c>
      <c r="G1249" s="39" t="s">
        <v>830</v>
      </c>
      <c r="H1249" s="39">
        <v>1120.0</v>
      </c>
      <c r="N1249" s="39" t="s">
        <v>883</v>
      </c>
      <c r="R1249" s="39" t="s">
        <v>832</v>
      </c>
      <c r="S1249" s="39" t="s">
        <v>833</v>
      </c>
      <c r="T1249" s="39" t="s">
        <v>884</v>
      </c>
      <c r="U1249" s="39" t="s">
        <v>883</v>
      </c>
      <c r="W1249" s="39" t="s">
        <v>904</v>
      </c>
      <c r="X1249" s="39" t="s">
        <v>1536</v>
      </c>
      <c r="Z1249" s="39" t="s">
        <v>837</v>
      </c>
      <c r="AB1249" s="39">
        <v>0.25</v>
      </c>
      <c r="AC1249" s="39">
        <v>8.0</v>
      </c>
      <c r="AD1249" s="39">
        <v>0.0</v>
      </c>
    </row>
    <row r="1250">
      <c r="A1250" s="39" t="s">
        <v>1534</v>
      </c>
      <c r="B1250" s="39" t="s">
        <v>1535</v>
      </c>
      <c r="C1250" s="39">
        <v>0.25</v>
      </c>
      <c r="D1250" s="41">
        <v>44138.552083333336</v>
      </c>
      <c r="E1250" s="39" t="s">
        <v>828</v>
      </c>
      <c r="F1250" s="39" t="s">
        <v>829</v>
      </c>
      <c r="G1250" s="39" t="s">
        <v>830</v>
      </c>
      <c r="H1250" s="39">
        <v>1120.0</v>
      </c>
      <c r="N1250" s="39" t="s">
        <v>883</v>
      </c>
      <c r="R1250" s="39" t="s">
        <v>832</v>
      </c>
      <c r="S1250" s="39" t="s">
        <v>833</v>
      </c>
      <c r="T1250" s="39" t="s">
        <v>884</v>
      </c>
      <c r="U1250" s="39" t="s">
        <v>883</v>
      </c>
      <c r="W1250" s="39" t="s">
        <v>904</v>
      </c>
      <c r="X1250" s="39" t="s">
        <v>1536</v>
      </c>
      <c r="Z1250" s="39" t="s">
        <v>837</v>
      </c>
      <c r="AB1250" s="39">
        <v>0.25</v>
      </c>
      <c r="AC1250" s="39">
        <v>8.0</v>
      </c>
      <c r="AD1250" s="39">
        <v>0.0</v>
      </c>
    </row>
    <row r="1251">
      <c r="A1251" s="39" t="s">
        <v>1783</v>
      </c>
      <c r="B1251" s="39" t="s">
        <v>1784</v>
      </c>
      <c r="C1251" s="39">
        <v>0.75</v>
      </c>
      <c r="D1251" s="41">
        <v>44138.666666666664</v>
      </c>
      <c r="E1251" s="39" t="s">
        <v>828</v>
      </c>
      <c r="F1251" s="39" t="s">
        <v>829</v>
      </c>
      <c r="G1251" s="39" t="s">
        <v>830</v>
      </c>
      <c r="H1251" s="39">
        <v>1120.0</v>
      </c>
      <c r="N1251" s="39" t="s">
        <v>938</v>
      </c>
      <c r="R1251" s="39" t="s">
        <v>957</v>
      </c>
      <c r="S1251" s="39" t="s">
        <v>939</v>
      </c>
      <c r="T1251" s="39" t="s">
        <v>741</v>
      </c>
      <c r="U1251" s="39" t="s">
        <v>938</v>
      </c>
      <c r="X1251" s="39" t="s">
        <v>1785</v>
      </c>
      <c r="Y1251" s="39" t="s">
        <v>1112</v>
      </c>
      <c r="Z1251" s="39" t="s">
        <v>828</v>
      </c>
      <c r="AB1251" s="39">
        <v>0.75</v>
      </c>
    </row>
    <row r="1252">
      <c r="A1252" s="39" t="s">
        <v>1766</v>
      </c>
      <c r="B1252" s="39" t="s">
        <v>1767</v>
      </c>
      <c r="C1252" s="39">
        <v>0.75</v>
      </c>
      <c r="D1252" s="41">
        <v>44139.0</v>
      </c>
      <c r="E1252" s="39" t="s">
        <v>872</v>
      </c>
      <c r="F1252" s="39" t="s">
        <v>724</v>
      </c>
      <c r="G1252" s="39" t="s">
        <v>830</v>
      </c>
      <c r="H1252" s="39">
        <v>1120.0</v>
      </c>
      <c r="N1252" s="39" t="s">
        <v>1051</v>
      </c>
      <c r="R1252" s="39" t="s">
        <v>832</v>
      </c>
      <c r="S1252" s="39" t="s">
        <v>1052</v>
      </c>
      <c r="T1252" s="39" t="s">
        <v>1053</v>
      </c>
      <c r="U1252" s="39" t="s">
        <v>1051</v>
      </c>
      <c r="X1252" s="39" t="s">
        <v>1768</v>
      </c>
      <c r="Y1252" s="39" t="s">
        <v>1131</v>
      </c>
      <c r="Z1252" s="39" t="s">
        <v>872</v>
      </c>
      <c r="AB1252" s="39">
        <v>0.75</v>
      </c>
    </row>
    <row r="1253">
      <c r="A1253" s="39" t="s">
        <v>1188</v>
      </c>
      <c r="B1253" s="39" t="s">
        <v>1794</v>
      </c>
      <c r="C1253" s="39">
        <v>0.25</v>
      </c>
      <c r="D1253" s="41">
        <v>44139.0</v>
      </c>
      <c r="E1253" s="39" t="s">
        <v>872</v>
      </c>
      <c r="F1253" s="39" t="s">
        <v>724</v>
      </c>
      <c r="G1253" s="39" t="s">
        <v>830</v>
      </c>
      <c r="H1253" s="39">
        <v>1120.0</v>
      </c>
      <c r="N1253" s="39" t="s">
        <v>1185</v>
      </c>
      <c r="R1253" s="39" t="s">
        <v>72</v>
      </c>
      <c r="S1253" s="39" t="s">
        <v>889</v>
      </c>
      <c r="T1253" s="39" t="s">
        <v>1186</v>
      </c>
      <c r="U1253" s="39" t="s">
        <v>1185</v>
      </c>
      <c r="X1253" s="39" t="s">
        <v>1795</v>
      </c>
      <c r="Z1253" s="39" t="s">
        <v>872</v>
      </c>
      <c r="AB1253" s="39">
        <v>0.25</v>
      </c>
    </row>
    <row r="1254">
      <c r="A1254" s="39" t="s">
        <v>1288</v>
      </c>
      <c r="B1254" s="39" t="s">
        <v>1289</v>
      </c>
      <c r="C1254" s="39">
        <v>0.25</v>
      </c>
      <c r="D1254" s="41">
        <v>44139.0</v>
      </c>
      <c r="E1254" s="39" t="s">
        <v>872</v>
      </c>
      <c r="F1254" s="39" t="s">
        <v>724</v>
      </c>
      <c r="G1254" s="39" t="s">
        <v>830</v>
      </c>
      <c r="H1254" s="39">
        <v>1120.0</v>
      </c>
      <c r="N1254" s="39" t="s">
        <v>1051</v>
      </c>
      <c r="R1254" s="39" t="s">
        <v>832</v>
      </c>
      <c r="S1254" s="39" t="s">
        <v>1052</v>
      </c>
      <c r="T1254" s="39" t="s">
        <v>1053</v>
      </c>
      <c r="U1254" s="39" t="s">
        <v>1051</v>
      </c>
      <c r="X1254" s="39" t="s">
        <v>1778</v>
      </c>
      <c r="Y1254" s="39" t="s">
        <v>1131</v>
      </c>
      <c r="Z1254" s="39" t="s">
        <v>872</v>
      </c>
      <c r="AB1254" s="39">
        <v>0.25</v>
      </c>
    </row>
    <row r="1255">
      <c r="A1255" s="39" t="s">
        <v>1631</v>
      </c>
      <c r="B1255" s="39" t="s">
        <v>1632</v>
      </c>
      <c r="C1255" s="39">
        <v>0.25</v>
      </c>
      <c r="D1255" s="41">
        <v>44139.0</v>
      </c>
      <c r="E1255" s="39" t="s">
        <v>872</v>
      </c>
      <c r="F1255" s="39" t="s">
        <v>724</v>
      </c>
      <c r="G1255" s="39" t="s">
        <v>830</v>
      </c>
      <c r="H1255" s="39">
        <v>1120.0</v>
      </c>
      <c r="N1255" s="39" t="s">
        <v>1051</v>
      </c>
      <c r="R1255" s="39" t="s">
        <v>957</v>
      </c>
      <c r="S1255" s="39" t="s">
        <v>1052</v>
      </c>
      <c r="T1255" s="39" t="s">
        <v>1053</v>
      </c>
      <c r="U1255" s="39" t="s">
        <v>1051</v>
      </c>
      <c r="X1255" s="39" t="s">
        <v>1633</v>
      </c>
      <c r="Y1255" s="39" t="s">
        <v>1596</v>
      </c>
      <c r="Z1255" s="39" t="s">
        <v>872</v>
      </c>
      <c r="AB1255" s="39">
        <v>0.25</v>
      </c>
    </row>
    <row r="1256">
      <c r="A1256" s="39" t="s">
        <v>1889</v>
      </c>
      <c r="B1256" s="39" t="s">
        <v>1890</v>
      </c>
      <c r="C1256" s="39">
        <v>0.25</v>
      </c>
      <c r="D1256" s="41">
        <v>44139.0</v>
      </c>
      <c r="E1256" s="39" t="s">
        <v>872</v>
      </c>
      <c r="F1256" s="39" t="s">
        <v>724</v>
      </c>
      <c r="G1256" s="39" t="s">
        <v>830</v>
      </c>
      <c r="H1256" s="39">
        <v>1120.0</v>
      </c>
      <c r="N1256" s="39" t="s">
        <v>1051</v>
      </c>
      <c r="R1256" s="39" t="s">
        <v>957</v>
      </c>
      <c r="S1256" s="39" t="s">
        <v>1052</v>
      </c>
      <c r="T1256" s="39" t="s">
        <v>1053</v>
      </c>
      <c r="U1256" s="39" t="s">
        <v>1051</v>
      </c>
      <c r="X1256" s="39" t="s">
        <v>1891</v>
      </c>
      <c r="Y1256" s="39" t="s">
        <v>1596</v>
      </c>
      <c r="Z1256" s="39" t="s">
        <v>872</v>
      </c>
      <c r="AB1256" s="39">
        <v>0.25</v>
      </c>
    </row>
    <row r="1257">
      <c r="A1257" s="39" t="s">
        <v>1892</v>
      </c>
      <c r="B1257" s="39" t="s">
        <v>1893</v>
      </c>
      <c r="C1257" s="39">
        <v>0.25</v>
      </c>
      <c r="D1257" s="41">
        <v>44139.0</v>
      </c>
      <c r="E1257" s="39" t="s">
        <v>872</v>
      </c>
      <c r="F1257" s="39" t="s">
        <v>724</v>
      </c>
      <c r="G1257" s="39" t="s">
        <v>830</v>
      </c>
      <c r="H1257" s="39">
        <v>1120.0</v>
      </c>
      <c r="N1257" s="39" t="s">
        <v>1051</v>
      </c>
      <c r="R1257" s="39" t="s">
        <v>957</v>
      </c>
      <c r="S1257" s="39" t="s">
        <v>889</v>
      </c>
      <c r="T1257" s="39" t="s">
        <v>1053</v>
      </c>
      <c r="U1257" s="39" t="s">
        <v>1051</v>
      </c>
      <c r="X1257" s="39" t="s">
        <v>1894</v>
      </c>
      <c r="Y1257" s="39" t="s">
        <v>1694</v>
      </c>
      <c r="Z1257" s="39" t="s">
        <v>872</v>
      </c>
      <c r="AB1257" s="39">
        <v>0.25</v>
      </c>
    </row>
    <row r="1258">
      <c r="A1258" s="39" t="s">
        <v>1821</v>
      </c>
      <c r="B1258" s="39" t="s">
        <v>1822</v>
      </c>
      <c r="C1258" s="39">
        <v>0.25</v>
      </c>
      <c r="D1258" s="41">
        <v>44139.0</v>
      </c>
      <c r="E1258" s="39" t="s">
        <v>872</v>
      </c>
      <c r="F1258" s="39" t="s">
        <v>724</v>
      </c>
      <c r="G1258" s="39" t="s">
        <v>830</v>
      </c>
      <c r="H1258" s="39">
        <v>1120.0</v>
      </c>
      <c r="N1258" s="39" t="s">
        <v>938</v>
      </c>
      <c r="R1258" s="39" t="s">
        <v>832</v>
      </c>
      <c r="S1258" s="39" t="s">
        <v>889</v>
      </c>
      <c r="T1258" s="39" t="s">
        <v>741</v>
      </c>
      <c r="U1258" s="39" t="s">
        <v>938</v>
      </c>
      <c r="X1258" s="39" t="s">
        <v>1823</v>
      </c>
      <c r="Y1258" s="39" t="s">
        <v>1074</v>
      </c>
      <c r="Z1258" s="39" t="s">
        <v>872</v>
      </c>
      <c r="AB1258" s="39">
        <v>0.25</v>
      </c>
      <c r="AD1258" s="39">
        <v>0.0</v>
      </c>
    </row>
    <row r="1259">
      <c r="A1259" s="39" t="s">
        <v>1895</v>
      </c>
      <c r="B1259" s="39" t="s">
        <v>1896</v>
      </c>
      <c r="C1259" s="39">
        <v>0.5</v>
      </c>
      <c r="D1259" s="41">
        <v>44139.0</v>
      </c>
      <c r="E1259" s="39" t="s">
        <v>872</v>
      </c>
      <c r="F1259" s="39" t="s">
        <v>724</v>
      </c>
      <c r="G1259" s="39" t="s">
        <v>830</v>
      </c>
      <c r="H1259" s="39">
        <v>1120.0</v>
      </c>
      <c r="N1259" s="39" t="s">
        <v>1051</v>
      </c>
      <c r="R1259" s="39" t="s">
        <v>832</v>
      </c>
      <c r="S1259" s="39" t="s">
        <v>889</v>
      </c>
      <c r="T1259" s="39" t="s">
        <v>1053</v>
      </c>
      <c r="U1259" s="39" t="s">
        <v>1051</v>
      </c>
      <c r="X1259" s="39" t="s">
        <v>1897</v>
      </c>
      <c r="Y1259" s="39" t="s">
        <v>1131</v>
      </c>
      <c r="Z1259" s="39" t="s">
        <v>872</v>
      </c>
      <c r="AB1259" s="39">
        <v>0.5</v>
      </c>
    </row>
    <row r="1260">
      <c r="A1260" s="39" t="s">
        <v>1838</v>
      </c>
      <c r="B1260" s="39" t="s">
        <v>1839</v>
      </c>
      <c r="C1260" s="39">
        <v>0.5</v>
      </c>
      <c r="D1260" s="41">
        <v>44139.0</v>
      </c>
      <c r="E1260" s="39" t="s">
        <v>872</v>
      </c>
      <c r="F1260" s="39" t="s">
        <v>724</v>
      </c>
      <c r="G1260" s="39" t="s">
        <v>830</v>
      </c>
      <c r="H1260" s="39">
        <v>1120.0</v>
      </c>
      <c r="N1260" s="39" t="s">
        <v>1051</v>
      </c>
      <c r="R1260" s="39" t="s">
        <v>832</v>
      </c>
      <c r="S1260" s="39" t="s">
        <v>1052</v>
      </c>
      <c r="T1260" s="39" t="s">
        <v>1053</v>
      </c>
      <c r="U1260" s="39" t="s">
        <v>1051</v>
      </c>
      <c r="X1260" s="39" t="s">
        <v>1840</v>
      </c>
      <c r="Y1260" s="39" t="s">
        <v>1131</v>
      </c>
      <c r="Z1260" s="39" t="s">
        <v>872</v>
      </c>
      <c r="AB1260" s="39">
        <v>0.5</v>
      </c>
    </row>
    <row r="1261">
      <c r="A1261" s="39" t="s">
        <v>1827</v>
      </c>
      <c r="B1261" s="39" t="s">
        <v>1828</v>
      </c>
      <c r="C1261" s="39">
        <v>1.0</v>
      </c>
      <c r="D1261" s="41">
        <v>44139.0</v>
      </c>
      <c r="E1261" s="39" t="s">
        <v>872</v>
      </c>
      <c r="F1261" s="39" t="s">
        <v>724</v>
      </c>
      <c r="G1261" s="39" t="s">
        <v>830</v>
      </c>
      <c r="H1261" s="39">
        <v>1120.0</v>
      </c>
      <c r="N1261" s="39" t="s">
        <v>1051</v>
      </c>
      <c r="R1261" s="39" t="s">
        <v>72</v>
      </c>
      <c r="S1261" s="39" t="s">
        <v>889</v>
      </c>
      <c r="T1261" s="39" t="s">
        <v>1053</v>
      </c>
      <c r="U1261" s="39" t="s">
        <v>1051</v>
      </c>
      <c r="X1261" s="39" t="s">
        <v>1829</v>
      </c>
      <c r="Z1261" s="39" t="s">
        <v>872</v>
      </c>
      <c r="AB1261" s="39">
        <v>1.0</v>
      </c>
    </row>
    <row r="1262">
      <c r="A1262" s="39" t="s">
        <v>1845</v>
      </c>
      <c r="B1262" s="39" t="s">
        <v>1846</v>
      </c>
      <c r="C1262" s="39">
        <v>1.0</v>
      </c>
      <c r="D1262" s="41">
        <v>44139.0</v>
      </c>
      <c r="E1262" s="39" t="s">
        <v>1048</v>
      </c>
      <c r="F1262" s="39" t="s">
        <v>1049</v>
      </c>
      <c r="G1262" s="39" t="s">
        <v>1050</v>
      </c>
      <c r="H1262" s="39">
        <v>1120.0</v>
      </c>
      <c r="N1262" s="39" t="s">
        <v>1051</v>
      </c>
      <c r="R1262" s="39" t="s">
        <v>957</v>
      </c>
      <c r="S1262" s="39" t="s">
        <v>1274</v>
      </c>
      <c r="T1262" s="39" t="s">
        <v>1053</v>
      </c>
      <c r="U1262" s="39" t="s">
        <v>1051</v>
      </c>
      <c r="X1262" s="39" t="s">
        <v>1898</v>
      </c>
      <c r="Y1262" s="39" t="s">
        <v>1848</v>
      </c>
      <c r="Z1262" s="39" t="s">
        <v>872</v>
      </c>
      <c r="AB1262" s="39">
        <v>1.0</v>
      </c>
    </row>
    <row r="1263">
      <c r="A1263" s="39" t="s">
        <v>1845</v>
      </c>
      <c r="B1263" s="39" t="s">
        <v>1846</v>
      </c>
      <c r="C1263" s="39">
        <v>5.0</v>
      </c>
      <c r="D1263" s="41">
        <v>44139.0</v>
      </c>
      <c r="E1263" s="39" t="s">
        <v>1048</v>
      </c>
      <c r="F1263" s="39" t="s">
        <v>1049</v>
      </c>
      <c r="G1263" s="39" t="s">
        <v>1050</v>
      </c>
      <c r="H1263" s="39">
        <v>1120.0</v>
      </c>
      <c r="N1263" s="39" t="s">
        <v>1051</v>
      </c>
      <c r="R1263" s="39" t="s">
        <v>957</v>
      </c>
      <c r="S1263" s="39" t="s">
        <v>1274</v>
      </c>
      <c r="T1263" s="39" t="s">
        <v>1053</v>
      </c>
      <c r="U1263" s="39" t="s">
        <v>1051</v>
      </c>
      <c r="X1263" s="39" t="s">
        <v>1899</v>
      </c>
      <c r="Y1263" s="39" t="s">
        <v>1848</v>
      </c>
      <c r="Z1263" s="39" t="s">
        <v>872</v>
      </c>
      <c r="AB1263" s="39">
        <v>5.0</v>
      </c>
    </row>
    <row r="1264">
      <c r="A1264" s="39" t="s">
        <v>1845</v>
      </c>
      <c r="B1264" s="39" t="s">
        <v>1846</v>
      </c>
      <c r="C1264" s="39">
        <v>1.0</v>
      </c>
      <c r="D1264" s="41">
        <v>44139.0</v>
      </c>
      <c r="E1264" s="39" t="s">
        <v>1048</v>
      </c>
      <c r="F1264" s="39" t="s">
        <v>1049</v>
      </c>
      <c r="G1264" s="39" t="s">
        <v>1050</v>
      </c>
      <c r="H1264" s="39">
        <v>1120.0</v>
      </c>
      <c r="N1264" s="39" t="s">
        <v>1051</v>
      </c>
      <c r="R1264" s="39" t="s">
        <v>957</v>
      </c>
      <c r="S1264" s="39" t="s">
        <v>1274</v>
      </c>
      <c r="T1264" s="39" t="s">
        <v>1053</v>
      </c>
      <c r="U1264" s="39" t="s">
        <v>1051</v>
      </c>
      <c r="X1264" s="39" t="s">
        <v>1900</v>
      </c>
      <c r="Y1264" s="39" t="s">
        <v>1848</v>
      </c>
      <c r="Z1264" s="39" t="s">
        <v>872</v>
      </c>
      <c r="AB1264" s="39">
        <v>1.0</v>
      </c>
    </row>
    <row r="1265">
      <c r="A1265" s="39" t="s">
        <v>1763</v>
      </c>
      <c r="B1265" s="39" t="s">
        <v>1764</v>
      </c>
      <c r="C1265" s="39">
        <v>2.0</v>
      </c>
      <c r="D1265" s="41">
        <v>44139.0</v>
      </c>
      <c r="E1265" s="39" t="s">
        <v>1059</v>
      </c>
      <c r="F1265" s="39" t="s">
        <v>1060</v>
      </c>
      <c r="G1265" s="39" t="s">
        <v>1050</v>
      </c>
      <c r="H1265" s="39">
        <v>1120.0</v>
      </c>
      <c r="N1265" s="39" t="s">
        <v>1051</v>
      </c>
      <c r="R1265" s="39" t="s">
        <v>957</v>
      </c>
      <c r="S1265" s="39" t="s">
        <v>1052</v>
      </c>
      <c r="T1265" s="39" t="s">
        <v>1053</v>
      </c>
      <c r="U1265" s="39" t="s">
        <v>1051</v>
      </c>
      <c r="X1265" s="39" t="s">
        <v>1765</v>
      </c>
      <c r="Y1265" s="39" t="s">
        <v>1694</v>
      </c>
      <c r="Z1265" s="39" t="s">
        <v>872</v>
      </c>
      <c r="AB1265" s="39">
        <v>2.0</v>
      </c>
    </row>
    <row r="1266">
      <c r="A1266" s="39" t="s">
        <v>1876</v>
      </c>
      <c r="B1266" s="39" t="s">
        <v>1877</v>
      </c>
      <c r="C1266" s="39">
        <v>1.0</v>
      </c>
      <c r="D1266" s="41">
        <v>44139.0</v>
      </c>
      <c r="E1266" s="39" t="s">
        <v>1059</v>
      </c>
      <c r="F1266" s="39" t="s">
        <v>1060</v>
      </c>
      <c r="G1266" s="39" t="s">
        <v>1050</v>
      </c>
      <c r="H1266" s="39">
        <v>1120.0</v>
      </c>
      <c r="N1266" s="39" t="s">
        <v>1051</v>
      </c>
      <c r="R1266" s="39" t="s">
        <v>957</v>
      </c>
      <c r="S1266" s="39" t="s">
        <v>1052</v>
      </c>
      <c r="T1266" s="39" t="s">
        <v>1053</v>
      </c>
      <c r="U1266" s="39" t="s">
        <v>1051</v>
      </c>
      <c r="X1266" s="39" t="s">
        <v>1901</v>
      </c>
      <c r="Y1266" s="39" t="s">
        <v>1288</v>
      </c>
      <c r="Z1266" s="39" t="s">
        <v>872</v>
      </c>
      <c r="AB1266" s="39">
        <v>1.0</v>
      </c>
    </row>
    <row r="1267">
      <c r="A1267" s="39" t="s">
        <v>1892</v>
      </c>
      <c r="B1267" s="39" t="s">
        <v>1893</v>
      </c>
      <c r="C1267" s="39">
        <v>4.0</v>
      </c>
      <c r="D1267" s="41">
        <v>44139.0</v>
      </c>
      <c r="E1267" s="39" t="s">
        <v>1059</v>
      </c>
      <c r="F1267" s="39" t="s">
        <v>1060</v>
      </c>
      <c r="G1267" s="39" t="s">
        <v>1050</v>
      </c>
      <c r="H1267" s="39">
        <v>1120.0</v>
      </c>
      <c r="N1267" s="39" t="s">
        <v>1051</v>
      </c>
      <c r="R1267" s="39" t="s">
        <v>957</v>
      </c>
      <c r="S1267" s="39" t="s">
        <v>889</v>
      </c>
      <c r="T1267" s="39" t="s">
        <v>1053</v>
      </c>
      <c r="U1267" s="39" t="s">
        <v>1051</v>
      </c>
      <c r="X1267" s="39" t="s">
        <v>1902</v>
      </c>
      <c r="Y1267" s="39" t="s">
        <v>1694</v>
      </c>
      <c r="Z1267" s="39" t="s">
        <v>872</v>
      </c>
      <c r="AB1267" s="39">
        <v>4.0</v>
      </c>
    </row>
    <row r="1268">
      <c r="A1268" s="39" t="s">
        <v>1821</v>
      </c>
      <c r="B1268" s="39" t="s">
        <v>1822</v>
      </c>
      <c r="C1268" s="39">
        <v>1.0</v>
      </c>
      <c r="D1268" s="41">
        <v>44139.663194444445</v>
      </c>
      <c r="E1268" s="39" t="s">
        <v>1153</v>
      </c>
      <c r="F1268" s="39" t="s">
        <v>1154</v>
      </c>
      <c r="G1268" s="39" t="s">
        <v>830</v>
      </c>
      <c r="H1268" s="39">
        <v>1120.0</v>
      </c>
      <c r="N1268" s="39" t="s">
        <v>938</v>
      </c>
      <c r="R1268" s="39" t="s">
        <v>832</v>
      </c>
      <c r="S1268" s="39" t="s">
        <v>889</v>
      </c>
      <c r="T1268" s="39" t="s">
        <v>741</v>
      </c>
      <c r="U1268" s="39" t="s">
        <v>938</v>
      </c>
      <c r="X1268" s="39" t="s">
        <v>1823</v>
      </c>
      <c r="Y1268" s="39" t="s">
        <v>1074</v>
      </c>
      <c r="Z1268" s="39" t="s">
        <v>872</v>
      </c>
      <c r="AB1268" s="39">
        <v>1.0</v>
      </c>
      <c r="AD1268" s="39">
        <v>0.0</v>
      </c>
    </row>
    <row r="1269">
      <c r="A1269" s="39" t="s">
        <v>1534</v>
      </c>
      <c r="B1269" s="39" t="s">
        <v>1535</v>
      </c>
      <c r="C1269" s="39">
        <v>0.25</v>
      </c>
      <c r="D1269" s="41">
        <v>44139.708333333336</v>
      </c>
      <c r="E1269" s="39" t="s">
        <v>837</v>
      </c>
      <c r="F1269" s="39" t="s">
        <v>886</v>
      </c>
      <c r="G1269" s="39" t="s">
        <v>849</v>
      </c>
      <c r="H1269" s="39">
        <v>1120.0</v>
      </c>
      <c r="N1269" s="39" t="s">
        <v>883</v>
      </c>
      <c r="R1269" s="39" t="s">
        <v>832</v>
      </c>
      <c r="S1269" s="39" t="s">
        <v>833</v>
      </c>
      <c r="T1269" s="39" t="s">
        <v>884</v>
      </c>
      <c r="U1269" s="39" t="s">
        <v>883</v>
      </c>
      <c r="W1269" s="39" t="s">
        <v>904</v>
      </c>
      <c r="X1269" s="39" t="s">
        <v>1536</v>
      </c>
      <c r="Z1269" s="39" t="s">
        <v>837</v>
      </c>
      <c r="AB1269" s="39">
        <v>0.25</v>
      </c>
      <c r="AC1269" s="39">
        <v>8.0</v>
      </c>
      <c r="AD1269" s="39">
        <v>0.0</v>
      </c>
    </row>
    <row r="1270">
      <c r="A1270" s="39" t="s">
        <v>1821</v>
      </c>
      <c r="B1270" s="39" t="s">
        <v>1822</v>
      </c>
      <c r="C1270" s="39">
        <v>0.25</v>
      </c>
      <c r="D1270" s="41">
        <v>44139.71875</v>
      </c>
      <c r="E1270" s="39" t="s">
        <v>1153</v>
      </c>
      <c r="F1270" s="39" t="s">
        <v>1154</v>
      </c>
      <c r="G1270" s="39" t="s">
        <v>830</v>
      </c>
      <c r="H1270" s="39">
        <v>1120.0</v>
      </c>
      <c r="N1270" s="39" t="s">
        <v>938</v>
      </c>
      <c r="R1270" s="39" t="s">
        <v>832</v>
      </c>
      <c r="S1270" s="39" t="s">
        <v>889</v>
      </c>
      <c r="T1270" s="39" t="s">
        <v>741</v>
      </c>
      <c r="U1270" s="39" t="s">
        <v>938</v>
      </c>
      <c r="X1270" s="39" t="s">
        <v>1823</v>
      </c>
      <c r="Y1270" s="39" t="s">
        <v>1074</v>
      </c>
      <c r="Z1270" s="39" t="s">
        <v>872</v>
      </c>
      <c r="AB1270" s="39">
        <v>0.25</v>
      </c>
      <c r="AD1270" s="39">
        <v>0.0</v>
      </c>
    </row>
    <row r="1271">
      <c r="A1271" s="39" t="s">
        <v>1821</v>
      </c>
      <c r="B1271" s="39" t="s">
        <v>1822</v>
      </c>
      <c r="C1271" s="39">
        <v>1.0</v>
      </c>
      <c r="D1271" s="41">
        <v>44139.760416666664</v>
      </c>
      <c r="E1271" s="39" t="s">
        <v>1153</v>
      </c>
      <c r="F1271" s="39" t="s">
        <v>1154</v>
      </c>
      <c r="G1271" s="39" t="s">
        <v>830</v>
      </c>
      <c r="H1271" s="39">
        <v>1120.0</v>
      </c>
      <c r="N1271" s="39" t="s">
        <v>938</v>
      </c>
      <c r="R1271" s="39" t="s">
        <v>832</v>
      </c>
      <c r="S1271" s="39" t="s">
        <v>889</v>
      </c>
      <c r="T1271" s="39" t="s">
        <v>741</v>
      </c>
      <c r="U1271" s="39" t="s">
        <v>938</v>
      </c>
      <c r="X1271" s="39" t="s">
        <v>1823</v>
      </c>
      <c r="Y1271" s="39" t="s">
        <v>1074</v>
      </c>
      <c r="Z1271" s="39" t="s">
        <v>872</v>
      </c>
      <c r="AB1271" s="39">
        <v>1.0</v>
      </c>
      <c r="AD1271" s="39">
        <v>0.0</v>
      </c>
    </row>
    <row r="1272">
      <c r="A1272" s="39" t="s">
        <v>1903</v>
      </c>
      <c r="B1272" s="39" t="s">
        <v>1904</v>
      </c>
      <c r="C1272" s="39">
        <v>0.25</v>
      </c>
      <c r="D1272" s="41">
        <v>44140.0</v>
      </c>
      <c r="E1272" s="39" t="s">
        <v>872</v>
      </c>
      <c r="F1272" s="39" t="s">
        <v>724</v>
      </c>
      <c r="G1272" s="39" t="s">
        <v>830</v>
      </c>
      <c r="H1272" s="39">
        <v>1120.0</v>
      </c>
      <c r="N1272" s="39" t="s">
        <v>1051</v>
      </c>
      <c r="R1272" s="39" t="s">
        <v>957</v>
      </c>
      <c r="S1272" s="39" t="s">
        <v>1052</v>
      </c>
      <c r="T1272" s="39" t="s">
        <v>1053</v>
      </c>
      <c r="U1272" s="39" t="s">
        <v>1051</v>
      </c>
      <c r="X1272" s="39" t="s">
        <v>1905</v>
      </c>
      <c r="Y1272" s="39" t="s">
        <v>1578</v>
      </c>
      <c r="Z1272" s="39" t="s">
        <v>872</v>
      </c>
      <c r="AB1272" s="39">
        <v>0.25</v>
      </c>
    </row>
    <row r="1273">
      <c r="A1273" s="39" t="s">
        <v>1906</v>
      </c>
      <c r="B1273" s="39" t="s">
        <v>1907</v>
      </c>
      <c r="C1273" s="39">
        <v>0.5</v>
      </c>
      <c r="D1273" s="41">
        <v>44140.0</v>
      </c>
      <c r="E1273" s="39" t="s">
        <v>872</v>
      </c>
      <c r="F1273" s="39" t="s">
        <v>724</v>
      </c>
      <c r="G1273" s="39" t="s">
        <v>830</v>
      </c>
      <c r="H1273" s="39">
        <v>1120.0</v>
      </c>
      <c r="N1273" s="39" t="s">
        <v>1051</v>
      </c>
      <c r="R1273" s="39" t="s">
        <v>957</v>
      </c>
      <c r="S1273" s="39" t="s">
        <v>1052</v>
      </c>
      <c r="T1273" s="39" t="s">
        <v>1053</v>
      </c>
      <c r="U1273" s="39" t="s">
        <v>1051</v>
      </c>
      <c r="X1273" s="39" t="s">
        <v>1908</v>
      </c>
      <c r="Y1273" s="39" t="s">
        <v>1596</v>
      </c>
      <c r="Z1273" s="39" t="s">
        <v>872</v>
      </c>
      <c r="AB1273" s="39">
        <v>0.5</v>
      </c>
    </row>
    <row r="1274">
      <c r="A1274" s="39" t="s">
        <v>1876</v>
      </c>
      <c r="B1274" s="39" t="s">
        <v>1877</v>
      </c>
      <c r="C1274" s="39">
        <v>0.5</v>
      </c>
      <c r="D1274" s="41">
        <v>44140.0</v>
      </c>
      <c r="E1274" s="39" t="s">
        <v>872</v>
      </c>
      <c r="F1274" s="39" t="s">
        <v>724</v>
      </c>
      <c r="G1274" s="39" t="s">
        <v>830</v>
      </c>
      <c r="H1274" s="39">
        <v>1120.0</v>
      </c>
      <c r="N1274" s="39" t="s">
        <v>1051</v>
      </c>
      <c r="R1274" s="39" t="s">
        <v>957</v>
      </c>
      <c r="S1274" s="39" t="s">
        <v>1052</v>
      </c>
      <c r="T1274" s="39" t="s">
        <v>1053</v>
      </c>
      <c r="U1274" s="39" t="s">
        <v>1051</v>
      </c>
      <c r="X1274" s="39" t="s">
        <v>1878</v>
      </c>
      <c r="Y1274" s="39" t="s">
        <v>1288</v>
      </c>
      <c r="Z1274" s="39" t="s">
        <v>872</v>
      </c>
      <c r="AB1274" s="39">
        <v>0.5</v>
      </c>
    </row>
    <row r="1275">
      <c r="A1275" s="39" t="s">
        <v>1909</v>
      </c>
      <c r="B1275" s="39" t="s">
        <v>1910</v>
      </c>
      <c r="C1275" s="39">
        <v>7.0</v>
      </c>
      <c r="D1275" s="41">
        <v>44140.0</v>
      </c>
      <c r="E1275" s="39" t="s">
        <v>1048</v>
      </c>
      <c r="F1275" s="39" t="s">
        <v>1049</v>
      </c>
      <c r="G1275" s="39" t="s">
        <v>1050</v>
      </c>
      <c r="H1275" s="39">
        <v>1120.0</v>
      </c>
      <c r="N1275" s="39" t="s">
        <v>1051</v>
      </c>
      <c r="R1275" s="39" t="s">
        <v>957</v>
      </c>
      <c r="S1275" s="39" t="s">
        <v>889</v>
      </c>
      <c r="T1275" s="39" t="s">
        <v>1053</v>
      </c>
      <c r="U1275" s="39" t="s">
        <v>1051</v>
      </c>
      <c r="X1275" s="39" t="s">
        <v>1911</v>
      </c>
      <c r="Y1275" s="39" t="s">
        <v>1848</v>
      </c>
      <c r="Z1275" s="39" t="s">
        <v>1048</v>
      </c>
      <c r="AB1275" s="39">
        <v>7.0</v>
      </c>
    </row>
    <row r="1276">
      <c r="A1276" s="39" t="s">
        <v>1895</v>
      </c>
      <c r="B1276" s="39" t="s">
        <v>1896</v>
      </c>
      <c r="C1276" s="39">
        <v>2.0</v>
      </c>
      <c r="D1276" s="41">
        <v>44140.0</v>
      </c>
      <c r="E1276" s="39" t="s">
        <v>1059</v>
      </c>
      <c r="F1276" s="39" t="s">
        <v>1060</v>
      </c>
      <c r="G1276" s="39" t="s">
        <v>1050</v>
      </c>
      <c r="H1276" s="39">
        <v>1120.0</v>
      </c>
      <c r="N1276" s="39" t="s">
        <v>1051</v>
      </c>
      <c r="R1276" s="39" t="s">
        <v>832</v>
      </c>
      <c r="S1276" s="39" t="s">
        <v>889</v>
      </c>
      <c r="T1276" s="39" t="s">
        <v>1053</v>
      </c>
      <c r="U1276" s="39" t="s">
        <v>1051</v>
      </c>
      <c r="X1276" s="39" t="s">
        <v>1912</v>
      </c>
      <c r="Y1276" s="39" t="s">
        <v>1131</v>
      </c>
      <c r="Z1276" s="39" t="s">
        <v>872</v>
      </c>
      <c r="AB1276" s="39">
        <v>2.0</v>
      </c>
    </row>
    <row r="1277">
      <c r="A1277" s="39" t="s">
        <v>1892</v>
      </c>
      <c r="B1277" s="39" t="s">
        <v>1893</v>
      </c>
      <c r="C1277" s="39">
        <v>3.0</v>
      </c>
      <c r="D1277" s="41">
        <v>44140.0</v>
      </c>
      <c r="E1277" s="39" t="s">
        <v>1059</v>
      </c>
      <c r="F1277" s="39" t="s">
        <v>1060</v>
      </c>
      <c r="G1277" s="39" t="s">
        <v>1050</v>
      </c>
      <c r="H1277" s="39">
        <v>1120.0</v>
      </c>
      <c r="N1277" s="39" t="s">
        <v>1051</v>
      </c>
      <c r="R1277" s="39" t="s">
        <v>957</v>
      </c>
      <c r="S1277" s="39" t="s">
        <v>889</v>
      </c>
      <c r="T1277" s="39" t="s">
        <v>1053</v>
      </c>
      <c r="U1277" s="39" t="s">
        <v>1051</v>
      </c>
      <c r="X1277" s="39" t="s">
        <v>1913</v>
      </c>
      <c r="Y1277" s="39" t="s">
        <v>1694</v>
      </c>
      <c r="Z1277" s="39" t="s">
        <v>872</v>
      </c>
      <c r="AB1277" s="39">
        <v>3.0</v>
      </c>
    </row>
    <row r="1278">
      <c r="A1278" s="39" t="s">
        <v>1821</v>
      </c>
      <c r="B1278" s="39" t="s">
        <v>1822</v>
      </c>
      <c r="C1278" s="39">
        <v>0.5</v>
      </c>
      <c r="D1278" s="41">
        <v>44140.364583333336</v>
      </c>
      <c r="E1278" s="39" t="s">
        <v>828</v>
      </c>
      <c r="F1278" s="39" t="s">
        <v>829</v>
      </c>
      <c r="G1278" s="39" t="s">
        <v>830</v>
      </c>
      <c r="H1278" s="39">
        <v>1120.0</v>
      </c>
      <c r="N1278" s="39" t="s">
        <v>938</v>
      </c>
      <c r="R1278" s="39" t="s">
        <v>832</v>
      </c>
      <c r="S1278" s="39" t="s">
        <v>889</v>
      </c>
      <c r="T1278" s="39" t="s">
        <v>741</v>
      </c>
      <c r="U1278" s="39" t="s">
        <v>938</v>
      </c>
      <c r="X1278" s="39" t="s">
        <v>1823</v>
      </c>
      <c r="Y1278" s="39" t="s">
        <v>1074</v>
      </c>
      <c r="Z1278" s="39" t="s">
        <v>872</v>
      </c>
      <c r="AB1278" s="39">
        <v>0.5</v>
      </c>
      <c r="AD1278" s="39">
        <v>0.0</v>
      </c>
    </row>
    <row r="1279">
      <c r="A1279" s="39" t="s">
        <v>1646</v>
      </c>
      <c r="B1279" s="39" t="s">
        <v>1647</v>
      </c>
      <c r="C1279" s="39">
        <v>0.75</v>
      </c>
      <c r="D1279" s="41">
        <v>44140.395833333336</v>
      </c>
      <c r="E1279" s="39" t="s">
        <v>1600</v>
      </c>
      <c r="F1279" s="39" t="s">
        <v>1601</v>
      </c>
      <c r="G1279" s="39" t="s">
        <v>830</v>
      </c>
      <c r="H1279" s="39">
        <v>1120.0</v>
      </c>
      <c r="N1279" s="39" t="s">
        <v>883</v>
      </c>
      <c r="R1279" s="39" t="s">
        <v>1021</v>
      </c>
      <c r="S1279" s="39" t="s">
        <v>833</v>
      </c>
      <c r="T1279" s="39" t="s">
        <v>884</v>
      </c>
      <c r="U1279" s="39" t="s">
        <v>883</v>
      </c>
      <c r="X1279" s="39" t="s">
        <v>1914</v>
      </c>
      <c r="Z1279" s="39" t="s">
        <v>1649</v>
      </c>
      <c r="AB1279" s="39">
        <v>0.75</v>
      </c>
    </row>
    <row r="1280">
      <c r="A1280" s="39" t="s">
        <v>1821</v>
      </c>
      <c r="B1280" s="39" t="s">
        <v>1822</v>
      </c>
      <c r="C1280" s="39">
        <v>0.25</v>
      </c>
      <c r="D1280" s="41">
        <v>44140.5625</v>
      </c>
      <c r="E1280" s="39" t="s">
        <v>828</v>
      </c>
      <c r="F1280" s="39" t="s">
        <v>829</v>
      </c>
      <c r="G1280" s="39" t="s">
        <v>830</v>
      </c>
      <c r="H1280" s="39">
        <v>1120.0</v>
      </c>
      <c r="N1280" s="39" t="s">
        <v>938</v>
      </c>
      <c r="R1280" s="39" t="s">
        <v>832</v>
      </c>
      <c r="S1280" s="39" t="s">
        <v>889</v>
      </c>
      <c r="T1280" s="39" t="s">
        <v>741</v>
      </c>
      <c r="U1280" s="39" t="s">
        <v>938</v>
      </c>
      <c r="X1280" s="39" t="s">
        <v>1823</v>
      </c>
      <c r="Y1280" s="39" t="s">
        <v>1074</v>
      </c>
      <c r="Z1280" s="39" t="s">
        <v>872</v>
      </c>
      <c r="AB1280" s="39">
        <v>0.25</v>
      </c>
      <c r="AD1280" s="39">
        <v>0.0</v>
      </c>
    </row>
    <row r="1281">
      <c r="A1281" s="39" t="s">
        <v>1534</v>
      </c>
      <c r="B1281" s="39" t="s">
        <v>1535</v>
      </c>
      <c r="C1281" s="39">
        <v>0.25</v>
      </c>
      <c r="D1281" s="41">
        <v>44140.572916666664</v>
      </c>
      <c r="E1281" s="39" t="s">
        <v>1600</v>
      </c>
      <c r="F1281" s="39" t="s">
        <v>1601</v>
      </c>
      <c r="G1281" s="39" t="s">
        <v>830</v>
      </c>
      <c r="H1281" s="39">
        <v>1120.0</v>
      </c>
      <c r="N1281" s="39" t="s">
        <v>883</v>
      </c>
      <c r="R1281" s="39" t="s">
        <v>832</v>
      </c>
      <c r="S1281" s="39" t="s">
        <v>833</v>
      </c>
      <c r="T1281" s="39" t="s">
        <v>884</v>
      </c>
      <c r="U1281" s="39" t="s">
        <v>883</v>
      </c>
      <c r="W1281" s="39" t="s">
        <v>904</v>
      </c>
      <c r="X1281" s="39" t="s">
        <v>1915</v>
      </c>
      <c r="Z1281" s="39" t="s">
        <v>837</v>
      </c>
      <c r="AB1281" s="39">
        <v>0.25</v>
      </c>
      <c r="AC1281" s="39">
        <v>8.0</v>
      </c>
      <c r="AD1281" s="39">
        <v>0.0</v>
      </c>
    </row>
    <row r="1282">
      <c r="A1282" s="39" t="s">
        <v>1646</v>
      </c>
      <c r="B1282" s="39" t="s">
        <v>1647</v>
      </c>
      <c r="C1282" s="39">
        <v>1.25</v>
      </c>
      <c r="D1282" s="41">
        <v>44140.59375</v>
      </c>
      <c r="E1282" s="39" t="s">
        <v>1600</v>
      </c>
      <c r="F1282" s="39" t="s">
        <v>1601</v>
      </c>
      <c r="G1282" s="39" t="s">
        <v>830</v>
      </c>
      <c r="H1282" s="39">
        <v>1120.0</v>
      </c>
      <c r="N1282" s="39" t="s">
        <v>883</v>
      </c>
      <c r="R1282" s="39" t="s">
        <v>1021</v>
      </c>
      <c r="S1282" s="39" t="s">
        <v>833</v>
      </c>
      <c r="T1282" s="39" t="s">
        <v>884</v>
      </c>
      <c r="U1282" s="39" t="s">
        <v>883</v>
      </c>
      <c r="X1282" s="39" t="s">
        <v>1916</v>
      </c>
      <c r="Z1282" s="39" t="s">
        <v>1649</v>
      </c>
      <c r="AB1282" s="39">
        <v>1.25</v>
      </c>
    </row>
    <row r="1283">
      <c r="A1283" s="39" t="s">
        <v>1917</v>
      </c>
      <c r="B1283" s="39" t="s">
        <v>1918</v>
      </c>
      <c r="C1283" s="39">
        <v>0.5</v>
      </c>
      <c r="D1283" s="41">
        <v>44141.0</v>
      </c>
      <c r="E1283" s="39" t="s">
        <v>872</v>
      </c>
      <c r="F1283" s="39" t="s">
        <v>724</v>
      </c>
      <c r="G1283" s="39" t="s">
        <v>830</v>
      </c>
      <c r="H1283" s="39">
        <v>1120.0</v>
      </c>
      <c r="N1283" s="39" t="s">
        <v>1051</v>
      </c>
      <c r="R1283" s="39" t="s">
        <v>957</v>
      </c>
      <c r="S1283" s="39" t="s">
        <v>1052</v>
      </c>
      <c r="T1283" s="39" t="s">
        <v>1053</v>
      </c>
      <c r="U1283" s="39" t="s">
        <v>1051</v>
      </c>
      <c r="X1283" s="39" t="s">
        <v>1919</v>
      </c>
      <c r="Y1283" s="39" t="s">
        <v>1578</v>
      </c>
      <c r="Z1283" s="39" t="s">
        <v>872</v>
      </c>
      <c r="AB1283" s="39">
        <v>0.5</v>
      </c>
    </row>
    <row r="1284">
      <c r="A1284" s="39" t="s">
        <v>1920</v>
      </c>
      <c r="B1284" s="39" t="s">
        <v>1921</v>
      </c>
      <c r="C1284" s="39">
        <v>1.0</v>
      </c>
      <c r="D1284" s="41">
        <v>44141.0</v>
      </c>
      <c r="E1284" s="39" t="s">
        <v>1048</v>
      </c>
      <c r="F1284" s="39" t="s">
        <v>1049</v>
      </c>
      <c r="G1284" s="39" t="s">
        <v>1050</v>
      </c>
      <c r="H1284" s="39">
        <v>1120.0</v>
      </c>
      <c r="N1284" s="39" t="s">
        <v>1051</v>
      </c>
      <c r="R1284" s="39" t="s">
        <v>957</v>
      </c>
      <c r="S1284" s="39" t="s">
        <v>1274</v>
      </c>
      <c r="T1284" s="39" t="s">
        <v>1053</v>
      </c>
      <c r="U1284" s="39" t="s">
        <v>1051</v>
      </c>
      <c r="X1284" s="39" t="s">
        <v>1922</v>
      </c>
      <c r="Y1284" s="39" t="s">
        <v>1848</v>
      </c>
      <c r="Z1284" s="39" t="s">
        <v>1048</v>
      </c>
      <c r="AB1284" s="39">
        <v>1.0</v>
      </c>
    </row>
    <row r="1285">
      <c r="A1285" s="39" t="s">
        <v>1920</v>
      </c>
      <c r="B1285" s="39" t="s">
        <v>1921</v>
      </c>
      <c r="C1285" s="39">
        <v>6.0</v>
      </c>
      <c r="D1285" s="41">
        <v>44141.0</v>
      </c>
      <c r="E1285" s="39" t="s">
        <v>1048</v>
      </c>
      <c r="F1285" s="39" t="s">
        <v>1049</v>
      </c>
      <c r="G1285" s="39" t="s">
        <v>1050</v>
      </c>
      <c r="H1285" s="39">
        <v>1120.0</v>
      </c>
      <c r="N1285" s="39" t="s">
        <v>1051</v>
      </c>
      <c r="R1285" s="39" t="s">
        <v>957</v>
      </c>
      <c r="S1285" s="39" t="s">
        <v>1274</v>
      </c>
      <c r="T1285" s="39" t="s">
        <v>1053</v>
      </c>
      <c r="U1285" s="39" t="s">
        <v>1051</v>
      </c>
      <c r="X1285" s="39" t="s">
        <v>1923</v>
      </c>
      <c r="Y1285" s="39" t="s">
        <v>1848</v>
      </c>
      <c r="Z1285" s="39" t="s">
        <v>1048</v>
      </c>
      <c r="AB1285" s="39">
        <v>6.0</v>
      </c>
    </row>
    <row r="1286">
      <c r="A1286" s="39" t="s">
        <v>1917</v>
      </c>
      <c r="B1286" s="39" t="s">
        <v>1918</v>
      </c>
      <c r="C1286" s="39">
        <v>7.0</v>
      </c>
      <c r="D1286" s="41">
        <v>44141.0</v>
      </c>
      <c r="E1286" s="39" t="s">
        <v>1059</v>
      </c>
      <c r="F1286" s="39" t="s">
        <v>1060</v>
      </c>
      <c r="G1286" s="39" t="s">
        <v>1050</v>
      </c>
      <c r="H1286" s="39">
        <v>1120.0</v>
      </c>
      <c r="N1286" s="39" t="s">
        <v>1051</v>
      </c>
      <c r="R1286" s="39" t="s">
        <v>957</v>
      </c>
      <c r="S1286" s="39" t="s">
        <v>1052</v>
      </c>
      <c r="T1286" s="39" t="s">
        <v>1053</v>
      </c>
      <c r="U1286" s="39" t="s">
        <v>1051</v>
      </c>
      <c r="X1286" s="39" t="s">
        <v>1924</v>
      </c>
      <c r="Y1286" s="39" t="s">
        <v>1578</v>
      </c>
      <c r="Z1286" s="39" t="s">
        <v>872</v>
      </c>
      <c r="AB1286" s="39">
        <v>7.0</v>
      </c>
    </row>
    <row r="1287">
      <c r="A1287" s="39" t="s">
        <v>1646</v>
      </c>
      <c r="B1287" s="39" t="s">
        <v>1647</v>
      </c>
      <c r="C1287" s="39">
        <v>5.5</v>
      </c>
      <c r="D1287" s="41">
        <v>44141.291666666664</v>
      </c>
      <c r="E1287" s="39" t="s">
        <v>1600</v>
      </c>
      <c r="F1287" s="39" t="s">
        <v>1601</v>
      </c>
      <c r="G1287" s="39" t="s">
        <v>830</v>
      </c>
      <c r="H1287" s="39">
        <v>1120.0</v>
      </c>
      <c r="N1287" s="39" t="s">
        <v>883</v>
      </c>
      <c r="R1287" s="39" t="s">
        <v>1021</v>
      </c>
      <c r="S1287" s="39" t="s">
        <v>833</v>
      </c>
      <c r="T1287" s="39" t="s">
        <v>884</v>
      </c>
      <c r="U1287" s="39" t="s">
        <v>883</v>
      </c>
      <c r="X1287" s="39" t="s">
        <v>1925</v>
      </c>
      <c r="Z1287" s="39" t="s">
        <v>1649</v>
      </c>
      <c r="AB1287" s="39">
        <v>5.5</v>
      </c>
    </row>
    <row r="1288">
      <c r="A1288" s="39" t="s">
        <v>1646</v>
      </c>
      <c r="B1288" s="39" t="s">
        <v>1647</v>
      </c>
      <c r="C1288" s="39">
        <v>1.0</v>
      </c>
      <c r="D1288" s="41">
        <v>44141.416666666664</v>
      </c>
      <c r="E1288" s="39" t="s">
        <v>828</v>
      </c>
      <c r="F1288" s="39" t="s">
        <v>829</v>
      </c>
      <c r="G1288" s="39" t="s">
        <v>830</v>
      </c>
      <c r="H1288" s="39">
        <v>1120.0</v>
      </c>
      <c r="N1288" s="39" t="s">
        <v>883</v>
      </c>
      <c r="R1288" s="39" t="s">
        <v>1021</v>
      </c>
      <c r="S1288" s="39" t="s">
        <v>833</v>
      </c>
      <c r="T1288" s="39" t="s">
        <v>884</v>
      </c>
      <c r="U1288" s="39" t="s">
        <v>883</v>
      </c>
      <c r="X1288" s="39" t="s">
        <v>1868</v>
      </c>
      <c r="Z1288" s="39" t="s">
        <v>1649</v>
      </c>
      <c r="AB1288" s="39">
        <v>1.0</v>
      </c>
    </row>
    <row r="1289">
      <c r="A1289" s="39" t="s">
        <v>1534</v>
      </c>
      <c r="B1289" s="39" t="s">
        <v>1535</v>
      </c>
      <c r="C1289" s="39">
        <v>0.25</v>
      </c>
      <c r="D1289" s="41">
        <v>44141.552083333336</v>
      </c>
      <c r="E1289" s="39" t="s">
        <v>1600</v>
      </c>
      <c r="F1289" s="39" t="s">
        <v>1601</v>
      </c>
      <c r="G1289" s="39" t="s">
        <v>830</v>
      </c>
      <c r="H1289" s="39">
        <v>1120.0</v>
      </c>
      <c r="N1289" s="39" t="s">
        <v>883</v>
      </c>
      <c r="R1289" s="39" t="s">
        <v>832</v>
      </c>
      <c r="S1289" s="39" t="s">
        <v>833</v>
      </c>
      <c r="T1289" s="39" t="s">
        <v>884</v>
      </c>
      <c r="U1289" s="39" t="s">
        <v>883</v>
      </c>
      <c r="W1289" s="39" t="s">
        <v>904</v>
      </c>
      <c r="X1289" s="39" t="s">
        <v>1926</v>
      </c>
      <c r="Z1289" s="39" t="s">
        <v>837</v>
      </c>
      <c r="AB1289" s="39">
        <v>0.25</v>
      </c>
      <c r="AC1289" s="39">
        <v>8.0</v>
      </c>
      <c r="AD1289" s="39">
        <v>0.0</v>
      </c>
    </row>
    <row r="1290">
      <c r="A1290" s="39" t="s">
        <v>1646</v>
      </c>
      <c r="B1290" s="39" t="s">
        <v>1647</v>
      </c>
      <c r="C1290" s="39">
        <v>2.0</v>
      </c>
      <c r="D1290" s="41">
        <v>44141.5625</v>
      </c>
      <c r="E1290" s="39" t="s">
        <v>1600</v>
      </c>
      <c r="F1290" s="39" t="s">
        <v>1601</v>
      </c>
      <c r="G1290" s="39" t="s">
        <v>830</v>
      </c>
      <c r="H1290" s="39">
        <v>1120.0</v>
      </c>
      <c r="N1290" s="39" t="s">
        <v>883</v>
      </c>
      <c r="R1290" s="39" t="s">
        <v>1021</v>
      </c>
      <c r="S1290" s="39" t="s">
        <v>833</v>
      </c>
      <c r="T1290" s="39" t="s">
        <v>884</v>
      </c>
      <c r="U1290" s="39" t="s">
        <v>883</v>
      </c>
      <c r="X1290" s="39" t="s">
        <v>1927</v>
      </c>
      <c r="Z1290" s="39" t="s">
        <v>1649</v>
      </c>
      <c r="AB1290" s="39">
        <v>2.0</v>
      </c>
    </row>
    <row r="1291">
      <c r="A1291" s="39" t="s">
        <v>1646</v>
      </c>
      <c r="B1291" s="39" t="s">
        <v>1647</v>
      </c>
      <c r="C1291" s="39">
        <v>3.75</v>
      </c>
      <c r="D1291" s="41">
        <v>44144.302083333336</v>
      </c>
      <c r="E1291" s="39" t="s">
        <v>1600</v>
      </c>
      <c r="F1291" s="39" t="s">
        <v>1601</v>
      </c>
      <c r="G1291" s="39" t="s">
        <v>830</v>
      </c>
      <c r="H1291" s="39">
        <v>1120.0</v>
      </c>
      <c r="N1291" s="39" t="s">
        <v>883</v>
      </c>
      <c r="R1291" s="39" t="s">
        <v>1021</v>
      </c>
      <c r="S1291" s="39" t="s">
        <v>833</v>
      </c>
      <c r="T1291" s="39" t="s">
        <v>884</v>
      </c>
      <c r="U1291" s="39" t="s">
        <v>883</v>
      </c>
      <c r="X1291" s="39" t="s">
        <v>1928</v>
      </c>
      <c r="Z1291" s="39" t="s">
        <v>1649</v>
      </c>
      <c r="AB1291" s="39">
        <v>3.75</v>
      </c>
    </row>
    <row r="1292">
      <c r="A1292" s="39" t="s">
        <v>1380</v>
      </c>
      <c r="B1292" s="39" t="s">
        <v>1381</v>
      </c>
      <c r="C1292" s="39">
        <v>0.5</v>
      </c>
      <c r="D1292" s="41">
        <v>44144.333333333336</v>
      </c>
      <c r="E1292" s="39" t="s">
        <v>872</v>
      </c>
      <c r="F1292" s="39" t="s">
        <v>724</v>
      </c>
      <c r="G1292" s="39" t="s">
        <v>830</v>
      </c>
      <c r="H1292" s="39">
        <v>1120.0</v>
      </c>
      <c r="N1292" s="39" t="s">
        <v>1051</v>
      </c>
      <c r="R1292" s="39" t="s">
        <v>832</v>
      </c>
      <c r="S1292" s="39" t="s">
        <v>889</v>
      </c>
      <c r="T1292" s="39" t="s">
        <v>1053</v>
      </c>
      <c r="U1292" s="39" t="s">
        <v>1051</v>
      </c>
      <c r="X1292" s="39" t="s">
        <v>1853</v>
      </c>
      <c r="Y1292" s="39" t="s">
        <v>1131</v>
      </c>
      <c r="Z1292" s="39" t="s">
        <v>872</v>
      </c>
      <c r="AB1292" s="39">
        <v>0.5</v>
      </c>
    </row>
    <row r="1293">
      <c r="A1293" s="39" t="s">
        <v>1929</v>
      </c>
      <c r="B1293" s="39" t="s">
        <v>1930</v>
      </c>
      <c r="C1293" s="39">
        <v>4.0</v>
      </c>
      <c r="D1293" s="41">
        <v>44144.333333333336</v>
      </c>
      <c r="E1293" s="39" t="s">
        <v>1048</v>
      </c>
      <c r="F1293" s="39" t="s">
        <v>1049</v>
      </c>
      <c r="G1293" s="39" t="s">
        <v>1050</v>
      </c>
      <c r="H1293" s="39">
        <v>1120.0</v>
      </c>
      <c r="N1293" s="39" t="s">
        <v>1051</v>
      </c>
      <c r="R1293" s="39" t="s">
        <v>957</v>
      </c>
      <c r="S1293" s="39" t="s">
        <v>1274</v>
      </c>
      <c r="T1293" s="39" t="s">
        <v>1053</v>
      </c>
      <c r="U1293" s="39" t="s">
        <v>1051</v>
      </c>
      <c r="X1293" s="39" t="s">
        <v>1931</v>
      </c>
      <c r="Y1293" s="39" t="s">
        <v>1848</v>
      </c>
      <c r="Z1293" s="39" t="s">
        <v>1048</v>
      </c>
      <c r="AB1293" s="39">
        <v>4.0</v>
      </c>
    </row>
    <row r="1294">
      <c r="A1294" s="39" t="s">
        <v>1932</v>
      </c>
      <c r="B1294" s="39" t="s">
        <v>1933</v>
      </c>
      <c r="C1294" s="39">
        <v>8.0</v>
      </c>
      <c r="D1294" s="41">
        <v>44144.333333333336</v>
      </c>
      <c r="E1294" s="39" t="s">
        <v>1059</v>
      </c>
      <c r="F1294" s="39" t="s">
        <v>1060</v>
      </c>
      <c r="G1294" s="39" t="s">
        <v>1050</v>
      </c>
      <c r="H1294" s="39">
        <v>1120.0</v>
      </c>
      <c r="N1294" s="39" t="s">
        <v>1051</v>
      </c>
      <c r="R1294" s="39" t="s">
        <v>832</v>
      </c>
      <c r="S1294" s="39" t="s">
        <v>1052</v>
      </c>
      <c r="T1294" s="39" t="s">
        <v>1053</v>
      </c>
      <c r="U1294" s="39" t="s">
        <v>1051</v>
      </c>
      <c r="X1294" s="39" t="s">
        <v>1934</v>
      </c>
      <c r="Y1294" s="39" t="s">
        <v>1131</v>
      </c>
      <c r="Z1294" s="39" t="s">
        <v>872</v>
      </c>
      <c r="AB1294" s="39">
        <v>8.0</v>
      </c>
    </row>
    <row r="1295">
      <c r="A1295" s="39" t="s">
        <v>1845</v>
      </c>
      <c r="B1295" s="39" t="s">
        <v>1846</v>
      </c>
      <c r="C1295" s="39">
        <v>1.0</v>
      </c>
      <c r="D1295" s="41">
        <v>44144.5</v>
      </c>
      <c r="E1295" s="39" t="s">
        <v>1048</v>
      </c>
      <c r="F1295" s="39" t="s">
        <v>1049</v>
      </c>
      <c r="G1295" s="39" t="s">
        <v>1050</v>
      </c>
      <c r="H1295" s="39">
        <v>1120.0</v>
      </c>
      <c r="N1295" s="39" t="s">
        <v>1051</v>
      </c>
      <c r="R1295" s="39" t="s">
        <v>957</v>
      </c>
      <c r="S1295" s="39" t="s">
        <v>1274</v>
      </c>
      <c r="T1295" s="39" t="s">
        <v>1053</v>
      </c>
      <c r="U1295" s="39" t="s">
        <v>1051</v>
      </c>
      <c r="X1295" s="39" t="s">
        <v>1935</v>
      </c>
      <c r="Y1295" s="39" t="s">
        <v>1848</v>
      </c>
      <c r="Z1295" s="39" t="s">
        <v>872</v>
      </c>
      <c r="AB1295" s="39">
        <v>1.0</v>
      </c>
    </row>
    <row r="1296">
      <c r="A1296" s="39" t="s">
        <v>1646</v>
      </c>
      <c r="B1296" s="39" t="s">
        <v>1647</v>
      </c>
      <c r="C1296" s="39">
        <v>0.25</v>
      </c>
      <c r="D1296" s="41">
        <v>44144.5</v>
      </c>
      <c r="E1296" s="39" t="s">
        <v>1600</v>
      </c>
      <c r="F1296" s="39" t="s">
        <v>1601</v>
      </c>
      <c r="G1296" s="39" t="s">
        <v>830</v>
      </c>
      <c r="H1296" s="39">
        <v>1120.0</v>
      </c>
      <c r="N1296" s="39" t="s">
        <v>883</v>
      </c>
      <c r="R1296" s="39" t="s">
        <v>1021</v>
      </c>
      <c r="S1296" s="39" t="s">
        <v>833</v>
      </c>
      <c r="T1296" s="39" t="s">
        <v>884</v>
      </c>
      <c r="U1296" s="39" t="s">
        <v>883</v>
      </c>
      <c r="X1296" s="39" t="s">
        <v>1936</v>
      </c>
      <c r="Z1296" s="39" t="s">
        <v>1649</v>
      </c>
      <c r="AB1296" s="39">
        <v>0.25</v>
      </c>
    </row>
    <row r="1297">
      <c r="A1297" s="39" t="s">
        <v>1845</v>
      </c>
      <c r="B1297" s="39" t="s">
        <v>1846</v>
      </c>
      <c r="C1297" s="39">
        <v>0.5</v>
      </c>
      <c r="D1297" s="41">
        <v>44144.510416666664</v>
      </c>
      <c r="E1297" s="39" t="s">
        <v>872</v>
      </c>
      <c r="F1297" s="39" t="s">
        <v>724</v>
      </c>
      <c r="G1297" s="39" t="s">
        <v>830</v>
      </c>
      <c r="H1297" s="39">
        <v>1120.0</v>
      </c>
      <c r="N1297" s="39" t="s">
        <v>1051</v>
      </c>
      <c r="R1297" s="39" t="s">
        <v>957</v>
      </c>
      <c r="S1297" s="39" t="s">
        <v>1274</v>
      </c>
      <c r="T1297" s="39" t="s">
        <v>1053</v>
      </c>
      <c r="U1297" s="39" t="s">
        <v>1051</v>
      </c>
      <c r="X1297" s="39" t="s">
        <v>1857</v>
      </c>
      <c r="Y1297" s="39" t="s">
        <v>1848</v>
      </c>
      <c r="Z1297" s="39" t="s">
        <v>872</v>
      </c>
      <c r="AB1297" s="39">
        <v>0.5</v>
      </c>
    </row>
    <row r="1298">
      <c r="A1298" s="39" t="s">
        <v>1903</v>
      </c>
      <c r="B1298" s="39" t="s">
        <v>1904</v>
      </c>
      <c r="C1298" s="39">
        <v>0.25</v>
      </c>
      <c r="D1298" s="41">
        <v>44144.53125</v>
      </c>
      <c r="E1298" s="39" t="s">
        <v>872</v>
      </c>
      <c r="F1298" s="39" t="s">
        <v>724</v>
      </c>
      <c r="G1298" s="39" t="s">
        <v>830</v>
      </c>
      <c r="H1298" s="39">
        <v>1120.0</v>
      </c>
      <c r="N1298" s="39" t="s">
        <v>1051</v>
      </c>
      <c r="R1298" s="39" t="s">
        <v>957</v>
      </c>
      <c r="S1298" s="39" t="s">
        <v>1052</v>
      </c>
      <c r="T1298" s="39" t="s">
        <v>1053</v>
      </c>
      <c r="U1298" s="39" t="s">
        <v>1051</v>
      </c>
      <c r="X1298" s="39" t="s">
        <v>1905</v>
      </c>
      <c r="Y1298" s="39" t="s">
        <v>1578</v>
      </c>
      <c r="Z1298" s="39" t="s">
        <v>872</v>
      </c>
      <c r="AB1298" s="39">
        <v>0.25</v>
      </c>
    </row>
    <row r="1299">
      <c r="A1299" s="39" t="s">
        <v>1909</v>
      </c>
      <c r="B1299" s="39" t="s">
        <v>1910</v>
      </c>
      <c r="C1299" s="39">
        <v>2.0</v>
      </c>
      <c r="D1299" s="41">
        <v>44144.541666666664</v>
      </c>
      <c r="E1299" s="39" t="s">
        <v>1048</v>
      </c>
      <c r="F1299" s="39" t="s">
        <v>1049</v>
      </c>
      <c r="G1299" s="39" t="s">
        <v>1050</v>
      </c>
      <c r="H1299" s="39">
        <v>1120.0</v>
      </c>
      <c r="N1299" s="39" t="s">
        <v>1051</v>
      </c>
      <c r="R1299" s="39" t="s">
        <v>957</v>
      </c>
      <c r="S1299" s="39" t="s">
        <v>889</v>
      </c>
      <c r="T1299" s="39" t="s">
        <v>1053</v>
      </c>
      <c r="U1299" s="39" t="s">
        <v>1051</v>
      </c>
      <c r="X1299" s="39" t="s">
        <v>1937</v>
      </c>
      <c r="Y1299" s="39" t="s">
        <v>1848</v>
      </c>
      <c r="Z1299" s="39" t="s">
        <v>1048</v>
      </c>
      <c r="AB1299" s="39">
        <v>2.0</v>
      </c>
    </row>
    <row r="1300">
      <c r="A1300" s="39" t="s">
        <v>1932</v>
      </c>
      <c r="B1300" s="39" t="s">
        <v>1933</v>
      </c>
      <c r="C1300" s="39">
        <v>0.25</v>
      </c>
      <c r="D1300" s="41">
        <v>44144.5625</v>
      </c>
      <c r="E1300" s="39" t="s">
        <v>872</v>
      </c>
      <c r="F1300" s="39" t="s">
        <v>724</v>
      </c>
      <c r="G1300" s="39" t="s">
        <v>830</v>
      </c>
      <c r="H1300" s="39">
        <v>1120.0</v>
      </c>
      <c r="N1300" s="39" t="s">
        <v>1051</v>
      </c>
      <c r="R1300" s="39" t="s">
        <v>832</v>
      </c>
      <c r="S1300" s="39" t="s">
        <v>1052</v>
      </c>
      <c r="T1300" s="39" t="s">
        <v>1053</v>
      </c>
      <c r="U1300" s="39" t="s">
        <v>1051</v>
      </c>
      <c r="X1300" s="39" t="s">
        <v>1938</v>
      </c>
      <c r="Y1300" s="39" t="s">
        <v>1131</v>
      </c>
      <c r="Z1300" s="39" t="s">
        <v>872</v>
      </c>
      <c r="AB1300" s="39">
        <v>0.25</v>
      </c>
    </row>
    <row r="1301">
      <c r="A1301" s="39" t="s">
        <v>1578</v>
      </c>
      <c r="B1301" s="39" t="s">
        <v>1579</v>
      </c>
      <c r="C1301" s="39">
        <v>0.25</v>
      </c>
      <c r="D1301" s="41">
        <v>44144.583333333336</v>
      </c>
      <c r="E1301" s="39" t="s">
        <v>872</v>
      </c>
      <c r="F1301" s="39" t="s">
        <v>724</v>
      </c>
      <c r="G1301" s="39" t="s">
        <v>830</v>
      </c>
      <c r="H1301" s="39">
        <v>1120.0</v>
      </c>
      <c r="N1301" s="39" t="s">
        <v>1051</v>
      </c>
      <c r="R1301" s="39" t="s">
        <v>832</v>
      </c>
      <c r="S1301" s="39" t="s">
        <v>889</v>
      </c>
      <c r="T1301" s="39" t="s">
        <v>1053</v>
      </c>
      <c r="U1301" s="39" t="s">
        <v>1051</v>
      </c>
      <c r="X1301" s="39" t="s">
        <v>1782</v>
      </c>
      <c r="Y1301" s="39" t="s">
        <v>1131</v>
      </c>
      <c r="Z1301" s="39" t="s">
        <v>872</v>
      </c>
      <c r="AB1301" s="39">
        <v>0.25</v>
      </c>
    </row>
    <row r="1302">
      <c r="A1302" s="39" t="s">
        <v>1906</v>
      </c>
      <c r="B1302" s="39" t="s">
        <v>1907</v>
      </c>
      <c r="C1302" s="39">
        <v>0.5</v>
      </c>
      <c r="D1302" s="41">
        <v>44144.59375</v>
      </c>
      <c r="E1302" s="39" t="s">
        <v>872</v>
      </c>
      <c r="F1302" s="39" t="s">
        <v>724</v>
      </c>
      <c r="G1302" s="39" t="s">
        <v>830</v>
      </c>
      <c r="H1302" s="39">
        <v>1120.0</v>
      </c>
      <c r="N1302" s="39" t="s">
        <v>1051</v>
      </c>
      <c r="R1302" s="39" t="s">
        <v>957</v>
      </c>
      <c r="S1302" s="39" t="s">
        <v>1052</v>
      </c>
      <c r="T1302" s="39" t="s">
        <v>1053</v>
      </c>
      <c r="U1302" s="39" t="s">
        <v>1051</v>
      </c>
      <c r="X1302" s="39" t="s">
        <v>1908</v>
      </c>
      <c r="Y1302" s="39" t="s">
        <v>1596</v>
      </c>
      <c r="Z1302" s="39" t="s">
        <v>872</v>
      </c>
      <c r="AB1302" s="39">
        <v>0.5</v>
      </c>
    </row>
    <row r="1303">
      <c r="A1303" s="39" t="s">
        <v>1131</v>
      </c>
      <c r="B1303" s="39" t="s">
        <v>1591</v>
      </c>
      <c r="C1303" s="39">
        <v>2.0</v>
      </c>
      <c r="D1303" s="41">
        <v>44145.333333333336</v>
      </c>
      <c r="E1303" s="39" t="s">
        <v>1048</v>
      </c>
      <c r="F1303" s="39" t="s">
        <v>1049</v>
      </c>
      <c r="G1303" s="39" t="s">
        <v>1050</v>
      </c>
      <c r="H1303" s="39">
        <v>1120.0</v>
      </c>
      <c r="N1303" s="39" t="s">
        <v>1051</v>
      </c>
      <c r="R1303" s="39" t="s">
        <v>72</v>
      </c>
      <c r="S1303" s="39" t="s">
        <v>889</v>
      </c>
      <c r="T1303" s="39" t="s">
        <v>1053</v>
      </c>
      <c r="U1303" s="39" t="s">
        <v>1051</v>
      </c>
      <c r="X1303" s="39" t="s">
        <v>1939</v>
      </c>
      <c r="Z1303" s="39" t="s">
        <v>872</v>
      </c>
      <c r="AB1303" s="39">
        <v>2.0</v>
      </c>
      <c r="AD1303" s="39">
        <v>0.0</v>
      </c>
    </row>
    <row r="1304">
      <c r="A1304" s="39" t="s">
        <v>1895</v>
      </c>
      <c r="B1304" s="39" t="s">
        <v>1896</v>
      </c>
      <c r="C1304" s="39">
        <v>8.0</v>
      </c>
      <c r="D1304" s="41">
        <v>44145.333333333336</v>
      </c>
      <c r="E1304" s="39" t="s">
        <v>1059</v>
      </c>
      <c r="F1304" s="39" t="s">
        <v>1060</v>
      </c>
      <c r="G1304" s="39" t="s">
        <v>1050</v>
      </c>
      <c r="H1304" s="39">
        <v>1120.0</v>
      </c>
      <c r="N1304" s="39" t="s">
        <v>1051</v>
      </c>
      <c r="R1304" s="39" t="s">
        <v>832</v>
      </c>
      <c r="S1304" s="39" t="s">
        <v>889</v>
      </c>
      <c r="T1304" s="39" t="s">
        <v>1053</v>
      </c>
      <c r="U1304" s="39" t="s">
        <v>1051</v>
      </c>
      <c r="X1304" s="39" t="s">
        <v>1940</v>
      </c>
      <c r="Y1304" s="39" t="s">
        <v>1131</v>
      </c>
      <c r="Z1304" s="39" t="s">
        <v>872</v>
      </c>
      <c r="AB1304" s="39">
        <v>8.0</v>
      </c>
    </row>
    <row r="1305">
      <c r="A1305" s="39" t="s">
        <v>1821</v>
      </c>
      <c r="B1305" s="39" t="s">
        <v>1822</v>
      </c>
      <c r="C1305" s="39">
        <v>0.25</v>
      </c>
      <c r="D1305" s="41">
        <v>44145.375</v>
      </c>
      <c r="E1305" s="39" t="s">
        <v>872</v>
      </c>
      <c r="F1305" s="39" t="s">
        <v>724</v>
      </c>
      <c r="G1305" s="39" t="s">
        <v>830</v>
      </c>
      <c r="H1305" s="39">
        <v>1120.0</v>
      </c>
      <c r="N1305" s="39" t="s">
        <v>938</v>
      </c>
      <c r="R1305" s="39" t="s">
        <v>832</v>
      </c>
      <c r="S1305" s="39" t="s">
        <v>889</v>
      </c>
      <c r="T1305" s="39" t="s">
        <v>741</v>
      </c>
      <c r="U1305" s="39" t="s">
        <v>938</v>
      </c>
      <c r="X1305" s="39" t="s">
        <v>1823</v>
      </c>
      <c r="Y1305" s="39" t="s">
        <v>1074</v>
      </c>
      <c r="Z1305" s="39" t="s">
        <v>872</v>
      </c>
      <c r="AB1305" s="39">
        <v>0.25</v>
      </c>
      <c r="AD1305" s="39">
        <v>0.0</v>
      </c>
    </row>
    <row r="1306">
      <c r="A1306" s="39" t="s">
        <v>1534</v>
      </c>
      <c r="B1306" s="39" t="s">
        <v>1535</v>
      </c>
      <c r="C1306" s="39">
        <v>0.5</v>
      </c>
      <c r="D1306" s="41">
        <v>44145.385416666664</v>
      </c>
      <c r="E1306" s="39" t="s">
        <v>828</v>
      </c>
      <c r="F1306" s="39" t="s">
        <v>829</v>
      </c>
      <c r="G1306" s="39" t="s">
        <v>830</v>
      </c>
      <c r="H1306" s="39">
        <v>1120.0</v>
      </c>
      <c r="N1306" s="39" t="s">
        <v>883</v>
      </c>
      <c r="R1306" s="39" t="s">
        <v>832</v>
      </c>
      <c r="S1306" s="39" t="s">
        <v>833</v>
      </c>
      <c r="T1306" s="39" t="s">
        <v>884</v>
      </c>
      <c r="U1306" s="39" t="s">
        <v>883</v>
      </c>
      <c r="W1306" s="39" t="s">
        <v>904</v>
      </c>
      <c r="X1306" s="39" t="s">
        <v>1680</v>
      </c>
      <c r="Z1306" s="39" t="s">
        <v>837</v>
      </c>
      <c r="AB1306" s="39">
        <v>0.5</v>
      </c>
      <c r="AC1306" s="39">
        <v>8.0</v>
      </c>
      <c r="AD1306" s="39">
        <v>0.0</v>
      </c>
    </row>
    <row r="1307">
      <c r="A1307" s="39" t="s">
        <v>1131</v>
      </c>
      <c r="B1307" s="39" t="s">
        <v>1591</v>
      </c>
      <c r="C1307" s="39">
        <v>4.0</v>
      </c>
      <c r="D1307" s="41">
        <v>44145.385416666664</v>
      </c>
      <c r="E1307" s="39" t="s">
        <v>872</v>
      </c>
      <c r="F1307" s="39" t="s">
        <v>724</v>
      </c>
      <c r="G1307" s="39" t="s">
        <v>830</v>
      </c>
      <c r="H1307" s="39">
        <v>1120.0</v>
      </c>
      <c r="N1307" s="39" t="s">
        <v>1051</v>
      </c>
      <c r="R1307" s="39" t="s">
        <v>72</v>
      </c>
      <c r="S1307" s="39" t="s">
        <v>889</v>
      </c>
      <c r="T1307" s="39" t="s">
        <v>1053</v>
      </c>
      <c r="U1307" s="39" t="s">
        <v>1051</v>
      </c>
      <c r="X1307" s="39" t="s">
        <v>1941</v>
      </c>
      <c r="Z1307" s="39" t="s">
        <v>872</v>
      </c>
      <c r="AB1307" s="39">
        <v>4.0</v>
      </c>
      <c r="AD1307" s="39">
        <v>0.0</v>
      </c>
    </row>
    <row r="1308">
      <c r="A1308" s="39" t="s">
        <v>1942</v>
      </c>
      <c r="B1308" s="39" t="s">
        <v>1943</v>
      </c>
      <c r="C1308" s="39">
        <v>0.5</v>
      </c>
      <c r="D1308" s="41">
        <v>44145.416666666664</v>
      </c>
      <c r="E1308" s="39" t="s">
        <v>1048</v>
      </c>
      <c r="F1308" s="39" t="s">
        <v>1049</v>
      </c>
      <c r="G1308" s="39" t="s">
        <v>1050</v>
      </c>
      <c r="H1308" s="39">
        <v>1120.0</v>
      </c>
      <c r="N1308" s="39" t="s">
        <v>1051</v>
      </c>
      <c r="R1308" s="39" t="s">
        <v>957</v>
      </c>
      <c r="S1308" s="39" t="s">
        <v>1274</v>
      </c>
      <c r="T1308" s="39" t="s">
        <v>1053</v>
      </c>
      <c r="U1308" s="39" t="s">
        <v>1051</v>
      </c>
      <c r="X1308" s="39" t="s">
        <v>1944</v>
      </c>
      <c r="Y1308" s="39" t="s">
        <v>1848</v>
      </c>
      <c r="Z1308" s="39" t="s">
        <v>1048</v>
      </c>
      <c r="AB1308" s="39">
        <v>0.5</v>
      </c>
    </row>
    <row r="1309">
      <c r="A1309" s="39" t="s">
        <v>1945</v>
      </c>
      <c r="B1309" s="39" t="s">
        <v>1946</v>
      </c>
      <c r="C1309" s="39">
        <v>4.5</v>
      </c>
      <c r="D1309" s="41">
        <v>44145.4375</v>
      </c>
      <c r="E1309" s="39" t="s">
        <v>1048</v>
      </c>
      <c r="F1309" s="39" t="s">
        <v>1049</v>
      </c>
      <c r="G1309" s="39" t="s">
        <v>1050</v>
      </c>
      <c r="H1309" s="39">
        <v>1120.0</v>
      </c>
      <c r="N1309" s="39" t="s">
        <v>1051</v>
      </c>
      <c r="R1309" s="39" t="s">
        <v>832</v>
      </c>
      <c r="S1309" s="39" t="s">
        <v>889</v>
      </c>
      <c r="T1309" s="39" t="s">
        <v>1053</v>
      </c>
      <c r="U1309" s="39" t="s">
        <v>1051</v>
      </c>
      <c r="X1309" s="39" t="s">
        <v>1947</v>
      </c>
      <c r="Y1309" s="39" t="s">
        <v>1824</v>
      </c>
      <c r="Z1309" s="39" t="s">
        <v>872</v>
      </c>
      <c r="AB1309" s="39">
        <v>4.5</v>
      </c>
    </row>
    <row r="1310">
      <c r="A1310" s="39" t="s">
        <v>1945</v>
      </c>
      <c r="B1310" s="39" t="s">
        <v>1946</v>
      </c>
      <c r="C1310" s="39">
        <v>0.5</v>
      </c>
      <c r="D1310" s="41">
        <v>44145.552083333336</v>
      </c>
      <c r="E1310" s="39" t="s">
        <v>872</v>
      </c>
      <c r="F1310" s="39" t="s">
        <v>724</v>
      </c>
      <c r="G1310" s="39" t="s">
        <v>830</v>
      </c>
      <c r="H1310" s="39">
        <v>1120.0</v>
      </c>
      <c r="N1310" s="39" t="s">
        <v>1051</v>
      </c>
      <c r="R1310" s="39" t="s">
        <v>832</v>
      </c>
      <c r="S1310" s="39" t="s">
        <v>889</v>
      </c>
      <c r="T1310" s="39" t="s">
        <v>1053</v>
      </c>
      <c r="U1310" s="39" t="s">
        <v>1051</v>
      </c>
      <c r="X1310" s="39" t="s">
        <v>1948</v>
      </c>
      <c r="Y1310" s="39" t="s">
        <v>1824</v>
      </c>
      <c r="Z1310" s="39" t="s">
        <v>872</v>
      </c>
      <c r="AB1310" s="39">
        <v>0.5</v>
      </c>
    </row>
    <row r="1311">
      <c r="A1311" s="39" t="s">
        <v>1831</v>
      </c>
      <c r="B1311" s="39" t="s">
        <v>1832</v>
      </c>
      <c r="C1311" s="39">
        <v>0.75</v>
      </c>
      <c r="D1311" s="41">
        <v>44145.604166666664</v>
      </c>
      <c r="E1311" s="39" t="s">
        <v>872</v>
      </c>
      <c r="F1311" s="39" t="s">
        <v>724</v>
      </c>
      <c r="G1311" s="39" t="s">
        <v>830</v>
      </c>
      <c r="H1311" s="39">
        <v>1120.0</v>
      </c>
      <c r="N1311" s="39" t="s">
        <v>1051</v>
      </c>
      <c r="R1311" s="39" t="s">
        <v>832</v>
      </c>
      <c r="S1311" s="39" t="s">
        <v>1052</v>
      </c>
      <c r="T1311" s="39" t="s">
        <v>1053</v>
      </c>
      <c r="U1311" s="39" t="s">
        <v>1051</v>
      </c>
      <c r="X1311" s="39" t="s">
        <v>1949</v>
      </c>
      <c r="Y1311" s="39" t="s">
        <v>1131</v>
      </c>
      <c r="Z1311" s="39" t="s">
        <v>872</v>
      </c>
      <c r="AB1311" s="39">
        <v>0.75</v>
      </c>
    </row>
    <row r="1312">
      <c r="A1312" s="39" t="s">
        <v>1849</v>
      </c>
      <c r="B1312" s="39" t="s">
        <v>1850</v>
      </c>
      <c r="C1312" s="39">
        <v>0.25</v>
      </c>
      <c r="D1312" s="41">
        <v>44145.635416666664</v>
      </c>
      <c r="E1312" s="39" t="s">
        <v>872</v>
      </c>
      <c r="F1312" s="39" t="s">
        <v>724</v>
      </c>
      <c r="G1312" s="39" t="s">
        <v>830</v>
      </c>
      <c r="H1312" s="39">
        <v>1120.0</v>
      </c>
      <c r="N1312" s="39" t="s">
        <v>1051</v>
      </c>
      <c r="R1312" s="39" t="s">
        <v>832</v>
      </c>
      <c r="S1312" s="39" t="s">
        <v>1052</v>
      </c>
      <c r="T1312" s="39" t="s">
        <v>1053</v>
      </c>
      <c r="U1312" s="39" t="s">
        <v>1051</v>
      </c>
      <c r="X1312" s="39" t="s">
        <v>1861</v>
      </c>
      <c r="Y1312" s="39" t="s">
        <v>1131</v>
      </c>
      <c r="Z1312" s="39" t="s">
        <v>872</v>
      </c>
      <c r="AB1312" s="39">
        <v>0.25</v>
      </c>
    </row>
    <row r="1313">
      <c r="A1313" s="39" t="s">
        <v>1932</v>
      </c>
      <c r="B1313" s="39" t="s">
        <v>1933</v>
      </c>
      <c r="C1313" s="39">
        <v>0.25</v>
      </c>
      <c r="D1313" s="41">
        <v>44145.645833333336</v>
      </c>
      <c r="E1313" s="39" t="s">
        <v>872</v>
      </c>
      <c r="F1313" s="39" t="s">
        <v>724</v>
      </c>
      <c r="G1313" s="39" t="s">
        <v>830</v>
      </c>
      <c r="H1313" s="39">
        <v>1120.0</v>
      </c>
      <c r="N1313" s="39" t="s">
        <v>1051</v>
      </c>
      <c r="R1313" s="39" t="s">
        <v>832</v>
      </c>
      <c r="S1313" s="39" t="s">
        <v>1052</v>
      </c>
      <c r="T1313" s="39" t="s">
        <v>1053</v>
      </c>
      <c r="U1313" s="39" t="s">
        <v>1051</v>
      </c>
      <c r="X1313" s="39" t="s">
        <v>1938</v>
      </c>
      <c r="Y1313" s="39" t="s">
        <v>1131</v>
      </c>
      <c r="Z1313" s="39" t="s">
        <v>872</v>
      </c>
      <c r="AB1313" s="39">
        <v>0.25</v>
      </c>
    </row>
    <row r="1314">
      <c r="A1314" s="39" t="s">
        <v>1895</v>
      </c>
      <c r="B1314" s="39" t="s">
        <v>1896</v>
      </c>
      <c r="C1314" s="39">
        <v>0.5</v>
      </c>
      <c r="D1314" s="41">
        <v>44145.65625</v>
      </c>
      <c r="E1314" s="39" t="s">
        <v>872</v>
      </c>
      <c r="F1314" s="39" t="s">
        <v>724</v>
      </c>
      <c r="G1314" s="39" t="s">
        <v>830</v>
      </c>
      <c r="H1314" s="39">
        <v>1120.0</v>
      </c>
      <c r="N1314" s="39" t="s">
        <v>1051</v>
      </c>
      <c r="R1314" s="39" t="s">
        <v>832</v>
      </c>
      <c r="S1314" s="39" t="s">
        <v>889</v>
      </c>
      <c r="T1314" s="39" t="s">
        <v>1053</v>
      </c>
      <c r="U1314" s="39" t="s">
        <v>1051</v>
      </c>
      <c r="X1314" s="39" t="s">
        <v>1897</v>
      </c>
      <c r="Y1314" s="39" t="s">
        <v>1131</v>
      </c>
      <c r="Z1314" s="39" t="s">
        <v>872</v>
      </c>
      <c r="AB1314" s="39">
        <v>0.5</v>
      </c>
    </row>
    <row r="1315">
      <c r="A1315" s="39" t="s">
        <v>1950</v>
      </c>
      <c r="B1315" s="39" t="s">
        <v>1951</v>
      </c>
      <c r="C1315" s="39">
        <v>0.25</v>
      </c>
      <c r="D1315" s="41">
        <v>44145.677083333336</v>
      </c>
      <c r="E1315" s="39" t="s">
        <v>872</v>
      </c>
      <c r="F1315" s="39" t="s">
        <v>724</v>
      </c>
      <c r="G1315" s="39" t="s">
        <v>830</v>
      </c>
      <c r="H1315" s="39">
        <v>1120.0</v>
      </c>
      <c r="N1315" s="39" t="s">
        <v>1051</v>
      </c>
      <c r="R1315" s="39" t="s">
        <v>957</v>
      </c>
      <c r="S1315" s="39" t="s">
        <v>1052</v>
      </c>
      <c r="T1315" s="39" t="s">
        <v>1053</v>
      </c>
      <c r="U1315" s="39" t="s">
        <v>1051</v>
      </c>
      <c r="X1315" s="39" t="s">
        <v>1952</v>
      </c>
      <c r="Y1315" s="39" t="s">
        <v>1596</v>
      </c>
      <c r="Z1315" s="39" t="s">
        <v>872</v>
      </c>
      <c r="AB1315" s="39">
        <v>0.25</v>
      </c>
    </row>
    <row r="1316">
      <c r="A1316" s="39" t="s">
        <v>1646</v>
      </c>
      <c r="B1316" s="39" t="s">
        <v>1647</v>
      </c>
      <c r="C1316" s="39">
        <v>0.25</v>
      </c>
      <c r="D1316" s="41">
        <v>44146.291666666664</v>
      </c>
      <c r="E1316" s="39" t="s">
        <v>1600</v>
      </c>
      <c r="F1316" s="39" t="s">
        <v>1601</v>
      </c>
      <c r="G1316" s="39" t="s">
        <v>830</v>
      </c>
      <c r="H1316" s="39">
        <v>1120.0</v>
      </c>
      <c r="N1316" s="39" t="s">
        <v>883</v>
      </c>
      <c r="R1316" s="39" t="s">
        <v>1021</v>
      </c>
      <c r="S1316" s="39" t="s">
        <v>833</v>
      </c>
      <c r="T1316" s="39" t="s">
        <v>884</v>
      </c>
      <c r="U1316" s="39" t="s">
        <v>883</v>
      </c>
      <c r="X1316" s="39" t="s">
        <v>1953</v>
      </c>
      <c r="Z1316" s="39" t="s">
        <v>1649</v>
      </c>
      <c r="AB1316" s="39">
        <v>0.25</v>
      </c>
    </row>
    <row r="1317">
      <c r="A1317" s="39" t="s">
        <v>1945</v>
      </c>
      <c r="B1317" s="39" t="s">
        <v>1946</v>
      </c>
      <c r="C1317" s="39">
        <v>2.0</v>
      </c>
      <c r="D1317" s="41">
        <v>44146.333333333336</v>
      </c>
      <c r="E1317" s="39" t="s">
        <v>1048</v>
      </c>
      <c r="F1317" s="39" t="s">
        <v>1049</v>
      </c>
      <c r="G1317" s="39" t="s">
        <v>1050</v>
      </c>
      <c r="H1317" s="39">
        <v>1120.0</v>
      </c>
      <c r="N1317" s="39" t="s">
        <v>1051</v>
      </c>
      <c r="R1317" s="39" t="s">
        <v>832</v>
      </c>
      <c r="S1317" s="39" t="s">
        <v>889</v>
      </c>
      <c r="T1317" s="39" t="s">
        <v>1053</v>
      </c>
      <c r="U1317" s="39" t="s">
        <v>1051</v>
      </c>
      <c r="X1317" s="39" t="s">
        <v>1954</v>
      </c>
      <c r="Y1317" s="39" t="s">
        <v>1824</v>
      </c>
      <c r="Z1317" s="39" t="s">
        <v>872</v>
      </c>
      <c r="AB1317" s="39">
        <v>2.0</v>
      </c>
    </row>
    <row r="1318">
      <c r="A1318" s="39" t="s">
        <v>1892</v>
      </c>
      <c r="B1318" s="39" t="s">
        <v>1893</v>
      </c>
      <c r="C1318" s="39">
        <v>7.0</v>
      </c>
      <c r="D1318" s="41">
        <v>44146.333333333336</v>
      </c>
      <c r="E1318" s="39" t="s">
        <v>1059</v>
      </c>
      <c r="F1318" s="39" t="s">
        <v>1060</v>
      </c>
      <c r="G1318" s="39" t="s">
        <v>1050</v>
      </c>
      <c r="H1318" s="39">
        <v>1120.0</v>
      </c>
      <c r="N1318" s="39" t="s">
        <v>1051</v>
      </c>
      <c r="R1318" s="39" t="s">
        <v>957</v>
      </c>
      <c r="S1318" s="39" t="s">
        <v>889</v>
      </c>
      <c r="T1318" s="39" t="s">
        <v>1053</v>
      </c>
      <c r="U1318" s="39" t="s">
        <v>1051</v>
      </c>
      <c r="X1318" s="39" t="s">
        <v>1955</v>
      </c>
      <c r="Y1318" s="39" t="s">
        <v>1694</v>
      </c>
      <c r="Z1318" s="39" t="s">
        <v>872</v>
      </c>
      <c r="AB1318" s="39">
        <v>7.0</v>
      </c>
    </row>
    <row r="1319">
      <c r="A1319" s="39" t="s">
        <v>1876</v>
      </c>
      <c r="B1319" s="39" t="s">
        <v>1877</v>
      </c>
      <c r="C1319" s="39">
        <v>0.25</v>
      </c>
      <c r="D1319" s="41">
        <v>44146.354166666664</v>
      </c>
      <c r="E1319" s="39" t="s">
        <v>872</v>
      </c>
      <c r="F1319" s="39" t="s">
        <v>724</v>
      </c>
      <c r="G1319" s="39" t="s">
        <v>830</v>
      </c>
      <c r="H1319" s="39">
        <v>1120.0</v>
      </c>
      <c r="N1319" s="39" t="s">
        <v>1051</v>
      </c>
      <c r="R1319" s="39" t="s">
        <v>957</v>
      </c>
      <c r="S1319" s="39" t="s">
        <v>1052</v>
      </c>
      <c r="T1319" s="39" t="s">
        <v>1053</v>
      </c>
      <c r="U1319" s="39" t="s">
        <v>1051</v>
      </c>
      <c r="X1319" s="39" t="s">
        <v>1878</v>
      </c>
      <c r="Y1319" s="39" t="s">
        <v>1288</v>
      </c>
      <c r="Z1319" s="39" t="s">
        <v>872</v>
      </c>
      <c r="AB1319" s="39">
        <v>0.25</v>
      </c>
    </row>
    <row r="1320">
      <c r="A1320" s="39" t="s">
        <v>1892</v>
      </c>
      <c r="B1320" s="39" t="s">
        <v>1893</v>
      </c>
      <c r="C1320" s="39">
        <v>0.25</v>
      </c>
      <c r="D1320" s="41">
        <v>44146.364583333336</v>
      </c>
      <c r="E1320" s="39" t="s">
        <v>872</v>
      </c>
      <c r="F1320" s="39" t="s">
        <v>724</v>
      </c>
      <c r="G1320" s="39" t="s">
        <v>830</v>
      </c>
      <c r="H1320" s="39">
        <v>1120.0</v>
      </c>
      <c r="N1320" s="39" t="s">
        <v>1051</v>
      </c>
      <c r="R1320" s="39" t="s">
        <v>957</v>
      </c>
      <c r="S1320" s="39" t="s">
        <v>889</v>
      </c>
      <c r="T1320" s="39" t="s">
        <v>1053</v>
      </c>
      <c r="U1320" s="39" t="s">
        <v>1051</v>
      </c>
      <c r="X1320" s="39" t="s">
        <v>1894</v>
      </c>
      <c r="Y1320" s="39" t="s">
        <v>1694</v>
      </c>
      <c r="Z1320" s="39" t="s">
        <v>872</v>
      </c>
      <c r="AB1320" s="39">
        <v>0.25</v>
      </c>
    </row>
    <row r="1321">
      <c r="A1321" s="39" t="s">
        <v>1380</v>
      </c>
      <c r="B1321" s="39" t="s">
        <v>1381</v>
      </c>
      <c r="C1321" s="39">
        <v>0.5</v>
      </c>
      <c r="D1321" s="41">
        <v>44146.375</v>
      </c>
      <c r="E1321" s="39" t="s">
        <v>872</v>
      </c>
      <c r="F1321" s="39" t="s">
        <v>724</v>
      </c>
      <c r="G1321" s="39" t="s">
        <v>830</v>
      </c>
      <c r="H1321" s="39">
        <v>1120.0</v>
      </c>
      <c r="N1321" s="39" t="s">
        <v>1051</v>
      </c>
      <c r="R1321" s="39" t="s">
        <v>832</v>
      </c>
      <c r="S1321" s="39" t="s">
        <v>889</v>
      </c>
      <c r="T1321" s="39" t="s">
        <v>1053</v>
      </c>
      <c r="U1321" s="39" t="s">
        <v>1051</v>
      </c>
      <c r="X1321" s="39" t="s">
        <v>1853</v>
      </c>
      <c r="Y1321" s="39" t="s">
        <v>1131</v>
      </c>
      <c r="Z1321" s="39" t="s">
        <v>872</v>
      </c>
      <c r="AB1321" s="39">
        <v>0.5</v>
      </c>
    </row>
    <row r="1322">
      <c r="A1322" s="39" t="s">
        <v>1945</v>
      </c>
      <c r="B1322" s="39" t="s">
        <v>1946</v>
      </c>
      <c r="C1322" s="39">
        <v>0.25</v>
      </c>
      <c r="D1322" s="41">
        <v>44146.395833333336</v>
      </c>
      <c r="E1322" s="39" t="s">
        <v>872</v>
      </c>
      <c r="F1322" s="39" t="s">
        <v>724</v>
      </c>
      <c r="G1322" s="39" t="s">
        <v>830</v>
      </c>
      <c r="H1322" s="39">
        <v>1120.0</v>
      </c>
      <c r="N1322" s="39" t="s">
        <v>1051</v>
      </c>
      <c r="R1322" s="39" t="s">
        <v>832</v>
      </c>
      <c r="S1322" s="39" t="s">
        <v>889</v>
      </c>
      <c r="T1322" s="39" t="s">
        <v>1053</v>
      </c>
      <c r="U1322" s="39" t="s">
        <v>1051</v>
      </c>
      <c r="X1322" s="39" t="s">
        <v>1948</v>
      </c>
      <c r="Y1322" s="39" t="s">
        <v>1824</v>
      </c>
      <c r="Z1322" s="39" t="s">
        <v>872</v>
      </c>
      <c r="AB1322" s="39">
        <v>0.25</v>
      </c>
    </row>
    <row r="1323">
      <c r="A1323" s="39" t="s">
        <v>1895</v>
      </c>
      <c r="B1323" s="39" t="s">
        <v>1896</v>
      </c>
      <c r="C1323" s="39">
        <v>0.25</v>
      </c>
      <c r="D1323" s="41">
        <v>44146.416666666664</v>
      </c>
      <c r="E1323" s="39" t="s">
        <v>872</v>
      </c>
      <c r="F1323" s="39" t="s">
        <v>724</v>
      </c>
      <c r="G1323" s="39" t="s">
        <v>830</v>
      </c>
      <c r="H1323" s="39">
        <v>1120.0</v>
      </c>
      <c r="N1323" s="39" t="s">
        <v>1051</v>
      </c>
      <c r="R1323" s="39" t="s">
        <v>832</v>
      </c>
      <c r="S1323" s="39" t="s">
        <v>889</v>
      </c>
      <c r="T1323" s="39" t="s">
        <v>1053</v>
      </c>
      <c r="U1323" s="39" t="s">
        <v>1051</v>
      </c>
      <c r="X1323" s="39" t="s">
        <v>1897</v>
      </c>
      <c r="Y1323" s="39" t="s">
        <v>1131</v>
      </c>
      <c r="Z1323" s="39" t="s">
        <v>872</v>
      </c>
      <c r="AB1323" s="39">
        <v>0.25</v>
      </c>
    </row>
    <row r="1324">
      <c r="A1324" s="39" t="s">
        <v>1892</v>
      </c>
      <c r="B1324" s="39" t="s">
        <v>1893</v>
      </c>
      <c r="C1324" s="39">
        <v>2.0</v>
      </c>
      <c r="D1324" s="41">
        <v>44146.416666666664</v>
      </c>
      <c r="E1324" s="39" t="s">
        <v>1048</v>
      </c>
      <c r="F1324" s="39" t="s">
        <v>1049</v>
      </c>
      <c r="G1324" s="39" t="s">
        <v>1050</v>
      </c>
      <c r="H1324" s="39">
        <v>1120.0</v>
      </c>
      <c r="N1324" s="39" t="s">
        <v>1051</v>
      </c>
      <c r="R1324" s="39" t="s">
        <v>957</v>
      </c>
      <c r="S1324" s="39" t="s">
        <v>889</v>
      </c>
      <c r="T1324" s="39" t="s">
        <v>1053</v>
      </c>
      <c r="U1324" s="39" t="s">
        <v>1051</v>
      </c>
      <c r="X1324" s="39" t="s">
        <v>1956</v>
      </c>
      <c r="Y1324" s="39" t="s">
        <v>1694</v>
      </c>
      <c r="Z1324" s="39" t="s">
        <v>872</v>
      </c>
      <c r="AB1324" s="39">
        <v>2.0</v>
      </c>
    </row>
    <row r="1325">
      <c r="A1325" s="39" t="s">
        <v>1360</v>
      </c>
      <c r="B1325" s="39" t="s">
        <v>1361</v>
      </c>
      <c r="C1325" s="39">
        <v>0.25</v>
      </c>
      <c r="D1325" s="41">
        <v>44146.53125</v>
      </c>
      <c r="E1325" s="39" t="s">
        <v>872</v>
      </c>
      <c r="F1325" s="39" t="s">
        <v>724</v>
      </c>
      <c r="G1325" s="39" t="s">
        <v>830</v>
      </c>
      <c r="H1325" s="39">
        <v>1120.0</v>
      </c>
      <c r="N1325" s="39" t="s">
        <v>1051</v>
      </c>
      <c r="R1325" s="39" t="s">
        <v>957</v>
      </c>
      <c r="S1325" s="39" t="s">
        <v>889</v>
      </c>
      <c r="T1325" s="39" t="s">
        <v>1053</v>
      </c>
      <c r="U1325" s="39" t="s">
        <v>1051</v>
      </c>
      <c r="X1325" s="39" t="s">
        <v>1957</v>
      </c>
      <c r="Y1325" s="39" t="s">
        <v>1363</v>
      </c>
      <c r="Z1325" s="39" t="s">
        <v>872</v>
      </c>
      <c r="AB1325" s="39">
        <v>0.25</v>
      </c>
    </row>
    <row r="1326">
      <c r="A1326" s="39" t="s">
        <v>1906</v>
      </c>
      <c r="B1326" s="39" t="s">
        <v>1907</v>
      </c>
      <c r="C1326" s="39">
        <v>0.25</v>
      </c>
      <c r="D1326" s="41">
        <v>44146.541666666664</v>
      </c>
      <c r="E1326" s="39" t="s">
        <v>872</v>
      </c>
      <c r="F1326" s="39" t="s">
        <v>724</v>
      </c>
      <c r="G1326" s="39" t="s">
        <v>830</v>
      </c>
      <c r="H1326" s="39">
        <v>1120.0</v>
      </c>
      <c r="N1326" s="39" t="s">
        <v>1051</v>
      </c>
      <c r="R1326" s="39" t="s">
        <v>957</v>
      </c>
      <c r="S1326" s="39" t="s">
        <v>1052</v>
      </c>
      <c r="T1326" s="39" t="s">
        <v>1053</v>
      </c>
      <c r="U1326" s="39" t="s">
        <v>1051</v>
      </c>
      <c r="X1326" s="39" t="s">
        <v>1908</v>
      </c>
      <c r="Y1326" s="39" t="s">
        <v>1596</v>
      </c>
      <c r="Z1326" s="39" t="s">
        <v>872</v>
      </c>
      <c r="AB1326" s="39">
        <v>0.25</v>
      </c>
    </row>
    <row r="1327">
      <c r="A1327" s="39" t="s">
        <v>1929</v>
      </c>
      <c r="B1327" s="39" t="s">
        <v>1930</v>
      </c>
      <c r="C1327" s="39">
        <v>2.0</v>
      </c>
      <c r="D1327" s="41">
        <v>44146.541666666664</v>
      </c>
      <c r="E1327" s="39" t="s">
        <v>1048</v>
      </c>
      <c r="F1327" s="39" t="s">
        <v>1049</v>
      </c>
      <c r="G1327" s="39" t="s">
        <v>1050</v>
      </c>
      <c r="H1327" s="39">
        <v>1120.0</v>
      </c>
      <c r="N1327" s="39" t="s">
        <v>1051</v>
      </c>
      <c r="R1327" s="39" t="s">
        <v>957</v>
      </c>
      <c r="S1327" s="39" t="s">
        <v>1274</v>
      </c>
      <c r="T1327" s="39" t="s">
        <v>1053</v>
      </c>
      <c r="U1327" s="39" t="s">
        <v>1051</v>
      </c>
      <c r="X1327" s="39" t="s">
        <v>1958</v>
      </c>
      <c r="Y1327" s="39" t="s">
        <v>1848</v>
      </c>
      <c r="Z1327" s="39" t="s">
        <v>1048</v>
      </c>
      <c r="AB1327" s="39">
        <v>2.0</v>
      </c>
    </row>
    <row r="1328">
      <c r="A1328" s="39" t="s">
        <v>1831</v>
      </c>
      <c r="B1328" s="39" t="s">
        <v>1832</v>
      </c>
      <c r="C1328" s="39">
        <v>0.25</v>
      </c>
      <c r="D1328" s="41">
        <v>44146.5625</v>
      </c>
      <c r="E1328" s="39" t="s">
        <v>872</v>
      </c>
      <c r="F1328" s="39" t="s">
        <v>724</v>
      </c>
      <c r="G1328" s="39" t="s">
        <v>830</v>
      </c>
      <c r="H1328" s="39">
        <v>1120.0</v>
      </c>
      <c r="N1328" s="39" t="s">
        <v>1051</v>
      </c>
      <c r="R1328" s="39" t="s">
        <v>832</v>
      </c>
      <c r="S1328" s="39" t="s">
        <v>1052</v>
      </c>
      <c r="T1328" s="39" t="s">
        <v>1053</v>
      </c>
      <c r="U1328" s="39" t="s">
        <v>1051</v>
      </c>
      <c r="X1328" s="39" t="s">
        <v>1949</v>
      </c>
      <c r="Y1328" s="39" t="s">
        <v>1131</v>
      </c>
      <c r="Z1328" s="39" t="s">
        <v>872</v>
      </c>
      <c r="AB1328" s="39">
        <v>0.25</v>
      </c>
    </row>
    <row r="1329">
      <c r="A1329" s="39" t="s">
        <v>1945</v>
      </c>
      <c r="B1329" s="39" t="s">
        <v>1946</v>
      </c>
      <c r="C1329" s="39">
        <v>2.0</v>
      </c>
      <c r="D1329" s="41">
        <v>44147.333333333336</v>
      </c>
      <c r="E1329" s="39" t="s">
        <v>1048</v>
      </c>
      <c r="F1329" s="39" t="s">
        <v>1049</v>
      </c>
      <c r="G1329" s="39" t="s">
        <v>1050</v>
      </c>
      <c r="H1329" s="39">
        <v>1120.0</v>
      </c>
      <c r="N1329" s="39" t="s">
        <v>1051</v>
      </c>
      <c r="R1329" s="39" t="s">
        <v>832</v>
      </c>
      <c r="S1329" s="39" t="s">
        <v>889</v>
      </c>
      <c r="T1329" s="39" t="s">
        <v>1053</v>
      </c>
      <c r="U1329" s="39" t="s">
        <v>1051</v>
      </c>
      <c r="X1329" s="39" t="s">
        <v>1959</v>
      </c>
      <c r="Y1329" s="39" t="s">
        <v>1824</v>
      </c>
      <c r="Z1329" s="39" t="s">
        <v>872</v>
      </c>
      <c r="AB1329" s="39">
        <v>2.0</v>
      </c>
    </row>
    <row r="1330">
      <c r="A1330" s="39" t="s">
        <v>1831</v>
      </c>
      <c r="B1330" s="39" t="s">
        <v>1832</v>
      </c>
      <c r="C1330" s="39">
        <v>7.0</v>
      </c>
      <c r="D1330" s="41">
        <v>44147.333333333336</v>
      </c>
      <c r="E1330" s="39" t="s">
        <v>1059</v>
      </c>
      <c r="F1330" s="39" t="s">
        <v>1060</v>
      </c>
      <c r="G1330" s="39" t="s">
        <v>1050</v>
      </c>
      <c r="H1330" s="39">
        <v>1120.0</v>
      </c>
      <c r="N1330" s="39" t="s">
        <v>1051</v>
      </c>
      <c r="R1330" s="39" t="s">
        <v>832</v>
      </c>
      <c r="S1330" s="39" t="s">
        <v>1052</v>
      </c>
      <c r="T1330" s="39" t="s">
        <v>1053</v>
      </c>
      <c r="U1330" s="39" t="s">
        <v>1051</v>
      </c>
      <c r="X1330" s="39" t="s">
        <v>1960</v>
      </c>
      <c r="Y1330" s="39" t="s">
        <v>1131</v>
      </c>
      <c r="Z1330" s="39" t="s">
        <v>872</v>
      </c>
      <c r="AB1330" s="39">
        <v>7.0</v>
      </c>
    </row>
    <row r="1331">
      <c r="A1331" s="39" t="s">
        <v>1892</v>
      </c>
      <c r="B1331" s="39" t="s">
        <v>1893</v>
      </c>
      <c r="C1331" s="39">
        <v>0.5</v>
      </c>
      <c r="D1331" s="41">
        <v>44147.364583333336</v>
      </c>
      <c r="E1331" s="39" t="s">
        <v>872</v>
      </c>
      <c r="F1331" s="39" t="s">
        <v>724</v>
      </c>
      <c r="G1331" s="39" t="s">
        <v>830</v>
      </c>
      <c r="H1331" s="39">
        <v>1120.0</v>
      </c>
      <c r="N1331" s="39" t="s">
        <v>1051</v>
      </c>
      <c r="R1331" s="39" t="s">
        <v>957</v>
      </c>
      <c r="S1331" s="39" t="s">
        <v>889</v>
      </c>
      <c r="T1331" s="39" t="s">
        <v>1053</v>
      </c>
      <c r="U1331" s="39" t="s">
        <v>1051</v>
      </c>
      <c r="X1331" s="39" t="s">
        <v>1894</v>
      </c>
      <c r="Y1331" s="39" t="s">
        <v>1694</v>
      </c>
      <c r="Z1331" s="39" t="s">
        <v>872</v>
      </c>
      <c r="AB1331" s="39">
        <v>0.5</v>
      </c>
    </row>
    <row r="1332">
      <c r="A1332" s="39" t="s">
        <v>1806</v>
      </c>
      <c r="B1332" s="39" t="s">
        <v>1807</v>
      </c>
      <c r="C1332" s="39">
        <v>0.25</v>
      </c>
      <c r="D1332" s="41">
        <v>44147.395833333336</v>
      </c>
      <c r="E1332" s="39" t="s">
        <v>872</v>
      </c>
      <c r="F1332" s="39" t="s">
        <v>724</v>
      </c>
      <c r="G1332" s="39" t="s">
        <v>830</v>
      </c>
      <c r="H1332" s="39">
        <v>1120.0</v>
      </c>
      <c r="N1332" s="39" t="s">
        <v>1810</v>
      </c>
      <c r="R1332" s="39" t="s">
        <v>1811</v>
      </c>
      <c r="S1332" s="39" t="s">
        <v>833</v>
      </c>
      <c r="T1332" s="39" t="s">
        <v>1812</v>
      </c>
      <c r="U1332" s="39" t="s">
        <v>1810</v>
      </c>
      <c r="W1332" s="39" t="s">
        <v>125</v>
      </c>
      <c r="X1332" s="39" t="s">
        <v>1813</v>
      </c>
      <c r="Y1332" s="39" t="s">
        <v>1814</v>
      </c>
      <c r="Z1332" s="39" t="s">
        <v>872</v>
      </c>
      <c r="AB1332" s="39">
        <v>0.25</v>
      </c>
      <c r="AC1332" s="39">
        <v>0.0</v>
      </c>
      <c r="AD1332" s="39">
        <v>0.0</v>
      </c>
    </row>
    <row r="1333">
      <c r="A1333" s="39" t="s">
        <v>1895</v>
      </c>
      <c r="B1333" s="39" t="s">
        <v>1896</v>
      </c>
      <c r="C1333" s="39">
        <v>0.25</v>
      </c>
      <c r="D1333" s="41">
        <v>44147.40625</v>
      </c>
      <c r="E1333" s="39" t="s">
        <v>872</v>
      </c>
      <c r="F1333" s="39" t="s">
        <v>724</v>
      </c>
      <c r="G1333" s="39" t="s">
        <v>830</v>
      </c>
      <c r="H1333" s="39">
        <v>1120.0</v>
      </c>
      <c r="N1333" s="39" t="s">
        <v>1051</v>
      </c>
      <c r="R1333" s="39" t="s">
        <v>832</v>
      </c>
      <c r="S1333" s="39" t="s">
        <v>889</v>
      </c>
      <c r="T1333" s="39" t="s">
        <v>1053</v>
      </c>
      <c r="U1333" s="39" t="s">
        <v>1051</v>
      </c>
      <c r="X1333" s="39" t="s">
        <v>1897</v>
      </c>
      <c r="Y1333" s="39" t="s">
        <v>1131</v>
      </c>
      <c r="Z1333" s="39" t="s">
        <v>872</v>
      </c>
      <c r="AB1333" s="39">
        <v>0.25</v>
      </c>
    </row>
    <row r="1334">
      <c r="A1334" s="39" t="s">
        <v>1932</v>
      </c>
      <c r="B1334" s="39" t="s">
        <v>1933</v>
      </c>
      <c r="C1334" s="39">
        <v>2.0</v>
      </c>
      <c r="D1334" s="41">
        <v>44147.416666666664</v>
      </c>
      <c r="E1334" s="39" t="s">
        <v>1048</v>
      </c>
      <c r="F1334" s="39" t="s">
        <v>1049</v>
      </c>
      <c r="G1334" s="39" t="s">
        <v>1050</v>
      </c>
      <c r="H1334" s="39">
        <v>1120.0</v>
      </c>
      <c r="N1334" s="39" t="s">
        <v>1051</v>
      </c>
      <c r="R1334" s="39" t="s">
        <v>832</v>
      </c>
      <c r="S1334" s="39" t="s">
        <v>1052</v>
      </c>
      <c r="T1334" s="39" t="s">
        <v>1053</v>
      </c>
      <c r="U1334" s="39" t="s">
        <v>1051</v>
      </c>
      <c r="X1334" s="39" t="s">
        <v>1961</v>
      </c>
      <c r="Y1334" s="39" t="s">
        <v>1131</v>
      </c>
      <c r="Z1334" s="39" t="s">
        <v>872</v>
      </c>
      <c r="AB1334" s="39">
        <v>2.0</v>
      </c>
    </row>
    <row r="1335">
      <c r="A1335" s="39" t="s">
        <v>1131</v>
      </c>
      <c r="B1335" s="39" t="s">
        <v>1591</v>
      </c>
      <c r="C1335" s="39">
        <v>1.0</v>
      </c>
      <c r="D1335" s="41">
        <v>44147.427083333336</v>
      </c>
      <c r="E1335" s="39" t="s">
        <v>872</v>
      </c>
      <c r="F1335" s="39" t="s">
        <v>724</v>
      </c>
      <c r="G1335" s="39" t="s">
        <v>830</v>
      </c>
      <c r="H1335" s="39">
        <v>1120.0</v>
      </c>
      <c r="N1335" s="39" t="s">
        <v>1051</v>
      </c>
      <c r="R1335" s="39" t="s">
        <v>72</v>
      </c>
      <c r="S1335" s="39" t="s">
        <v>889</v>
      </c>
      <c r="T1335" s="39" t="s">
        <v>1053</v>
      </c>
      <c r="U1335" s="39" t="s">
        <v>1051</v>
      </c>
      <c r="X1335" s="39" t="s">
        <v>1962</v>
      </c>
      <c r="Z1335" s="39" t="s">
        <v>872</v>
      </c>
      <c r="AB1335" s="39">
        <v>1.0</v>
      </c>
      <c r="AD1335" s="39">
        <v>0.0</v>
      </c>
    </row>
    <row r="1336">
      <c r="A1336" s="39" t="s">
        <v>1906</v>
      </c>
      <c r="B1336" s="39" t="s">
        <v>1907</v>
      </c>
      <c r="C1336" s="39">
        <v>0.5</v>
      </c>
      <c r="D1336" s="41">
        <v>44147.475694444445</v>
      </c>
      <c r="E1336" s="39" t="s">
        <v>872</v>
      </c>
      <c r="F1336" s="39" t="s">
        <v>724</v>
      </c>
      <c r="G1336" s="39" t="s">
        <v>830</v>
      </c>
      <c r="H1336" s="39">
        <v>1120.0</v>
      </c>
      <c r="N1336" s="39" t="s">
        <v>1051</v>
      </c>
      <c r="R1336" s="39" t="s">
        <v>957</v>
      </c>
      <c r="S1336" s="39" t="s">
        <v>1052</v>
      </c>
      <c r="T1336" s="39" t="s">
        <v>1053</v>
      </c>
      <c r="U1336" s="39" t="s">
        <v>1051</v>
      </c>
      <c r="X1336" s="39" t="s">
        <v>1908</v>
      </c>
      <c r="Y1336" s="39" t="s">
        <v>1596</v>
      </c>
      <c r="Z1336" s="39" t="s">
        <v>872</v>
      </c>
      <c r="AB1336" s="39">
        <v>0.5</v>
      </c>
    </row>
    <row r="1337">
      <c r="A1337" s="39" t="s">
        <v>1945</v>
      </c>
      <c r="B1337" s="39" t="s">
        <v>1946</v>
      </c>
      <c r="C1337" s="39">
        <v>0.5</v>
      </c>
      <c r="D1337" s="41">
        <v>44147.49652777778</v>
      </c>
      <c r="E1337" s="39" t="s">
        <v>872</v>
      </c>
      <c r="F1337" s="39" t="s">
        <v>724</v>
      </c>
      <c r="G1337" s="39" t="s">
        <v>830</v>
      </c>
      <c r="H1337" s="39">
        <v>1120.0</v>
      </c>
      <c r="N1337" s="39" t="s">
        <v>1051</v>
      </c>
      <c r="R1337" s="39" t="s">
        <v>832</v>
      </c>
      <c r="S1337" s="39" t="s">
        <v>889</v>
      </c>
      <c r="T1337" s="39" t="s">
        <v>1053</v>
      </c>
      <c r="U1337" s="39" t="s">
        <v>1051</v>
      </c>
      <c r="X1337" s="39" t="s">
        <v>1948</v>
      </c>
      <c r="Y1337" s="39" t="s">
        <v>1824</v>
      </c>
      <c r="Z1337" s="39" t="s">
        <v>872</v>
      </c>
      <c r="AB1337" s="39">
        <v>0.5</v>
      </c>
    </row>
    <row r="1338">
      <c r="A1338" s="39" t="s">
        <v>1945</v>
      </c>
      <c r="B1338" s="39" t="s">
        <v>1946</v>
      </c>
      <c r="C1338" s="39">
        <v>3.0</v>
      </c>
      <c r="D1338" s="41">
        <v>44147.5</v>
      </c>
      <c r="E1338" s="39" t="s">
        <v>1048</v>
      </c>
      <c r="F1338" s="39" t="s">
        <v>1049</v>
      </c>
      <c r="G1338" s="39" t="s">
        <v>1050</v>
      </c>
      <c r="H1338" s="39">
        <v>1120.0</v>
      </c>
      <c r="N1338" s="39" t="s">
        <v>1051</v>
      </c>
      <c r="R1338" s="39" t="s">
        <v>832</v>
      </c>
      <c r="S1338" s="39" t="s">
        <v>889</v>
      </c>
      <c r="T1338" s="39" t="s">
        <v>1053</v>
      </c>
      <c r="U1338" s="39" t="s">
        <v>1051</v>
      </c>
      <c r="X1338" s="39" t="s">
        <v>1963</v>
      </c>
      <c r="Y1338" s="39" t="s">
        <v>1824</v>
      </c>
      <c r="Z1338" s="39" t="s">
        <v>872</v>
      </c>
      <c r="AB1338" s="39">
        <v>3.0</v>
      </c>
    </row>
    <row r="1339">
      <c r="A1339" s="39" t="s">
        <v>1895</v>
      </c>
      <c r="B1339" s="39" t="s">
        <v>1896</v>
      </c>
      <c r="C1339" s="39">
        <v>7.0</v>
      </c>
      <c r="D1339" s="41">
        <v>44148.333333333336</v>
      </c>
      <c r="E1339" s="39" t="s">
        <v>1059</v>
      </c>
      <c r="F1339" s="39" t="s">
        <v>1060</v>
      </c>
      <c r="G1339" s="39" t="s">
        <v>1050</v>
      </c>
      <c r="H1339" s="39">
        <v>1120.0</v>
      </c>
      <c r="N1339" s="39" t="s">
        <v>1051</v>
      </c>
      <c r="R1339" s="39" t="s">
        <v>832</v>
      </c>
      <c r="S1339" s="39" t="s">
        <v>889</v>
      </c>
      <c r="T1339" s="39" t="s">
        <v>1053</v>
      </c>
      <c r="U1339" s="39" t="s">
        <v>1051</v>
      </c>
      <c r="X1339" s="39" t="s">
        <v>1964</v>
      </c>
      <c r="Y1339" s="39" t="s">
        <v>1131</v>
      </c>
      <c r="Z1339" s="39" t="s">
        <v>872</v>
      </c>
      <c r="AB1339" s="39">
        <v>7.0</v>
      </c>
    </row>
    <row r="1340">
      <c r="A1340" s="39" t="s">
        <v>1892</v>
      </c>
      <c r="B1340" s="39" t="s">
        <v>1893</v>
      </c>
      <c r="C1340" s="39">
        <v>0.5</v>
      </c>
      <c r="D1340" s="41">
        <v>44148.354166666664</v>
      </c>
      <c r="E1340" s="39" t="s">
        <v>872</v>
      </c>
      <c r="F1340" s="39" t="s">
        <v>724</v>
      </c>
      <c r="G1340" s="39" t="s">
        <v>830</v>
      </c>
      <c r="H1340" s="39">
        <v>1120.0</v>
      </c>
      <c r="N1340" s="39" t="s">
        <v>1051</v>
      </c>
      <c r="R1340" s="39" t="s">
        <v>957</v>
      </c>
      <c r="S1340" s="39" t="s">
        <v>889</v>
      </c>
      <c r="T1340" s="39" t="s">
        <v>1053</v>
      </c>
      <c r="U1340" s="39" t="s">
        <v>1051</v>
      </c>
      <c r="X1340" s="39" t="s">
        <v>1894</v>
      </c>
      <c r="Y1340" s="39" t="s">
        <v>1694</v>
      </c>
      <c r="Z1340" s="39" t="s">
        <v>872</v>
      </c>
      <c r="AB1340" s="39">
        <v>0.5</v>
      </c>
    </row>
    <row r="1341">
      <c r="A1341" s="39" t="s">
        <v>1945</v>
      </c>
      <c r="B1341" s="39" t="s">
        <v>1946</v>
      </c>
      <c r="C1341" s="39">
        <v>0.5</v>
      </c>
      <c r="D1341" s="41">
        <v>44148.375</v>
      </c>
      <c r="E1341" s="39" t="s">
        <v>872</v>
      </c>
      <c r="F1341" s="39" t="s">
        <v>724</v>
      </c>
      <c r="G1341" s="39" t="s">
        <v>830</v>
      </c>
      <c r="H1341" s="39">
        <v>1120.0</v>
      </c>
      <c r="N1341" s="39" t="s">
        <v>1051</v>
      </c>
      <c r="R1341" s="39" t="s">
        <v>832</v>
      </c>
      <c r="S1341" s="39" t="s">
        <v>889</v>
      </c>
      <c r="T1341" s="39" t="s">
        <v>1053</v>
      </c>
      <c r="U1341" s="39" t="s">
        <v>1051</v>
      </c>
      <c r="X1341" s="39" t="s">
        <v>1948</v>
      </c>
      <c r="Y1341" s="39" t="s">
        <v>1824</v>
      </c>
      <c r="Z1341" s="39" t="s">
        <v>872</v>
      </c>
      <c r="AB1341" s="39">
        <v>0.5</v>
      </c>
    </row>
    <row r="1342">
      <c r="A1342" s="39" t="s">
        <v>1131</v>
      </c>
      <c r="B1342" s="39" t="s">
        <v>1591</v>
      </c>
      <c r="C1342" s="39">
        <v>1.0</v>
      </c>
      <c r="D1342" s="41">
        <v>44148.395833333336</v>
      </c>
      <c r="E1342" s="39" t="s">
        <v>872</v>
      </c>
      <c r="F1342" s="39" t="s">
        <v>724</v>
      </c>
      <c r="G1342" s="39" t="s">
        <v>830</v>
      </c>
      <c r="H1342" s="39">
        <v>1120.0</v>
      </c>
      <c r="N1342" s="39" t="s">
        <v>1051</v>
      </c>
      <c r="R1342" s="39" t="s">
        <v>72</v>
      </c>
      <c r="S1342" s="39" t="s">
        <v>889</v>
      </c>
      <c r="T1342" s="39" t="s">
        <v>1053</v>
      </c>
      <c r="U1342" s="39" t="s">
        <v>1051</v>
      </c>
      <c r="X1342" s="39" t="s">
        <v>1724</v>
      </c>
      <c r="Z1342" s="39" t="s">
        <v>872</v>
      </c>
      <c r="AB1342" s="39">
        <v>1.0</v>
      </c>
      <c r="AD1342" s="39">
        <v>0.0</v>
      </c>
    </row>
    <row r="1343">
      <c r="A1343" s="39" t="s">
        <v>1892</v>
      </c>
      <c r="B1343" s="39" t="s">
        <v>1893</v>
      </c>
      <c r="C1343" s="39">
        <v>2.0</v>
      </c>
      <c r="D1343" s="41">
        <v>44148.416666666664</v>
      </c>
      <c r="E1343" s="39" t="s">
        <v>1048</v>
      </c>
      <c r="F1343" s="39" t="s">
        <v>1049</v>
      </c>
      <c r="G1343" s="39" t="s">
        <v>1050</v>
      </c>
      <c r="H1343" s="39">
        <v>1120.0</v>
      </c>
      <c r="N1343" s="39" t="s">
        <v>1051</v>
      </c>
      <c r="R1343" s="39" t="s">
        <v>957</v>
      </c>
      <c r="S1343" s="39" t="s">
        <v>889</v>
      </c>
      <c r="T1343" s="39" t="s">
        <v>1053</v>
      </c>
      <c r="U1343" s="39" t="s">
        <v>1051</v>
      </c>
      <c r="X1343" s="39" t="s">
        <v>1965</v>
      </c>
      <c r="Y1343" s="39" t="s">
        <v>1694</v>
      </c>
      <c r="Z1343" s="39" t="s">
        <v>872</v>
      </c>
      <c r="AB1343" s="39">
        <v>2.0</v>
      </c>
    </row>
    <row r="1344">
      <c r="A1344" s="39" t="s">
        <v>1966</v>
      </c>
      <c r="B1344" s="39" t="s">
        <v>1967</v>
      </c>
      <c r="C1344" s="39">
        <v>0.25</v>
      </c>
      <c r="D1344" s="41">
        <v>44148.4375</v>
      </c>
      <c r="E1344" s="39" t="s">
        <v>872</v>
      </c>
      <c r="F1344" s="39" t="s">
        <v>724</v>
      </c>
      <c r="G1344" s="39" t="s">
        <v>830</v>
      </c>
      <c r="H1344" s="39">
        <v>1120.0</v>
      </c>
      <c r="N1344" s="39" t="s">
        <v>1051</v>
      </c>
      <c r="R1344" s="39" t="s">
        <v>957</v>
      </c>
      <c r="S1344" s="39" t="s">
        <v>842</v>
      </c>
      <c r="T1344" s="39" t="s">
        <v>1053</v>
      </c>
      <c r="U1344" s="39" t="s">
        <v>1051</v>
      </c>
      <c r="X1344" s="39" t="s">
        <v>1968</v>
      </c>
      <c r="Y1344" s="39" t="s">
        <v>1363</v>
      </c>
      <c r="Z1344" s="39" t="s">
        <v>872</v>
      </c>
      <c r="AB1344" s="39">
        <v>0.25</v>
      </c>
    </row>
    <row r="1345">
      <c r="A1345" s="39" t="s">
        <v>1824</v>
      </c>
      <c r="B1345" s="39" t="s">
        <v>1825</v>
      </c>
      <c r="C1345" s="39">
        <v>1.0</v>
      </c>
      <c r="D1345" s="41">
        <v>44148.5</v>
      </c>
      <c r="E1345" s="39" t="s">
        <v>872</v>
      </c>
      <c r="F1345" s="39" t="s">
        <v>724</v>
      </c>
      <c r="G1345" s="39" t="s">
        <v>830</v>
      </c>
      <c r="H1345" s="39">
        <v>1120.0</v>
      </c>
      <c r="N1345" s="39" t="s">
        <v>1051</v>
      </c>
      <c r="R1345" s="39" t="s">
        <v>72</v>
      </c>
      <c r="S1345" s="39" t="s">
        <v>889</v>
      </c>
      <c r="T1345" s="39" t="s">
        <v>1053</v>
      </c>
      <c r="U1345" s="39" t="s">
        <v>1051</v>
      </c>
      <c r="X1345" s="39" t="s">
        <v>1826</v>
      </c>
      <c r="Z1345" s="39" t="s">
        <v>872</v>
      </c>
      <c r="AB1345" s="39">
        <v>1.0</v>
      </c>
    </row>
    <row r="1346">
      <c r="A1346" s="39" t="s">
        <v>1895</v>
      </c>
      <c r="B1346" s="39" t="s">
        <v>1896</v>
      </c>
      <c r="C1346" s="39">
        <v>3.0</v>
      </c>
      <c r="D1346" s="41">
        <v>44148.5</v>
      </c>
      <c r="E1346" s="39" t="s">
        <v>1048</v>
      </c>
      <c r="F1346" s="39" t="s">
        <v>1049</v>
      </c>
      <c r="G1346" s="39" t="s">
        <v>1050</v>
      </c>
      <c r="H1346" s="39">
        <v>1120.0</v>
      </c>
      <c r="N1346" s="39" t="s">
        <v>1051</v>
      </c>
      <c r="R1346" s="39" t="s">
        <v>832</v>
      </c>
      <c r="S1346" s="39" t="s">
        <v>889</v>
      </c>
      <c r="T1346" s="39" t="s">
        <v>1053</v>
      </c>
      <c r="U1346" s="39" t="s">
        <v>1051</v>
      </c>
      <c r="X1346" s="39" t="s">
        <v>1969</v>
      </c>
      <c r="Y1346" s="39" t="s">
        <v>1131</v>
      </c>
      <c r="Z1346" s="39" t="s">
        <v>872</v>
      </c>
      <c r="AB1346" s="39">
        <v>3.0</v>
      </c>
    </row>
    <row r="1347">
      <c r="A1347" s="39" t="s">
        <v>1970</v>
      </c>
      <c r="B1347" s="39" t="s">
        <v>1971</v>
      </c>
      <c r="C1347" s="39">
        <v>0.25</v>
      </c>
      <c r="D1347" s="41">
        <v>44148.541666666664</v>
      </c>
      <c r="E1347" s="39" t="s">
        <v>872</v>
      </c>
      <c r="F1347" s="39" t="s">
        <v>724</v>
      </c>
      <c r="G1347" s="39" t="s">
        <v>830</v>
      </c>
      <c r="H1347" s="39">
        <v>1120.0</v>
      </c>
      <c r="N1347" s="39" t="s">
        <v>1051</v>
      </c>
      <c r="R1347" s="39" t="s">
        <v>957</v>
      </c>
      <c r="S1347" s="39" t="s">
        <v>1052</v>
      </c>
      <c r="T1347" s="39" t="s">
        <v>1053</v>
      </c>
      <c r="U1347" s="39" t="s">
        <v>1051</v>
      </c>
      <c r="X1347" s="39" t="s">
        <v>1972</v>
      </c>
      <c r="Y1347" s="39" t="s">
        <v>1838</v>
      </c>
      <c r="Z1347" s="39" t="s">
        <v>872</v>
      </c>
      <c r="AB1347" s="39">
        <v>0.25</v>
      </c>
    </row>
    <row r="1348">
      <c r="A1348" s="39" t="s">
        <v>1380</v>
      </c>
      <c r="B1348" s="39" t="s">
        <v>1381</v>
      </c>
      <c r="C1348" s="39">
        <v>0.5</v>
      </c>
      <c r="D1348" s="41">
        <v>44148.635416666664</v>
      </c>
      <c r="E1348" s="39" t="s">
        <v>872</v>
      </c>
      <c r="F1348" s="39" t="s">
        <v>724</v>
      </c>
      <c r="G1348" s="39" t="s">
        <v>830</v>
      </c>
      <c r="H1348" s="39">
        <v>1120.0</v>
      </c>
      <c r="N1348" s="39" t="s">
        <v>1051</v>
      </c>
      <c r="R1348" s="39" t="s">
        <v>832</v>
      </c>
      <c r="S1348" s="39" t="s">
        <v>889</v>
      </c>
      <c r="T1348" s="39" t="s">
        <v>1053</v>
      </c>
      <c r="U1348" s="39" t="s">
        <v>1051</v>
      </c>
      <c r="X1348" s="39" t="s">
        <v>1853</v>
      </c>
      <c r="Y1348" s="39" t="s">
        <v>1131</v>
      </c>
      <c r="Z1348" s="39" t="s">
        <v>872</v>
      </c>
      <c r="AB1348" s="39">
        <v>0.5</v>
      </c>
    </row>
    <row r="1349">
      <c r="A1349" s="39" t="s">
        <v>1932</v>
      </c>
      <c r="B1349" s="39" t="s">
        <v>1933</v>
      </c>
      <c r="C1349" s="39">
        <v>0.25</v>
      </c>
      <c r="D1349" s="41">
        <v>44148.666666666664</v>
      </c>
      <c r="E1349" s="39" t="s">
        <v>872</v>
      </c>
      <c r="F1349" s="39" t="s">
        <v>724</v>
      </c>
      <c r="G1349" s="39" t="s">
        <v>830</v>
      </c>
      <c r="H1349" s="39">
        <v>1120.0</v>
      </c>
      <c r="N1349" s="39" t="s">
        <v>1051</v>
      </c>
      <c r="R1349" s="39" t="s">
        <v>832</v>
      </c>
      <c r="S1349" s="39" t="s">
        <v>1052</v>
      </c>
      <c r="T1349" s="39" t="s">
        <v>1053</v>
      </c>
      <c r="U1349" s="39" t="s">
        <v>1051</v>
      </c>
      <c r="X1349" s="39" t="s">
        <v>1938</v>
      </c>
      <c r="Y1349" s="39" t="s">
        <v>1131</v>
      </c>
      <c r="Z1349" s="39" t="s">
        <v>872</v>
      </c>
      <c r="AB1349" s="39">
        <v>0.25</v>
      </c>
    </row>
    <row r="1350">
      <c r="A1350" s="39" t="s">
        <v>1945</v>
      </c>
      <c r="B1350" s="39" t="s">
        <v>1946</v>
      </c>
      <c r="C1350" s="39">
        <v>4.0</v>
      </c>
      <c r="D1350" s="41">
        <v>44151.333333333336</v>
      </c>
      <c r="E1350" s="39" t="s">
        <v>1048</v>
      </c>
      <c r="F1350" s="39" t="s">
        <v>1049</v>
      </c>
      <c r="G1350" s="39" t="s">
        <v>1050</v>
      </c>
      <c r="H1350" s="39">
        <v>1120.0</v>
      </c>
      <c r="N1350" s="39" t="s">
        <v>1051</v>
      </c>
      <c r="R1350" s="39" t="s">
        <v>832</v>
      </c>
      <c r="S1350" s="39" t="s">
        <v>889</v>
      </c>
      <c r="T1350" s="39" t="s">
        <v>1053</v>
      </c>
      <c r="U1350" s="39" t="s">
        <v>1051</v>
      </c>
      <c r="X1350" s="39" t="s">
        <v>1973</v>
      </c>
      <c r="Y1350" s="39" t="s">
        <v>1824</v>
      </c>
      <c r="Z1350" s="39" t="s">
        <v>872</v>
      </c>
      <c r="AB1350" s="39">
        <v>4.0</v>
      </c>
    </row>
    <row r="1351">
      <c r="A1351" s="39" t="s">
        <v>1895</v>
      </c>
      <c r="B1351" s="39" t="s">
        <v>1896</v>
      </c>
      <c r="C1351" s="39">
        <v>7.0</v>
      </c>
      <c r="D1351" s="41">
        <v>44151.333333333336</v>
      </c>
      <c r="E1351" s="39" t="s">
        <v>1059</v>
      </c>
      <c r="F1351" s="39" t="s">
        <v>1060</v>
      </c>
      <c r="G1351" s="39" t="s">
        <v>1050</v>
      </c>
      <c r="H1351" s="39">
        <v>1120.0</v>
      </c>
      <c r="N1351" s="39" t="s">
        <v>1051</v>
      </c>
      <c r="R1351" s="39" t="s">
        <v>832</v>
      </c>
      <c r="S1351" s="39" t="s">
        <v>889</v>
      </c>
      <c r="T1351" s="39" t="s">
        <v>1053</v>
      </c>
      <c r="U1351" s="39" t="s">
        <v>1051</v>
      </c>
      <c r="X1351" s="39" t="s">
        <v>1974</v>
      </c>
      <c r="Y1351" s="39" t="s">
        <v>1131</v>
      </c>
      <c r="Z1351" s="39" t="s">
        <v>872</v>
      </c>
      <c r="AB1351" s="39">
        <v>7.0</v>
      </c>
    </row>
    <row r="1352">
      <c r="A1352" s="39" t="s">
        <v>1806</v>
      </c>
      <c r="B1352" s="39" t="s">
        <v>1807</v>
      </c>
      <c r="C1352" s="39">
        <v>1.0</v>
      </c>
      <c r="D1352" s="41">
        <v>44151.385416666664</v>
      </c>
      <c r="E1352" s="39" t="s">
        <v>872</v>
      </c>
      <c r="F1352" s="39" t="s">
        <v>724</v>
      </c>
      <c r="G1352" s="39" t="s">
        <v>830</v>
      </c>
      <c r="H1352" s="39">
        <v>1120.0</v>
      </c>
      <c r="N1352" s="39" t="s">
        <v>1810</v>
      </c>
      <c r="R1352" s="39" t="s">
        <v>1811</v>
      </c>
      <c r="S1352" s="39" t="s">
        <v>833</v>
      </c>
      <c r="T1352" s="39" t="s">
        <v>1812</v>
      </c>
      <c r="U1352" s="39" t="s">
        <v>1810</v>
      </c>
      <c r="W1352" s="39" t="s">
        <v>125</v>
      </c>
      <c r="X1352" s="39" t="s">
        <v>1813</v>
      </c>
      <c r="Y1352" s="39" t="s">
        <v>1814</v>
      </c>
      <c r="Z1352" s="39" t="s">
        <v>872</v>
      </c>
      <c r="AB1352" s="39">
        <v>1.0</v>
      </c>
      <c r="AC1352" s="39">
        <v>0.0</v>
      </c>
      <c r="AD1352" s="39">
        <v>0.0</v>
      </c>
    </row>
    <row r="1353">
      <c r="A1353" s="39" t="s">
        <v>1131</v>
      </c>
      <c r="B1353" s="39" t="s">
        <v>1591</v>
      </c>
      <c r="C1353" s="39">
        <v>2.5</v>
      </c>
      <c r="D1353" s="41">
        <v>44151.458333333336</v>
      </c>
      <c r="E1353" s="39" t="s">
        <v>872</v>
      </c>
      <c r="F1353" s="39" t="s">
        <v>724</v>
      </c>
      <c r="G1353" s="39" t="s">
        <v>830</v>
      </c>
      <c r="H1353" s="39">
        <v>1120.0</v>
      </c>
      <c r="N1353" s="39" t="s">
        <v>1051</v>
      </c>
      <c r="R1353" s="39" t="s">
        <v>72</v>
      </c>
      <c r="S1353" s="39" t="s">
        <v>889</v>
      </c>
      <c r="T1353" s="39" t="s">
        <v>1053</v>
      </c>
      <c r="U1353" s="39" t="s">
        <v>1051</v>
      </c>
      <c r="X1353" s="39" t="s">
        <v>1724</v>
      </c>
      <c r="Z1353" s="39" t="s">
        <v>872</v>
      </c>
      <c r="AB1353" s="39">
        <v>2.5</v>
      </c>
      <c r="AD1353" s="39">
        <v>0.0</v>
      </c>
    </row>
    <row r="1354">
      <c r="A1354" s="39" t="s">
        <v>1895</v>
      </c>
      <c r="B1354" s="39" t="s">
        <v>1896</v>
      </c>
      <c r="C1354" s="39">
        <v>3.0</v>
      </c>
      <c r="D1354" s="41">
        <v>44151.5</v>
      </c>
      <c r="E1354" s="39" t="s">
        <v>1048</v>
      </c>
      <c r="F1354" s="39" t="s">
        <v>1049</v>
      </c>
      <c r="G1354" s="39" t="s">
        <v>1050</v>
      </c>
      <c r="H1354" s="39">
        <v>1120.0</v>
      </c>
      <c r="N1354" s="39" t="s">
        <v>1051</v>
      </c>
      <c r="R1354" s="39" t="s">
        <v>832</v>
      </c>
      <c r="S1354" s="39" t="s">
        <v>889</v>
      </c>
      <c r="T1354" s="39" t="s">
        <v>1053</v>
      </c>
      <c r="U1354" s="39" t="s">
        <v>1051</v>
      </c>
      <c r="X1354" s="39" t="s">
        <v>1975</v>
      </c>
      <c r="Y1354" s="39" t="s">
        <v>1131</v>
      </c>
      <c r="Z1354" s="39" t="s">
        <v>872</v>
      </c>
      <c r="AB1354" s="39">
        <v>3.0</v>
      </c>
    </row>
    <row r="1355">
      <c r="A1355" s="39" t="s">
        <v>1380</v>
      </c>
      <c r="B1355" s="39" t="s">
        <v>1381</v>
      </c>
      <c r="C1355" s="39">
        <v>0.5</v>
      </c>
      <c r="D1355" s="41">
        <v>44151.541666666664</v>
      </c>
      <c r="E1355" s="39" t="s">
        <v>872</v>
      </c>
      <c r="F1355" s="39" t="s">
        <v>724</v>
      </c>
      <c r="G1355" s="39" t="s">
        <v>830</v>
      </c>
      <c r="H1355" s="39">
        <v>1120.0</v>
      </c>
      <c r="N1355" s="39" t="s">
        <v>1051</v>
      </c>
      <c r="R1355" s="39" t="s">
        <v>832</v>
      </c>
      <c r="S1355" s="39" t="s">
        <v>889</v>
      </c>
      <c r="T1355" s="39" t="s">
        <v>1053</v>
      </c>
      <c r="U1355" s="39" t="s">
        <v>1051</v>
      </c>
      <c r="X1355" s="39" t="s">
        <v>1853</v>
      </c>
      <c r="Y1355" s="39" t="s">
        <v>1131</v>
      </c>
      <c r="Z1355" s="39" t="s">
        <v>872</v>
      </c>
      <c r="AB1355" s="39">
        <v>0.5</v>
      </c>
    </row>
    <row r="1356">
      <c r="A1356" s="39" t="s">
        <v>1646</v>
      </c>
      <c r="B1356" s="39" t="s">
        <v>1647</v>
      </c>
      <c r="C1356" s="39">
        <v>0.25</v>
      </c>
      <c r="D1356" s="41">
        <v>44151.666666666664</v>
      </c>
      <c r="E1356" s="39" t="s">
        <v>828</v>
      </c>
      <c r="F1356" s="39" t="s">
        <v>829</v>
      </c>
      <c r="G1356" s="39" t="s">
        <v>830</v>
      </c>
      <c r="H1356" s="39">
        <v>1120.0</v>
      </c>
      <c r="N1356" s="39" t="s">
        <v>883</v>
      </c>
      <c r="R1356" s="39" t="s">
        <v>1021</v>
      </c>
      <c r="S1356" s="39" t="s">
        <v>833</v>
      </c>
      <c r="T1356" s="39" t="s">
        <v>884</v>
      </c>
      <c r="U1356" s="39" t="s">
        <v>883</v>
      </c>
      <c r="X1356" s="39" t="s">
        <v>1680</v>
      </c>
      <c r="Z1356" s="39" t="s">
        <v>1649</v>
      </c>
      <c r="AB1356" s="39">
        <v>0.25</v>
      </c>
    </row>
    <row r="1357">
      <c r="A1357" s="39" t="s">
        <v>1945</v>
      </c>
      <c r="B1357" s="39" t="s">
        <v>1946</v>
      </c>
      <c r="C1357" s="39">
        <v>6.0</v>
      </c>
      <c r="D1357" s="41">
        <v>44152.333333333336</v>
      </c>
      <c r="E1357" s="39" t="s">
        <v>1048</v>
      </c>
      <c r="F1357" s="39" t="s">
        <v>1049</v>
      </c>
      <c r="G1357" s="39" t="s">
        <v>1050</v>
      </c>
      <c r="H1357" s="39">
        <v>1120.0</v>
      </c>
      <c r="N1357" s="39" t="s">
        <v>1051</v>
      </c>
      <c r="R1357" s="39" t="s">
        <v>832</v>
      </c>
      <c r="S1357" s="39" t="s">
        <v>889</v>
      </c>
      <c r="T1357" s="39" t="s">
        <v>1053</v>
      </c>
      <c r="U1357" s="39" t="s">
        <v>1051</v>
      </c>
      <c r="X1357" s="39" t="s">
        <v>1976</v>
      </c>
      <c r="Y1357" s="39" t="s">
        <v>1824</v>
      </c>
      <c r="Z1357" s="39" t="s">
        <v>872</v>
      </c>
      <c r="AB1357" s="39">
        <v>6.0</v>
      </c>
    </row>
    <row r="1358">
      <c r="A1358" s="39" t="s">
        <v>1977</v>
      </c>
      <c r="B1358" s="39" t="s">
        <v>1978</v>
      </c>
      <c r="C1358" s="39">
        <v>7.0</v>
      </c>
      <c r="D1358" s="41">
        <v>44152.333333333336</v>
      </c>
      <c r="E1358" s="39" t="s">
        <v>1059</v>
      </c>
      <c r="F1358" s="39" t="s">
        <v>1060</v>
      </c>
      <c r="G1358" s="39" t="s">
        <v>1050</v>
      </c>
      <c r="H1358" s="39">
        <v>1120.0</v>
      </c>
      <c r="N1358" s="39" t="s">
        <v>1051</v>
      </c>
      <c r="R1358" s="39" t="s">
        <v>832</v>
      </c>
      <c r="S1358" s="39" t="s">
        <v>1052</v>
      </c>
      <c r="T1358" s="39" t="s">
        <v>1053</v>
      </c>
      <c r="U1358" s="39" t="s">
        <v>1051</v>
      </c>
      <c r="X1358" s="39" t="s">
        <v>1979</v>
      </c>
      <c r="Y1358" s="39" t="s">
        <v>1131</v>
      </c>
      <c r="Z1358" s="39" t="s">
        <v>872</v>
      </c>
      <c r="AB1358" s="39">
        <v>7.0</v>
      </c>
    </row>
    <row r="1359">
      <c r="A1359" s="39" t="s">
        <v>1646</v>
      </c>
      <c r="B1359" s="39" t="s">
        <v>1647</v>
      </c>
      <c r="C1359" s="39">
        <v>0.25</v>
      </c>
      <c r="D1359" s="41">
        <v>44152.354166666664</v>
      </c>
      <c r="E1359" s="39" t="s">
        <v>1600</v>
      </c>
      <c r="F1359" s="39" t="s">
        <v>1601</v>
      </c>
      <c r="G1359" s="39" t="s">
        <v>830</v>
      </c>
      <c r="H1359" s="39">
        <v>1120.0</v>
      </c>
      <c r="N1359" s="39" t="s">
        <v>883</v>
      </c>
      <c r="R1359" s="39" t="s">
        <v>1021</v>
      </c>
      <c r="S1359" s="39" t="s">
        <v>833</v>
      </c>
      <c r="T1359" s="39" t="s">
        <v>884</v>
      </c>
      <c r="U1359" s="39" t="s">
        <v>883</v>
      </c>
      <c r="X1359" s="39" t="s">
        <v>1980</v>
      </c>
      <c r="Z1359" s="39" t="s">
        <v>1649</v>
      </c>
      <c r="AB1359" s="39">
        <v>0.25</v>
      </c>
    </row>
    <row r="1360">
      <c r="A1360" s="39" t="s">
        <v>1671</v>
      </c>
      <c r="B1360" s="39" t="s">
        <v>1981</v>
      </c>
      <c r="C1360" s="39">
        <v>0.25</v>
      </c>
      <c r="D1360" s="41">
        <v>44152.375</v>
      </c>
      <c r="E1360" s="39" t="s">
        <v>872</v>
      </c>
      <c r="F1360" s="39" t="s">
        <v>724</v>
      </c>
      <c r="G1360" s="39" t="s">
        <v>830</v>
      </c>
      <c r="H1360" s="39">
        <v>1120.0</v>
      </c>
      <c r="N1360" s="39" t="s">
        <v>1051</v>
      </c>
      <c r="R1360" s="39" t="s">
        <v>72</v>
      </c>
      <c r="S1360" s="39" t="s">
        <v>842</v>
      </c>
      <c r="T1360" s="39" t="s">
        <v>1053</v>
      </c>
      <c r="U1360" s="39" t="s">
        <v>1051</v>
      </c>
      <c r="X1360" s="39" t="s">
        <v>1982</v>
      </c>
      <c r="Z1360" s="39" t="s">
        <v>872</v>
      </c>
      <c r="AB1360" s="39">
        <v>0.25</v>
      </c>
    </row>
    <row r="1361">
      <c r="A1361" s="39" t="s">
        <v>1806</v>
      </c>
      <c r="B1361" s="39" t="s">
        <v>1807</v>
      </c>
      <c r="C1361" s="39">
        <v>0.25</v>
      </c>
      <c r="D1361" s="41">
        <v>44152.4375</v>
      </c>
      <c r="E1361" s="39" t="s">
        <v>872</v>
      </c>
      <c r="F1361" s="39" t="s">
        <v>724</v>
      </c>
      <c r="G1361" s="39" t="s">
        <v>830</v>
      </c>
      <c r="H1361" s="39">
        <v>1120.0</v>
      </c>
      <c r="N1361" s="39" t="s">
        <v>1810</v>
      </c>
      <c r="R1361" s="39" t="s">
        <v>1811</v>
      </c>
      <c r="S1361" s="39" t="s">
        <v>833</v>
      </c>
      <c r="T1361" s="39" t="s">
        <v>1812</v>
      </c>
      <c r="U1361" s="39" t="s">
        <v>1810</v>
      </c>
      <c r="W1361" s="39" t="s">
        <v>125</v>
      </c>
      <c r="X1361" s="39" t="s">
        <v>1813</v>
      </c>
      <c r="Y1361" s="39" t="s">
        <v>1814</v>
      </c>
      <c r="Z1361" s="39" t="s">
        <v>872</v>
      </c>
      <c r="AB1361" s="39">
        <v>0.25</v>
      </c>
      <c r="AC1361" s="39">
        <v>0.0</v>
      </c>
      <c r="AD1361" s="39">
        <v>0.0</v>
      </c>
    </row>
    <row r="1362">
      <c r="A1362" s="39" t="s">
        <v>1824</v>
      </c>
      <c r="B1362" s="39" t="s">
        <v>1825</v>
      </c>
      <c r="C1362" s="39">
        <v>0.5</v>
      </c>
      <c r="D1362" s="41">
        <v>44152.46875</v>
      </c>
      <c r="E1362" s="39" t="s">
        <v>872</v>
      </c>
      <c r="F1362" s="39" t="s">
        <v>724</v>
      </c>
      <c r="G1362" s="39" t="s">
        <v>830</v>
      </c>
      <c r="H1362" s="39">
        <v>1120.0</v>
      </c>
      <c r="N1362" s="39" t="s">
        <v>1051</v>
      </c>
      <c r="R1362" s="39" t="s">
        <v>72</v>
      </c>
      <c r="S1362" s="39" t="s">
        <v>889</v>
      </c>
      <c r="T1362" s="39" t="s">
        <v>1053</v>
      </c>
      <c r="U1362" s="39" t="s">
        <v>1051</v>
      </c>
      <c r="X1362" s="39" t="s">
        <v>1826</v>
      </c>
      <c r="Z1362" s="39" t="s">
        <v>872</v>
      </c>
      <c r="AB1362" s="39">
        <v>0.5</v>
      </c>
    </row>
    <row r="1363">
      <c r="A1363" s="39" t="s">
        <v>1831</v>
      </c>
      <c r="B1363" s="39" t="s">
        <v>1832</v>
      </c>
      <c r="C1363" s="39">
        <v>0.5</v>
      </c>
      <c r="D1363" s="41">
        <v>44152.520833333336</v>
      </c>
      <c r="E1363" s="39" t="s">
        <v>872</v>
      </c>
      <c r="F1363" s="39" t="s">
        <v>724</v>
      </c>
      <c r="G1363" s="39" t="s">
        <v>830</v>
      </c>
      <c r="H1363" s="39">
        <v>1120.0</v>
      </c>
      <c r="N1363" s="39" t="s">
        <v>1051</v>
      </c>
      <c r="R1363" s="39" t="s">
        <v>832</v>
      </c>
      <c r="S1363" s="39" t="s">
        <v>1052</v>
      </c>
      <c r="T1363" s="39" t="s">
        <v>1053</v>
      </c>
      <c r="U1363" s="39" t="s">
        <v>1051</v>
      </c>
      <c r="X1363" s="39" t="s">
        <v>1949</v>
      </c>
      <c r="Y1363" s="39" t="s">
        <v>1131</v>
      </c>
      <c r="Z1363" s="39" t="s">
        <v>872</v>
      </c>
      <c r="AB1363" s="39">
        <v>0.5</v>
      </c>
    </row>
    <row r="1364">
      <c r="A1364" s="39" t="s">
        <v>1932</v>
      </c>
      <c r="B1364" s="39" t="s">
        <v>1933</v>
      </c>
      <c r="C1364" s="39">
        <v>0.25</v>
      </c>
      <c r="D1364" s="41">
        <v>44152.541666666664</v>
      </c>
      <c r="E1364" s="39" t="s">
        <v>872</v>
      </c>
      <c r="F1364" s="39" t="s">
        <v>724</v>
      </c>
      <c r="G1364" s="39" t="s">
        <v>830</v>
      </c>
      <c r="H1364" s="39">
        <v>1120.0</v>
      </c>
      <c r="N1364" s="39" t="s">
        <v>1051</v>
      </c>
      <c r="R1364" s="39" t="s">
        <v>832</v>
      </c>
      <c r="S1364" s="39" t="s">
        <v>1052</v>
      </c>
      <c r="T1364" s="39" t="s">
        <v>1053</v>
      </c>
      <c r="U1364" s="39" t="s">
        <v>1051</v>
      </c>
      <c r="X1364" s="39" t="s">
        <v>1938</v>
      </c>
      <c r="Y1364" s="39" t="s">
        <v>1131</v>
      </c>
      <c r="Z1364" s="39" t="s">
        <v>872</v>
      </c>
      <c r="AB1364" s="39">
        <v>0.25</v>
      </c>
    </row>
    <row r="1365">
      <c r="A1365" s="39" t="s">
        <v>1131</v>
      </c>
      <c r="B1365" s="39" t="s">
        <v>1591</v>
      </c>
      <c r="C1365" s="39">
        <v>3.0</v>
      </c>
      <c r="D1365" s="41">
        <v>44152.604166666664</v>
      </c>
      <c r="E1365" s="39" t="s">
        <v>872</v>
      </c>
      <c r="F1365" s="39" t="s">
        <v>724</v>
      </c>
      <c r="G1365" s="39" t="s">
        <v>830</v>
      </c>
      <c r="H1365" s="39">
        <v>1120.0</v>
      </c>
      <c r="N1365" s="39" t="s">
        <v>1051</v>
      </c>
      <c r="R1365" s="39" t="s">
        <v>72</v>
      </c>
      <c r="S1365" s="39" t="s">
        <v>889</v>
      </c>
      <c r="T1365" s="39" t="s">
        <v>1053</v>
      </c>
      <c r="U1365" s="39" t="s">
        <v>1051</v>
      </c>
      <c r="X1365" s="39" t="s">
        <v>1724</v>
      </c>
      <c r="Z1365" s="39" t="s">
        <v>872</v>
      </c>
      <c r="AB1365" s="39">
        <v>3.0</v>
      </c>
      <c r="AD1365" s="39">
        <v>0.0</v>
      </c>
    </row>
    <row r="1366">
      <c r="A1366" s="39" t="s">
        <v>1806</v>
      </c>
      <c r="B1366" s="39" t="s">
        <v>1807</v>
      </c>
      <c r="C1366" s="39">
        <v>0.5</v>
      </c>
      <c r="D1366" s="41">
        <v>44152.6875</v>
      </c>
      <c r="E1366" s="39" t="s">
        <v>1983</v>
      </c>
      <c r="F1366" s="39" t="s">
        <v>1984</v>
      </c>
      <c r="H1366" s="39">
        <v>1120.0</v>
      </c>
      <c r="N1366" s="39" t="s">
        <v>1810</v>
      </c>
      <c r="R1366" s="39" t="s">
        <v>1811</v>
      </c>
      <c r="S1366" s="39" t="s">
        <v>833</v>
      </c>
      <c r="T1366" s="39" t="s">
        <v>1812</v>
      </c>
      <c r="U1366" s="39" t="s">
        <v>1810</v>
      </c>
      <c r="W1366" s="39" t="s">
        <v>125</v>
      </c>
      <c r="X1366" s="39" t="s">
        <v>1813</v>
      </c>
      <c r="Y1366" s="39" t="s">
        <v>1814</v>
      </c>
      <c r="Z1366" s="39" t="s">
        <v>872</v>
      </c>
      <c r="AB1366" s="39">
        <v>0.5</v>
      </c>
      <c r="AC1366" s="39">
        <v>0.0</v>
      </c>
      <c r="AD1366" s="39">
        <v>0.0</v>
      </c>
    </row>
    <row r="1367">
      <c r="A1367" s="39" t="s">
        <v>1945</v>
      </c>
      <c r="B1367" s="39" t="s">
        <v>1946</v>
      </c>
      <c r="C1367" s="39">
        <v>4.0</v>
      </c>
      <c r="D1367" s="41">
        <v>44153.333333333336</v>
      </c>
      <c r="E1367" s="39" t="s">
        <v>1048</v>
      </c>
      <c r="F1367" s="39" t="s">
        <v>1049</v>
      </c>
      <c r="G1367" s="39" t="s">
        <v>1050</v>
      </c>
      <c r="H1367" s="39">
        <v>1120.0</v>
      </c>
      <c r="N1367" s="39" t="s">
        <v>1051</v>
      </c>
      <c r="R1367" s="39" t="s">
        <v>832</v>
      </c>
      <c r="S1367" s="39" t="s">
        <v>889</v>
      </c>
      <c r="T1367" s="39" t="s">
        <v>1053</v>
      </c>
      <c r="U1367" s="39" t="s">
        <v>1051</v>
      </c>
      <c r="X1367" s="39" t="s">
        <v>1985</v>
      </c>
      <c r="Y1367" s="39" t="s">
        <v>1824</v>
      </c>
      <c r="Z1367" s="39" t="s">
        <v>872</v>
      </c>
      <c r="AB1367" s="39">
        <v>4.0</v>
      </c>
    </row>
    <row r="1368">
      <c r="A1368" s="39" t="s">
        <v>1892</v>
      </c>
      <c r="B1368" s="39" t="s">
        <v>1893</v>
      </c>
      <c r="C1368" s="39">
        <v>1.5</v>
      </c>
      <c r="D1368" s="41">
        <v>44153.333333333336</v>
      </c>
      <c r="E1368" s="39" t="s">
        <v>1048</v>
      </c>
      <c r="F1368" s="39" t="s">
        <v>1049</v>
      </c>
      <c r="G1368" s="39" t="s">
        <v>1050</v>
      </c>
      <c r="H1368" s="39">
        <v>1120.0</v>
      </c>
      <c r="N1368" s="39" t="s">
        <v>1051</v>
      </c>
      <c r="R1368" s="39" t="s">
        <v>957</v>
      </c>
      <c r="S1368" s="39" t="s">
        <v>889</v>
      </c>
      <c r="T1368" s="39" t="s">
        <v>1053</v>
      </c>
      <c r="U1368" s="39" t="s">
        <v>1051</v>
      </c>
      <c r="X1368" s="39" t="s">
        <v>1986</v>
      </c>
      <c r="Y1368" s="39" t="s">
        <v>1694</v>
      </c>
      <c r="Z1368" s="39" t="s">
        <v>872</v>
      </c>
      <c r="AB1368" s="39">
        <v>1.5</v>
      </c>
    </row>
    <row r="1369">
      <c r="A1369" s="39" t="s">
        <v>1987</v>
      </c>
      <c r="B1369" s="39" t="s">
        <v>1988</v>
      </c>
      <c r="C1369" s="39">
        <v>7.0</v>
      </c>
      <c r="D1369" s="41">
        <v>44153.333333333336</v>
      </c>
      <c r="E1369" s="39" t="s">
        <v>1059</v>
      </c>
      <c r="F1369" s="39" t="s">
        <v>1060</v>
      </c>
      <c r="G1369" s="39" t="s">
        <v>1050</v>
      </c>
      <c r="H1369" s="39">
        <v>1120.0</v>
      </c>
      <c r="N1369" s="39" t="s">
        <v>1051</v>
      </c>
      <c r="R1369" s="39" t="s">
        <v>957</v>
      </c>
      <c r="S1369" s="39" t="s">
        <v>1052</v>
      </c>
      <c r="T1369" s="39" t="s">
        <v>1053</v>
      </c>
      <c r="U1369" s="39" t="s">
        <v>1051</v>
      </c>
      <c r="X1369" s="39" t="s">
        <v>1989</v>
      </c>
      <c r="Y1369" s="39" t="s">
        <v>1831</v>
      </c>
      <c r="Z1369" s="39" t="s">
        <v>872</v>
      </c>
      <c r="AB1369" s="39">
        <v>7.0</v>
      </c>
    </row>
    <row r="1370">
      <c r="A1370" s="39" t="s">
        <v>1987</v>
      </c>
      <c r="B1370" s="39" t="s">
        <v>1988</v>
      </c>
      <c r="C1370" s="39">
        <v>1.5</v>
      </c>
      <c r="D1370" s="41">
        <v>44153.395833333336</v>
      </c>
      <c r="E1370" s="39" t="s">
        <v>1048</v>
      </c>
      <c r="F1370" s="39" t="s">
        <v>1049</v>
      </c>
      <c r="G1370" s="39" t="s">
        <v>1050</v>
      </c>
      <c r="H1370" s="39">
        <v>1120.0</v>
      </c>
      <c r="N1370" s="39" t="s">
        <v>1051</v>
      </c>
      <c r="R1370" s="39" t="s">
        <v>957</v>
      </c>
      <c r="S1370" s="39" t="s">
        <v>1052</v>
      </c>
      <c r="T1370" s="39" t="s">
        <v>1053</v>
      </c>
      <c r="U1370" s="39" t="s">
        <v>1051</v>
      </c>
      <c r="X1370" s="39" t="s">
        <v>1990</v>
      </c>
      <c r="Y1370" s="39" t="s">
        <v>1831</v>
      </c>
      <c r="Z1370" s="39" t="s">
        <v>872</v>
      </c>
      <c r="AB1370" s="39">
        <v>1.5</v>
      </c>
    </row>
    <row r="1371">
      <c r="A1371" s="39" t="s">
        <v>1991</v>
      </c>
      <c r="B1371" s="39" t="s">
        <v>1992</v>
      </c>
      <c r="C1371" s="39">
        <v>0.5</v>
      </c>
      <c r="D1371" s="41">
        <v>44153.4375</v>
      </c>
      <c r="E1371" s="39" t="s">
        <v>828</v>
      </c>
      <c r="F1371" s="39" t="s">
        <v>829</v>
      </c>
      <c r="G1371" s="39" t="s">
        <v>830</v>
      </c>
      <c r="H1371" s="39">
        <v>1120.0</v>
      </c>
      <c r="N1371" s="39" t="s">
        <v>883</v>
      </c>
      <c r="R1371" s="39" t="s">
        <v>1021</v>
      </c>
      <c r="S1371" s="39" t="s">
        <v>889</v>
      </c>
      <c r="T1371" s="39" t="s">
        <v>884</v>
      </c>
      <c r="U1371" s="39" t="s">
        <v>883</v>
      </c>
      <c r="W1371" s="39" t="s">
        <v>113</v>
      </c>
      <c r="X1371" s="39" t="s">
        <v>1691</v>
      </c>
      <c r="Z1371" s="39" t="s">
        <v>900</v>
      </c>
      <c r="AB1371" s="39">
        <v>0.5</v>
      </c>
    </row>
    <row r="1372">
      <c r="A1372" s="39" t="s">
        <v>1256</v>
      </c>
      <c r="B1372" s="39" t="s">
        <v>1257</v>
      </c>
      <c r="C1372" s="39">
        <v>0.25</v>
      </c>
      <c r="D1372" s="41">
        <v>44153.49652777778</v>
      </c>
      <c r="E1372" s="39" t="s">
        <v>872</v>
      </c>
      <c r="F1372" s="39" t="s">
        <v>724</v>
      </c>
      <c r="G1372" s="39" t="s">
        <v>830</v>
      </c>
      <c r="H1372" s="39">
        <v>1120.0</v>
      </c>
      <c r="N1372" s="39" t="s">
        <v>1051</v>
      </c>
      <c r="R1372" s="39" t="s">
        <v>72</v>
      </c>
      <c r="S1372" s="39" t="s">
        <v>842</v>
      </c>
      <c r="T1372" s="39" t="s">
        <v>1053</v>
      </c>
      <c r="U1372" s="39" t="s">
        <v>1051</v>
      </c>
      <c r="X1372" s="39" t="s">
        <v>1258</v>
      </c>
      <c r="Z1372" s="39" t="s">
        <v>872</v>
      </c>
      <c r="AB1372" s="39">
        <v>0.25</v>
      </c>
    </row>
    <row r="1373">
      <c r="A1373" s="39" t="s">
        <v>1363</v>
      </c>
      <c r="B1373" s="39" t="s">
        <v>1993</v>
      </c>
      <c r="C1373" s="39">
        <v>0.5</v>
      </c>
      <c r="D1373" s="41">
        <v>44153.59027777778</v>
      </c>
      <c r="E1373" s="39" t="s">
        <v>872</v>
      </c>
      <c r="F1373" s="39" t="s">
        <v>724</v>
      </c>
      <c r="G1373" s="39" t="s">
        <v>830</v>
      </c>
      <c r="H1373" s="39">
        <v>1120.0</v>
      </c>
      <c r="N1373" s="39" t="s">
        <v>1051</v>
      </c>
      <c r="R1373" s="39" t="s">
        <v>832</v>
      </c>
      <c r="S1373" s="39" t="s">
        <v>889</v>
      </c>
      <c r="T1373" s="39" t="s">
        <v>1053</v>
      </c>
      <c r="U1373" s="39" t="s">
        <v>1051</v>
      </c>
      <c r="X1373" s="39" t="s">
        <v>1994</v>
      </c>
      <c r="Y1373" s="39" t="s">
        <v>1131</v>
      </c>
      <c r="Z1373" s="39" t="s">
        <v>872</v>
      </c>
      <c r="AB1373" s="39">
        <v>0.5</v>
      </c>
      <c r="AD1373" s="39">
        <v>0.0</v>
      </c>
    </row>
    <row r="1374">
      <c r="A1374" s="39" t="s">
        <v>1265</v>
      </c>
      <c r="B1374" s="39" t="s">
        <v>1995</v>
      </c>
      <c r="C1374" s="39">
        <v>0.25</v>
      </c>
      <c r="D1374" s="41">
        <v>44153.62152777778</v>
      </c>
      <c r="E1374" s="39" t="s">
        <v>872</v>
      </c>
      <c r="F1374" s="39" t="s">
        <v>724</v>
      </c>
      <c r="G1374" s="39" t="s">
        <v>830</v>
      </c>
      <c r="H1374" s="39">
        <v>1120.0</v>
      </c>
      <c r="N1374" s="39" t="s">
        <v>1051</v>
      </c>
      <c r="R1374" s="39" t="s">
        <v>72</v>
      </c>
      <c r="S1374" s="39" t="s">
        <v>842</v>
      </c>
      <c r="T1374" s="39" t="s">
        <v>1053</v>
      </c>
      <c r="U1374" s="39" t="s">
        <v>1051</v>
      </c>
      <c r="X1374" s="39" t="s">
        <v>1996</v>
      </c>
      <c r="Z1374" s="39" t="s">
        <v>872</v>
      </c>
      <c r="AB1374" s="39">
        <v>0.25</v>
      </c>
    </row>
    <row r="1375">
      <c r="A1375" s="39" t="s">
        <v>1997</v>
      </c>
      <c r="B1375" s="39" t="s">
        <v>1998</v>
      </c>
      <c r="C1375" s="39">
        <v>0.25</v>
      </c>
      <c r="D1375" s="41">
        <v>44153.631944444445</v>
      </c>
      <c r="E1375" s="39" t="s">
        <v>872</v>
      </c>
      <c r="F1375" s="39" t="s">
        <v>724</v>
      </c>
      <c r="G1375" s="39" t="s">
        <v>830</v>
      </c>
      <c r="H1375" s="39">
        <v>1120.0</v>
      </c>
      <c r="N1375" s="39" t="s">
        <v>1051</v>
      </c>
      <c r="R1375" s="39" t="s">
        <v>832</v>
      </c>
      <c r="S1375" s="39" t="s">
        <v>889</v>
      </c>
      <c r="T1375" s="39" t="s">
        <v>1053</v>
      </c>
      <c r="U1375" s="39" t="s">
        <v>1051</v>
      </c>
      <c r="X1375" s="39" t="s">
        <v>1999</v>
      </c>
      <c r="Y1375" s="39" t="s">
        <v>1824</v>
      </c>
      <c r="Z1375" s="39" t="s">
        <v>872</v>
      </c>
      <c r="AB1375" s="39">
        <v>0.25</v>
      </c>
    </row>
    <row r="1376">
      <c r="A1376" s="39" t="s">
        <v>2000</v>
      </c>
      <c r="B1376" s="39" t="s">
        <v>2001</v>
      </c>
      <c r="C1376" s="39">
        <v>0.25</v>
      </c>
      <c r="D1376" s="41">
        <v>44153.663194444445</v>
      </c>
      <c r="E1376" s="39" t="s">
        <v>872</v>
      </c>
      <c r="F1376" s="39" t="s">
        <v>724</v>
      </c>
      <c r="G1376" s="39" t="s">
        <v>830</v>
      </c>
      <c r="H1376" s="39">
        <v>1120.0</v>
      </c>
      <c r="N1376" s="39" t="s">
        <v>1051</v>
      </c>
      <c r="R1376" s="39" t="s">
        <v>957</v>
      </c>
      <c r="S1376" s="39" t="s">
        <v>1052</v>
      </c>
      <c r="T1376" s="39" t="s">
        <v>1053</v>
      </c>
      <c r="U1376" s="39" t="s">
        <v>1051</v>
      </c>
      <c r="X1376" s="39" t="s">
        <v>2002</v>
      </c>
      <c r="Y1376" s="39" t="s">
        <v>1363</v>
      </c>
      <c r="Z1376" s="39" t="s">
        <v>872</v>
      </c>
      <c r="AB1376" s="39">
        <v>0.25</v>
      </c>
    </row>
    <row r="1377">
      <c r="A1377" s="39" t="s">
        <v>1646</v>
      </c>
      <c r="B1377" s="39" t="s">
        <v>1647</v>
      </c>
      <c r="C1377" s="39">
        <v>0.25</v>
      </c>
      <c r="D1377" s="41">
        <v>44153.854166666664</v>
      </c>
      <c r="E1377" s="39" t="s">
        <v>1649</v>
      </c>
      <c r="F1377" s="39" t="s">
        <v>2003</v>
      </c>
      <c r="G1377" s="39" t="s">
        <v>849</v>
      </c>
      <c r="H1377" s="39">
        <v>1120.0</v>
      </c>
      <c r="N1377" s="39" t="s">
        <v>883</v>
      </c>
      <c r="R1377" s="39" t="s">
        <v>1021</v>
      </c>
      <c r="S1377" s="39" t="s">
        <v>833</v>
      </c>
      <c r="T1377" s="39" t="s">
        <v>884</v>
      </c>
      <c r="U1377" s="39" t="s">
        <v>883</v>
      </c>
      <c r="X1377" s="39" t="s">
        <v>1868</v>
      </c>
      <c r="Z1377" s="39" t="s">
        <v>1649</v>
      </c>
      <c r="AB1377" s="39">
        <v>0.25</v>
      </c>
    </row>
    <row r="1378">
      <c r="A1378" s="39" t="s">
        <v>1895</v>
      </c>
      <c r="B1378" s="39" t="s">
        <v>1896</v>
      </c>
      <c r="C1378" s="39">
        <v>8.0</v>
      </c>
      <c r="D1378" s="41">
        <v>44154.333333333336</v>
      </c>
      <c r="E1378" s="39" t="s">
        <v>1059</v>
      </c>
      <c r="F1378" s="39" t="s">
        <v>1060</v>
      </c>
      <c r="G1378" s="39" t="s">
        <v>1050</v>
      </c>
      <c r="H1378" s="39">
        <v>1120.0</v>
      </c>
      <c r="N1378" s="39" t="s">
        <v>1051</v>
      </c>
      <c r="R1378" s="39" t="s">
        <v>832</v>
      </c>
      <c r="S1378" s="39" t="s">
        <v>889</v>
      </c>
      <c r="T1378" s="39" t="s">
        <v>1053</v>
      </c>
      <c r="U1378" s="39" t="s">
        <v>1051</v>
      </c>
      <c r="X1378" s="39" t="s">
        <v>2004</v>
      </c>
      <c r="Y1378" s="39" t="s">
        <v>1131</v>
      </c>
      <c r="Z1378" s="39" t="s">
        <v>872</v>
      </c>
      <c r="AB1378" s="39">
        <v>8.0</v>
      </c>
    </row>
    <row r="1379">
      <c r="A1379" s="39" t="s">
        <v>1977</v>
      </c>
      <c r="B1379" s="39" t="s">
        <v>1978</v>
      </c>
      <c r="C1379" s="39">
        <v>2.0</v>
      </c>
      <c r="D1379" s="41">
        <v>44154.354166666664</v>
      </c>
      <c r="E1379" s="39" t="s">
        <v>1048</v>
      </c>
      <c r="F1379" s="39" t="s">
        <v>1049</v>
      </c>
      <c r="G1379" s="39" t="s">
        <v>1050</v>
      </c>
      <c r="H1379" s="39">
        <v>1120.0</v>
      </c>
      <c r="N1379" s="39" t="s">
        <v>1051</v>
      </c>
      <c r="R1379" s="39" t="s">
        <v>832</v>
      </c>
      <c r="S1379" s="39" t="s">
        <v>1052</v>
      </c>
      <c r="T1379" s="39" t="s">
        <v>1053</v>
      </c>
      <c r="U1379" s="39" t="s">
        <v>1051</v>
      </c>
      <c r="X1379" s="39" t="s">
        <v>2005</v>
      </c>
      <c r="Y1379" s="39" t="s">
        <v>1131</v>
      </c>
      <c r="Z1379" s="39" t="s">
        <v>872</v>
      </c>
      <c r="AB1379" s="39">
        <v>2.0</v>
      </c>
    </row>
    <row r="1380">
      <c r="A1380" s="39" t="s">
        <v>2006</v>
      </c>
      <c r="B1380" s="39" t="s">
        <v>2007</v>
      </c>
      <c r="C1380" s="39">
        <v>0.25</v>
      </c>
      <c r="D1380" s="41">
        <v>44154.364583333336</v>
      </c>
      <c r="E1380" s="39" t="s">
        <v>872</v>
      </c>
      <c r="F1380" s="39" t="s">
        <v>724</v>
      </c>
      <c r="G1380" s="39" t="s">
        <v>830</v>
      </c>
      <c r="H1380" s="39">
        <v>1120.0</v>
      </c>
      <c r="N1380" s="39" t="s">
        <v>1051</v>
      </c>
      <c r="R1380" s="39" t="s">
        <v>957</v>
      </c>
      <c r="S1380" s="39" t="s">
        <v>1052</v>
      </c>
      <c r="T1380" s="39" t="s">
        <v>1053</v>
      </c>
      <c r="U1380" s="39" t="s">
        <v>1051</v>
      </c>
      <c r="X1380" s="39" t="s">
        <v>2008</v>
      </c>
      <c r="Y1380" s="39" t="s">
        <v>1596</v>
      </c>
      <c r="Z1380" s="39" t="s">
        <v>1048</v>
      </c>
      <c r="AB1380" s="39">
        <v>0.25</v>
      </c>
    </row>
    <row r="1381">
      <c r="A1381" s="39" t="s">
        <v>1806</v>
      </c>
      <c r="B1381" s="39" t="s">
        <v>1807</v>
      </c>
      <c r="C1381" s="39">
        <v>1.0</v>
      </c>
      <c r="D1381" s="41">
        <v>44154.375</v>
      </c>
      <c r="E1381" s="39" t="s">
        <v>872</v>
      </c>
      <c r="F1381" s="39" t="s">
        <v>724</v>
      </c>
      <c r="G1381" s="39" t="s">
        <v>830</v>
      </c>
      <c r="H1381" s="39">
        <v>1120.0</v>
      </c>
      <c r="N1381" s="39" t="s">
        <v>1810</v>
      </c>
      <c r="R1381" s="39" t="s">
        <v>1811</v>
      </c>
      <c r="S1381" s="39" t="s">
        <v>833</v>
      </c>
      <c r="T1381" s="39" t="s">
        <v>1812</v>
      </c>
      <c r="U1381" s="39" t="s">
        <v>1810</v>
      </c>
      <c r="W1381" s="39" t="s">
        <v>125</v>
      </c>
      <c r="X1381" s="39" t="s">
        <v>1813</v>
      </c>
      <c r="Y1381" s="39" t="s">
        <v>1814</v>
      </c>
      <c r="Z1381" s="39" t="s">
        <v>872</v>
      </c>
      <c r="AB1381" s="39">
        <v>1.0</v>
      </c>
      <c r="AC1381" s="39">
        <v>0.0</v>
      </c>
      <c r="AD1381" s="39">
        <v>0.0</v>
      </c>
    </row>
    <row r="1382">
      <c r="A1382" s="39" t="s">
        <v>1970</v>
      </c>
      <c r="B1382" s="39" t="s">
        <v>1971</v>
      </c>
      <c r="C1382" s="39">
        <v>0.25</v>
      </c>
      <c r="D1382" s="41">
        <v>44154.4375</v>
      </c>
      <c r="E1382" s="39" t="s">
        <v>872</v>
      </c>
      <c r="F1382" s="39" t="s">
        <v>724</v>
      </c>
      <c r="G1382" s="39" t="s">
        <v>830</v>
      </c>
      <c r="H1382" s="39">
        <v>1120.0</v>
      </c>
      <c r="N1382" s="39" t="s">
        <v>1051</v>
      </c>
      <c r="R1382" s="39" t="s">
        <v>957</v>
      </c>
      <c r="S1382" s="39" t="s">
        <v>1052</v>
      </c>
      <c r="T1382" s="39" t="s">
        <v>1053</v>
      </c>
      <c r="U1382" s="39" t="s">
        <v>1051</v>
      </c>
      <c r="X1382" s="39" t="s">
        <v>1972</v>
      </c>
      <c r="Y1382" s="39" t="s">
        <v>1838</v>
      </c>
      <c r="Z1382" s="39" t="s">
        <v>872</v>
      </c>
      <c r="AB1382" s="39">
        <v>0.25</v>
      </c>
    </row>
    <row r="1383">
      <c r="A1383" s="39" t="s">
        <v>1945</v>
      </c>
      <c r="B1383" s="39" t="s">
        <v>1946</v>
      </c>
      <c r="C1383" s="39">
        <v>3.0</v>
      </c>
      <c r="D1383" s="41">
        <v>44154.4375</v>
      </c>
      <c r="E1383" s="39" t="s">
        <v>1048</v>
      </c>
      <c r="F1383" s="39" t="s">
        <v>1049</v>
      </c>
      <c r="G1383" s="39" t="s">
        <v>1050</v>
      </c>
      <c r="H1383" s="39">
        <v>1120.0</v>
      </c>
      <c r="N1383" s="39" t="s">
        <v>1051</v>
      </c>
      <c r="R1383" s="39" t="s">
        <v>832</v>
      </c>
      <c r="S1383" s="39" t="s">
        <v>889</v>
      </c>
      <c r="T1383" s="39" t="s">
        <v>1053</v>
      </c>
      <c r="U1383" s="39" t="s">
        <v>1051</v>
      </c>
      <c r="X1383" s="39" t="s">
        <v>2009</v>
      </c>
      <c r="Y1383" s="39" t="s">
        <v>1824</v>
      </c>
      <c r="Z1383" s="39" t="s">
        <v>872</v>
      </c>
      <c r="AB1383" s="39">
        <v>3.0</v>
      </c>
    </row>
    <row r="1384">
      <c r="A1384" s="39" t="s">
        <v>2010</v>
      </c>
      <c r="B1384" s="39" t="s">
        <v>2011</v>
      </c>
      <c r="C1384" s="39">
        <v>0.5</v>
      </c>
      <c r="D1384" s="41">
        <v>44154.46875</v>
      </c>
      <c r="E1384" s="39" t="s">
        <v>872</v>
      </c>
      <c r="F1384" s="39" t="s">
        <v>724</v>
      </c>
      <c r="G1384" s="39" t="s">
        <v>830</v>
      </c>
      <c r="H1384" s="39">
        <v>1120.0</v>
      </c>
      <c r="N1384" s="39" t="s">
        <v>1051</v>
      </c>
      <c r="R1384" s="39" t="s">
        <v>832</v>
      </c>
      <c r="S1384" s="39" t="s">
        <v>842</v>
      </c>
      <c r="T1384" s="39" t="s">
        <v>1053</v>
      </c>
      <c r="U1384" s="39" t="s">
        <v>1051</v>
      </c>
      <c r="X1384" s="39" t="s">
        <v>2012</v>
      </c>
      <c r="Y1384" s="39" t="s">
        <v>1207</v>
      </c>
      <c r="Z1384" s="39" t="s">
        <v>872</v>
      </c>
      <c r="AB1384" s="39">
        <v>0.5</v>
      </c>
    </row>
    <row r="1385">
      <c r="A1385" s="39" t="s">
        <v>1977</v>
      </c>
      <c r="B1385" s="39" t="s">
        <v>1978</v>
      </c>
      <c r="C1385" s="39">
        <v>0.5</v>
      </c>
      <c r="D1385" s="41">
        <v>44154.5625</v>
      </c>
      <c r="E1385" s="39" t="s">
        <v>872</v>
      </c>
      <c r="F1385" s="39" t="s">
        <v>724</v>
      </c>
      <c r="G1385" s="39" t="s">
        <v>830</v>
      </c>
      <c r="H1385" s="39">
        <v>1120.0</v>
      </c>
      <c r="N1385" s="39" t="s">
        <v>1051</v>
      </c>
      <c r="R1385" s="39" t="s">
        <v>832</v>
      </c>
      <c r="S1385" s="39" t="s">
        <v>1052</v>
      </c>
      <c r="T1385" s="39" t="s">
        <v>1053</v>
      </c>
      <c r="U1385" s="39" t="s">
        <v>1051</v>
      </c>
      <c r="X1385" s="39" t="s">
        <v>2013</v>
      </c>
      <c r="Y1385" s="39" t="s">
        <v>1131</v>
      </c>
      <c r="Z1385" s="39" t="s">
        <v>872</v>
      </c>
      <c r="AB1385" s="39">
        <v>0.5</v>
      </c>
    </row>
    <row r="1386">
      <c r="A1386" s="39" t="s">
        <v>1970</v>
      </c>
      <c r="B1386" s="39" t="s">
        <v>1971</v>
      </c>
      <c r="C1386" s="39">
        <v>1.5</v>
      </c>
      <c r="D1386" s="41">
        <v>44154.5625</v>
      </c>
      <c r="E1386" s="39" t="s">
        <v>1048</v>
      </c>
      <c r="F1386" s="39" t="s">
        <v>1049</v>
      </c>
      <c r="G1386" s="39" t="s">
        <v>1050</v>
      </c>
      <c r="H1386" s="39">
        <v>1120.0</v>
      </c>
      <c r="N1386" s="39" t="s">
        <v>1051</v>
      </c>
      <c r="R1386" s="39" t="s">
        <v>957</v>
      </c>
      <c r="S1386" s="39" t="s">
        <v>1052</v>
      </c>
      <c r="T1386" s="39" t="s">
        <v>1053</v>
      </c>
      <c r="U1386" s="39" t="s">
        <v>1051</v>
      </c>
      <c r="X1386" s="39" t="s">
        <v>2014</v>
      </c>
      <c r="Y1386" s="39" t="s">
        <v>1838</v>
      </c>
      <c r="Z1386" s="39" t="s">
        <v>872</v>
      </c>
      <c r="AB1386" s="39">
        <v>1.5</v>
      </c>
    </row>
    <row r="1387">
      <c r="A1387" s="39" t="s">
        <v>1895</v>
      </c>
      <c r="B1387" s="39" t="s">
        <v>1896</v>
      </c>
      <c r="C1387" s="39">
        <v>0.5</v>
      </c>
      <c r="D1387" s="41">
        <v>44154.583333333336</v>
      </c>
      <c r="E1387" s="39" t="s">
        <v>872</v>
      </c>
      <c r="F1387" s="39" t="s">
        <v>724</v>
      </c>
      <c r="G1387" s="39" t="s">
        <v>830</v>
      </c>
      <c r="H1387" s="39">
        <v>1120.0</v>
      </c>
      <c r="N1387" s="39" t="s">
        <v>1051</v>
      </c>
      <c r="R1387" s="39" t="s">
        <v>832</v>
      </c>
      <c r="S1387" s="39" t="s">
        <v>889</v>
      </c>
      <c r="T1387" s="39" t="s">
        <v>1053</v>
      </c>
      <c r="U1387" s="39" t="s">
        <v>1051</v>
      </c>
      <c r="X1387" s="39" t="s">
        <v>1897</v>
      </c>
      <c r="Y1387" s="39" t="s">
        <v>1131</v>
      </c>
      <c r="Z1387" s="39" t="s">
        <v>872</v>
      </c>
      <c r="AB1387" s="39">
        <v>0.5</v>
      </c>
    </row>
    <row r="1388">
      <c r="A1388" s="39" t="s">
        <v>1945</v>
      </c>
      <c r="B1388" s="39" t="s">
        <v>1946</v>
      </c>
      <c r="C1388" s="39">
        <v>3.5</v>
      </c>
      <c r="D1388" s="41">
        <v>44155.333333333336</v>
      </c>
      <c r="E1388" s="39" t="s">
        <v>1048</v>
      </c>
      <c r="F1388" s="39" t="s">
        <v>1049</v>
      </c>
      <c r="G1388" s="39" t="s">
        <v>1050</v>
      </c>
      <c r="H1388" s="39">
        <v>1120.0</v>
      </c>
      <c r="N1388" s="39" t="s">
        <v>1051</v>
      </c>
      <c r="R1388" s="39" t="s">
        <v>832</v>
      </c>
      <c r="S1388" s="39" t="s">
        <v>889</v>
      </c>
      <c r="T1388" s="39" t="s">
        <v>1053</v>
      </c>
      <c r="U1388" s="39" t="s">
        <v>1051</v>
      </c>
      <c r="X1388" s="39" t="s">
        <v>2015</v>
      </c>
      <c r="Y1388" s="39" t="s">
        <v>1824</v>
      </c>
      <c r="Z1388" s="39" t="s">
        <v>872</v>
      </c>
      <c r="AB1388" s="39">
        <v>3.5</v>
      </c>
    </row>
    <row r="1389">
      <c r="A1389" s="39" t="s">
        <v>2000</v>
      </c>
      <c r="B1389" s="39" t="s">
        <v>2001</v>
      </c>
      <c r="C1389" s="39">
        <v>0.5</v>
      </c>
      <c r="D1389" s="41">
        <v>44155.375</v>
      </c>
      <c r="E1389" s="39" t="s">
        <v>872</v>
      </c>
      <c r="F1389" s="39" t="s">
        <v>724</v>
      </c>
      <c r="G1389" s="39" t="s">
        <v>830</v>
      </c>
      <c r="H1389" s="39">
        <v>1120.0</v>
      </c>
      <c r="N1389" s="39" t="s">
        <v>1051</v>
      </c>
      <c r="R1389" s="39" t="s">
        <v>957</v>
      </c>
      <c r="S1389" s="39" t="s">
        <v>1052</v>
      </c>
      <c r="T1389" s="39" t="s">
        <v>1053</v>
      </c>
      <c r="U1389" s="39" t="s">
        <v>1051</v>
      </c>
      <c r="X1389" s="39" t="s">
        <v>2002</v>
      </c>
      <c r="Y1389" s="39" t="s">
        <v>1363</v>
      </c>
      <c r="Z1389" s="39" t="s">
        <v>872</v>
      </c>
      <c r="AB1389" s="39">
        <v>0.5</v>
      </c>
    </row>
    <row r="1390">
      <c r="A1390" s="39" t="s">
        <v>1970</v>
      </c>
      <c r="B1390" s="39" t="s">
        <v>1971</v>
      </c>
      <c r="C1390" s="39">
        <v>3.0</v>
      </c>
      <c r="D1390" s="41">
        <v>44155.458333333336</v>
      </c>
      <c r="E1390" s="39" t="s">
        <v>1048</v>
      </c>
      <c r="F1390" s="39" t="s">
        <v>1049</v>
      </c>
      <c r="G1390" s="39" t="s">
        <v>1050</v>
      </c>
      <c r="H1390" s="39">
        <v>1120.0</v>
      </c>
      <c r="N1390" s="39" t="s">
        <v>1051</v>
      </c>
      <c r="R1390" s="39" t="s">
        <v>957</v>
      </c>
      <c r="S1390" s="39" t="s">
        <v>1052</v>
      </c>
      <c r="T1390" s="39" t="s">
        <v>1053</v>
      </c>
      <c r="U1390" s="39" t="s">
        <v>1051</v>
      </c>
      <c r="X1390" s="39" t="s">
        <v>2016</v>
      </c>
      <c r="Y1390" s="39" t="s">
        <v>1838</v>
      </c>
      <c r="Z1390" s="39" t="s">
        <v>872</v>
      </c>
      <c r="AB1390" s="39">
        <v>3.0</v>
      </c>
    </row>
    <row r="1391">
      <c r="A1391" s="39" t="s">
        <v>2017</v>
      </c>
      <c r="B1391" s="39" t="s">
        <v>2018</v>
      </c>
      <c r="C1391" s="39">
        <v>0.25</v>
      </c>
      <c r="D1391" s="41">
        <v>44155.53125</v>
      </c>
      <c r="E1391" s="39" t="s">
        <v>872</v>
      </c>
      <c r="F1391" s="39" t="s">
        <v>724</v>
      </c>
      <c r="G1391" s="39" t="s">
        <v>830</v>
      </c>
      <c r="H1391" s="39">
        <v>1120.0</v>
      </c>
      <c r="N1391" s="39" t="s">
        <v>1051</v>
      </c>
      <c r="R1391" s="39" t="s">
        <v>957</v>
      </c>
      <c r="S1391" s="39" t="s">
        <v>1052</v>
      </c>
      <c r="T1391" s="39" t="s">
        <v>1053</v>
      </c>
      <c r="U1391" s="39" t="s">
        <v>1051</v>
      </c>
      <c r="X1391" s="39" t="s">
        <v>2019</v>
      </c>
      <c r="Y1391" s="39" t="s">
        <v>1380</v>
      </c>
      <c r="Z1391" s="39" t="s">
        <v>872</v>
      </c>
      <c r="AB1391" s="39">
        <v>0.25</v>
      </c>
    </row>
    <row r="1392">
      <c r="A1392" s="39" t="s">
        <v>2020</v>
      </c>
      <c r="B1392" s="39" t="s">
        <v>2021</v>
      </c>
      <c r="C1392" s="39">
        <v>0.25</v>
      </c>
      <c r="D1392" s="41">
        <v>44155.541666666664</v>
      </c>
      <c r="E1392" s="39" t="s">
        <v>872</v>
      </c>
      <c r="F1392" s="39" t="s">
        <v>724</v>
      </c>
      <c r="G1392" s="39" t="s">
        <v>830</v>
      </c>
      <c r="H1392" s="39">
        <v>1120.0</v>
      </c>
      <c r="N1392" s="39" t="s">
        <v>1051</v>
      </c>
      <c r="R1392" s="39" t="s">
        <v>832</v>
      </c>
      <c r="S1392" s="39" t="s">
        <v>1052</v>
      </c>
      <c r="T1392" s="39" t="s">
        <v>1053</v>
      </c>
      <c r="U1392" s="39" t="s">
        <v>1051</v>
      </c>
      <c r="X1392" s="39" t="s">
        <v>2022</v>
      </c>
      <c r="Y1392" s="39" t="s">
        <v>1131</v>
      </c>
      <c r="Z1392" s="39" t="s">
        <v>872</v>
      </c>
      <c r="AB1392" s="39">
        <v>0.25</v>
      </c>
    </row>
    <row r="1393">
      <c r="A1393" s="39" t="s">
        <v>1945</v>
      </c>
      <c r="B1393" s="39" t="s">
        <v>1946</v>
      </c>
      <c r="C1393" s="39">
        <v>0.25</v>
      </c>
      <c r="D1393" s="41">
        <v>44155.552083333336</v>
      </c>
      <c r="E1393" s="39" t="s">
        <v>872</v>
      </c>
      <c r="F1393" s="39" t="s">
        <v>724</v>
      </c>
      <c r="G1393" s="39" t="s">
        <v>830</v>
      </c>
      <c r="H1393" s="39">
        <v>1120.0</v>
      </c>
      <c r="N1393" s="39" t="s">
        <v>1051</v>
      </c>
      <c r="R1393" s="39" t="s">
        <v>832</v>
      </c>
      <c r="S1393" s="39" t="s">
        <v>889</v>
      </c>
      <c r="T1393" s="39" t="s">
        <v>1053</v>
      </c>
      <c r="U1393" s="39" t="s">
        <v>1051</v>
      </c>
      <c r="X1393" s="39" t="s">
        <v>1948</v>
      </c>
      <c r="Y1393" s="39" t="s">
        <v>1824</v>
      </c>
      <c r="Z1393" s="39" t="s">
        <v>872</v>
      </c>
      <c r="AB1393" s="39">
        <v>0.25</v>
      </c>
    </row>
    <row r="1394">
      <c r="A1394" s="39" t="s">
        <v>2000</v>
      </c>
      <c r="B1394" s="39" t="s">
        <v>2001</v>
      </c>
      <c r="C1394" s="39">
        <v>0.25</v>
      </c>
      <c r="D1394" s="41">
        <v>44155.5625</v>
      </c>
      <c r="E1394" s="39" t="s">
        <v>872</v>
      </c>
      <c r="F1394" s="39" t="s">
        <v>724</v>
      </c>
      <c r="G1394" s="39" t="s">
        <v>830</v>
      </c>
      <c r="H1394" s="39">
        <v>1120.0</v>
      </c>
      <c r="N1394" s="39" t="s">
        <v>1051</v>
      </c>
      <c r="R1394" s="39" t="s">
        <v>957</v>
      </c>
      <c r="S1394" s="39" t="s">
        <v>1052</v>
      </c>
      <c r="T1394" s="39" t="s">
        <v>1053</v>
      </c>
      <c r="U1394" s="39" t="s">
        <v>1051</v>
      </c>
      <c r="X1394" s="39" t="s">
        <v>2002</v>
      </c>
      <c r="Y1394" s="39" t="s">
        <v>1363</v>
      </c>
      <c r="Z1394" s="39" t="s">
        <v>872</v>
      </c>
      <c r="AB1394" s="39">
        <v>0.25</v>
      </c>
    </row>
    <row r="1395">
      <c r="A1395" s="39" t="s">
        <v>1831</v>
      </c>
      <c r="B1395" s="39" t="s">
        <v>1832</v>
      </c>
      <c r="C1395" s="39">
        <v>0.25</v>
      </c>
      <c r="D1395" s="41">
        <v>44155.572916666664</v>
      </c>
      <c r="E1395" s="39" t="s">
        <v>872</v>
      </c>
      <c r="F1395" s="39" t="s">
        <v>724</v>
      </c>
      <c r="G1395" s="39" t="s">
        <v>830</v>
      </c>
      <c r="H1395" s="39">
        <v>1120.0</v>
      </c>
      <c r="N1395" s="39" t="s">
        <v>1051</v>
      </c>
      <c r="R1395" s="39" t="s">
        <v>832</v>
      </c>
      <c r="S1395" s="39" t="s">
        <v>1052</v>
      </c>
      <c r="T1395" s="39" t="s">
        <v>1053</v>
      </c>
      <c r="U1395" s="39" t="s">
        <v>1051</v>
      </c>
      <c r="X1395" s="39" t="s">
        <v>1949</v>
      </c>
      <c r="Y1395" s="39" t="s">
        <v>1131</v>
      </c>
      <c r="Z1395" s="39" t="s">
        <v>872</v>
      </c>
      <c r="AB1395" s="39">
        <v>0.25</v>
      </c>
    </row>
    <row r="1396">
      <c r="A1396" s="39" t="s">
        <v>2006</v>
      </c>
      <c r="B1396" s="39" t="s">
        <v>2007</v>
      </c>
      <c r="C1396" s="39">
        <v>0.5</v>
      </c>
      <c r="D1396" s="41">
        <v>44155.583333333336</v>
      </c>
      <c r="E1396" s="39" t="s">
        <v>1048</v>
      </c>
      <c r="F1396" s="39" t="s">
        <v>1049</v>
      </c>
      <c r="G1396" s="39" t="s">
        <v>1050</v>
      </c>
      <c r="H1396" s="39">
        <v>1120.0</v>
      </c>
      <c r="N1396" s="39" t="s">
        <v>1051</v>
      </c>
      <c r="R1396" s="39" t="s">
        <v>957</v>
      </c>
      <c r="S1396" s="39" t="s">
        <v>1052</v>
      </c>
      <c r="T1396" s="39" t="s">
        <v>1053</v>
      </c>
      <c r="U1396" s="39" t="s">
        <v>1051</v>
      </c>
      <c r="X1396" s="39" t="s">
        <v>2023</v>
      </c>
      <c r="Y1396" s="39" t="s">
        <v>1596</v>
      </c>
      <c r="Z1396" s="39" t="s">
        <v>1048</v>
      </c>
      <c r="AB1396" s="39">
        <v>0.5</v>
      </c>
    </row>
    <row r="1397">
      <c r="A1397" s="39" t="s">
        <v>2006</v>
      </c>
      <c r="B1397" s="39" t="s">
        <v>2007</v>
      </c>
      <c r="C1397" s="39">
        <v>0.75</v>
      </c>
      <c r="D1397" s="41">
        <v>44158.333333333336</v>
      </c>
      <c r="E1397" s="39" t="s">
        <v>1048</v>
      </c>
      <c r="F1397" s="39" t="s">
        <v>1049</v>
      </c>
      <c r="G1397" s="39" t="s">
        <v>1050</v>
      </c>
      <c r="H1397" s="39">
        <v>1120.0</v>
      </c>
      <c r="N1397" s="39" t="s">
        <v>1051</v>
      </c>
      <c r="R1397" s="39" t="s">
        <v>957</v>
      </c>
      <c r="S1397" s="39" t="s">
        <v>1052</v>
      </c>
      <c r="T1397" s="39" t="s">
        <v>1053</v>
      </c>
      <c r="U1397" s="39" t="s">
        <v>1051</v>
      </c>
      <c r="X1397" s="39" t="s">
        <v>2024</v>
      </c>
      <c r="Y1397" s="39" t="s">
        <v>1596</v>
      </c>
      <c r="Z1397" s="39" t="s">
        <v>1048</v>
      </c>
      <c r="AB1397" s="39">
        <v>0.75</v>
      </c>
    </row>
    <row r="1398">
      <c r="A1398" s="39" t="s">
        <v>1892</v>
      </c>
      <c r="B1398" s="39" t="s">
        <v>1893</v>
      </c>
      <c r="C1398" s="39">
        <v>0.25</v>
      </c>
      <c r="D1398" s="41">
        <v>44158.36111111111</v>
      </c>
      <c r="E1398" s="39" t="s">
        <v>872</v>
      </c>
      <c r="F1398" s="39" t="s">
        <v>724</v>
      </c>
      <c r="G1398" s="39" t="s">
        <v>830</v>
      </c>
      <c r="H1398" s="39">
        <v>1120.0</v>
      </c>
      <c r="N1398" s="39" t="s">
        <v>1051</v>
      </c>
      <c r="R1398" s="39" t="s">
        <v>957</v>
      </c>
      <c r="S1398" s="39" t="s">
        <v>889</v>
      </c>
      <c r="T1398" s="39" t="s">
        <v>1053</v>
      </c>
      <c r="U1398" s="39" t="s">
        <v>1051</v>
      </c>
      <c r="X1398" s="39" t="s">
        <v>1894</v>
      </c>
      <c r="Y1398" s="39" t="s">
        <v>1694</v>
      </c>
      <c r="Z1398" s="39" t="s">
        <v>872</v>
      </c>
      <c r="AB1398" s="39">
        <v>0.25</v>
      </c>
    </row>
    <row r="1399">
      <c r="A1399" s="39" t="s">
        <v>1945</v>
      </c>
      <c r="B1399" s="39" t="s">
        <v>1946</v>
      </c>
      <c r="C1399" s="39">
        <v>4.25</v>
      </c>
      <c r="D1399" s="41">
        <v>44158.364583333336</v>
      </c>
      <c r="E1399" s="39" t="s">
        <v>1048</v>
      </c>
      <c r="F1399" s="39" t="s">
        <v>1049</v>
      </c>
      <c r="G1399" s="39" t="s">
        <v>1050</v>
      </c>
      <c r="H1399" s="39">
        <v>1120.0</v>
      </c>
      <c r="N1399" s="39" t="s">
        <v>1051</v>
      </c>
      <c r="R1399" s="39" t="s">
        <v>832</v>
      </c>
      <c r="S1399" s="39" t="s">
        <v>889</v>
      </c>
      <c r="T1399" s="39" t="s">
        <v>1053</v>
      </c>
      <c r="U1399" s="39" t="s">
        <v>1051</v>
      </c>
      <c r="X1399" s="39" t="s">
        <v>2025</v>
      </c>
      <c r="Y1399" s="39" t="s">
        <v>1824</v>
      </c>
      <c r="Z1399" s="39" t="s">
        <v>872</v>
      </c>
      <c r="AB1399" s="39">
        <v>4.25</v>
      </c>
    </row>
    <row r="1400">
      <c r="A1400" s="39" t="s">
        <v>1895</v>
      </c>
      <c r="B1400" s="39" t="s">
        <v>1896</v>
      </c>
      <c r="C1400" s="39">
        <v>0.5</v>
      </c>
      <c r="D1400" s="41">
        <v>44158.37152777778</v>
      </c>
      <c r="E1400" s="39" t="s">
        <v>872</v>
      </c>
      <c r="F1400" s="39" t="s">
        <v>724</v>
      </c>
      <c r="G1400" s="39" t="s">
        <v>830</v>
      </c>
      <c r="H1400" s="39">
        <v>1120.0</v>
      </c>
      <c r="N1400" s="39" t="s">
        <v>1051</v>
      </c>
      <c r="R1400" s="39" t="s">
        <v>832</v>
      </c>
      <c r="S1400" s="39" t="s">
        <v>889</v>
      </c>
      <c r="T1400" s="39" t="s">
        <v>1053</v>
      </c>
      <c r="U1400" s="39" t="s">
        <v>1051</v>
      </c>
      <c r="X1400" s="39" t="s">
        <v>1897</v>
      </c>
      <c r="Y1400" s="39" t="s">
        <v>1131</v>
      </c>
      <c r="Z1400" s="39" t="s">
        <v>872</v>
      </c>
      <c r="AB1400" s="39">
        <v>0.5</v>
      </c>
    </row>
    <row r="1401">
      <c r="A1401" s="39" t="s">
        <v>1806</v>
      </c>
      <c r="B1401" s="39" t="s">
        <v>1807</v>
      </c>
      <c r="C1401" s="39">
        <v>0.5</v>
      </c>
      <c r="D1401" s="41">
        <v>44158.39236111111</v>
      </c>
      <c r="E1401" s="39" t="s">
        <v>872</v>
      </c>
      <c r="F1401" s="39" t="s">
        <v>724</v>
      </c>
      <c r="G1401" s="39" t="s">
        <v>830</v>
      </c>
      <c r="H1401" s="39">
        <v>1120.0</v>
      </c>
      <c r="N1401" s="39" t="s">
        <v>1810</v>
      </c>
      <c r="R1401" s="39" t="s">
        <v>1811</v>
      </c>
      <c r="S1401" s="39" t="s">
        <v>833</v>
      </c>
      <c r="T1401" s="39" t="s">
        <v>1812</v>
      </c>
      <c r="U1401" s="39" t="s">
        <v>1810</v>
      </c>
      <c r="W1401" s="39" t="s">
        <v>125</v>
      </c>
      <c r="X1401" s="39" t="s">
        <v>1813</v>
      </c>
      <c r="Y1401" s="39" t="s">
        <v>1814</v>
      </c>
      <c r="Z1401" s="39" t="s">
        <v>872</v>
      </c>
      <c r="AB1401" s="39">
        <v>0.5</v>
      </c>
      <c r="AC1401" s="39">
        <v>0.0</v>
      </c>
      <c r="AD1401" s="39">
        <v>0.0</v>
      </c>
    </row>
    <row r="1402">
      <c r="A1402" s="39" t="s">
        <v>1945</v>
      </c>
      <c r="B1402" s="39" t="s">
        <v>1946</v>
      </c>
      <c r="C1402" s="39">
        <v>0.25</v>
      </c>
      <c r="D1402" s="41">
        <v>44158.413194444445</v>
      </c>
      <c r="E1402" s="39" t="s">
        <v>872</v>
      </c>
      <c r="F1402" s="39" t="s">
        <v>724</v>
      </c>
      <c r="G1402" s="39" t="s">
        <v>830</v>
      </c>
      <c r="H1402" s="39">
        <v>1120.0</v>
      </c>
      <c r="N1402" s="39" t="s">
        <v>1051</v>
      </c>
      <c r="R1402" s="39" t="s">
        <v>832</v>
      </c>
      <c r="S1402" s="39" t="s">
        <v>889</v>
      </c>
      <c r="T1402" s="39" t="s">
        <v>1053</v>
      </c>
      <c r="U1402" s="39" t="s">
        <v>1051</v>
      </c>
      <c r="X1402" s="39" t="s">
        <v>1948</v>
      </c>
      <c r="Y1402" s="39" t="s">
        <v>1824</v>
      </c>
      <c r="Z1402" s="39" t="s">
        <v>872</v>
      </c>
      <c r="AB1402" s="39">
        <v>0.25</v>
      </c>
    </row>
    <row r="1403">
      <c r="A1403" s="39" t="s">
        <v>1363</v>
      </c>
      <c r="B1403" s="39" t="s">
        <v>1993</v>
      </c>
      <c r="C1403" s="39">
        <v>0.25</v>
      </c>
      <c r="D1403" s="41">
        <v>44158.42361111111</v>
      </c>
      <c r="E1403" s="39" t="s">
        <v>872</v>
      </c>
      <c r="F1403" s="39" t="s">
        <v>724</v>
      </c>
      <c r="G1403" s="39" t="s">
        <v>830</v>
      </c>
      <c r="H1403" s="39">
        <v>1120.0</v>
      </c>
      <c r="N1403" s="39" t="s">
        <v>1051</v>
      </c>
      <c r="R1403" s="39" t="s">
        <v>832</v>
      </c>
      <c r="S1403" s="39" t="s">
        <v>889</v>
      </c>
      <c r="T1403" s="39" t="s">
        <v>1053</v>
      </c>
      <c r="U1403" s="39" t="s">
        <v>1051</v>
      </c>
      <c r="X1403" s="39" t="s">
        <v>1994</v>
      </c>
      <c r="Y1403" s="39" t="s">
        <v>1131</v>
      </c>
      <c r="Z1403" s="39" t="s">
        <v>872</v>
      </c>
      <c r="AB1403" s="39">
        <v>0.25</v>
      </c>
      <c r="AD1403" s="39">
        <v>0.0</v>
      </c>
    </row>
    <row r="1404">
      <c r="A1404" s="39" t="s">
        <v>1831</v>
      </c>
      <c r="B1404" s="39" t="s">
        <v>1832</v>
      </c>
      <c r="C1404" s="39">
        <v>0.25</v>
      </c>
      <c r="D1404" s="41">
        <v>44158.43402777778</v>
      </c>
      <c r="E1404" s="39" t="s">
        <v>872</v>
      </c>
      <c r="F1404" s="39" t="s">
        <v>724</v>
      </c>
      <c r="G1404" s="39" t="s">
        <v>830</v>
      </c>
      <c r="H1404" s="39">
        <v>1120.0</v>
      </c>
      <c r="N1404" s="39" t="s">
        <v>1051</v>
      </c>
      <c r="R1404" s="39" t="s">
        <v>832</v>
      </c>
      <c r="S1404" s="39" t="s">
        <v>1052</v>
      </c>
      <c r="T1404" s="39" t="s">
        <v>1053</v>
      </c>
      <c r="U1404" s="39" t="s">
        <v>1051</v>
      </c>
      <c r="X1404" s="39" t="s">
        <v>1949</v>
      </c>
      <c r="Y1404" s="39" t="s">
        <v>1131</v>
      </c>
      <c r="Z1404" s="39" t="s">
        <v>872</v>
      </c>
      <c r="AB1404" s="39">
        <v>0.25</v>
      </c>
    </row>
    <row r="1405">
      <c r="A1405" s="39" t="s">
        <v>1977</v>
      </c>
      <c r="B1405" s="39" t="s">
        <v>1978</v>
      </c>
      <c r="C1405" s="39">
        <v>0.25</v>
      </c>
      <c r="D1405" s="41">
        <v>44158.46527777778</v>
      </c>
      <c r="E1405" s="39" t="s">
        <v>872</v>
      </c>
      <c r="F1405" s="39" t="s">
        <v>724</v>
      </c>
      <c r="G1405" s="39" t="s">
        <v>830</v>
      </c>
      <c r="H1405" s="39">
        <v>1120.0</v>
      </c>
      <c r="N1405" s="39" t="s">
        <v>1051</v>
      </c>
      <c r="R1405" s="39" t="s">
        <v>832</v>
      </c>
      <c r="S1405" s="39" t="s">
        <v>1052</v>
      </c>
      <c r="T1405" s="39" t="s">
        <v>1053</v>
      </c>
      <c r="U1405" s="39" t="s">
        <v>1051</v>
      </c>
      <c r="X1405" s="39" t="s">
        <v>2013</v>
      </c>
      <c r="Y1405" s="39" t="s">
        <v>1131</v>
      </c>
      <c r="Z1405" s="39" t="s">
        <v>872</v>
      </c>
      <c r="AB1405" s="39">
        <v>0.25</v>
      </c>
    </row>
    <row r="1406">
      <c r="A1406" s="39" t="s">
        <v>1987</v>
      </c>
      <c r="B1406" s="39" t="s">
        <v>1988</v>
      </c>
      <c r="C1406" s="39">
        <v>1.5</v>
      </c>
      <c r="D1406" s="41">
        <v>44158.53125</v>
      </c>
      <c r="E1406" s="39" t="s">
        <v>1048</v>
      </c>
      <c r="F1406" s="39" t="s">
        <v>1049</v>
      </c>
      <c r="G1406" s="39" t="s">
        <v>1050</v>
      </c>
      <c r="H1406" s="39">
        <v>1120.0</v>
      </c>
      <c r="N1406" s="39" t="s">
        <v>1051</v>
      </c>
      <c r="R1406" s="39" t="s">
        <v>957</v>
      </c>
      <c r="S1406" s="39" t="s">
        <v>1052</v>
      </c>
      <c r="T1406" s="39" t="s">
        <v>1053</v>
      </c>
      <c r="U1406" s="39" t="s">
        <v>1051</v>
      </c>
      <c r="X1406" s="39" t="s">
        <v>2026</v>
      </c>
      <c r="Y1406" s="39" t="s">
        <v>1831</v>
      </c>
      <c r="Z1406" s="39" t="s">
        <v>872</v>
      </c>
      <c r="AB1406" s="39">
        <v>1.5</v>
      </c>
    </row>
    <row r="1407">
      <c r="A1407" s="39" t="s">
        <v>1806</v>
      </c>
      <c r="B1407" s="39" t="s">
        <v>1807</v>
      </c>
      <c r="C1407" s="39">
        <v>1.25</v>
      </c>
      <c r="D1407" s="41">
        <v>44158.5625</v>
      </c>
      <c r="E1407" s="39" t="s">
        <v>1983</v>
      </c>
      <c r="F1407" s="39" t="s">
        <v>1984</v>
      </c>
      <c r="H1407" s="39">
        <v>1120.0</v>
      </c>
      <c r="N1407" s="39" t="s">
        <v>1810</v>
      </c>
      <c r="R1407" s="39" t="s">
        <v>1811</v>
      </c>
      <c r="S1407" s="39" t="s">
        <v>833</v>
      </c>
      <c r="T1407" s="39" t="s">
        <v>1812</v>
      </c>
      <c r="U1407" s="39" t="s">
        <v>1810</v>
      </c>
      <c r="W1407" s="39" t="s">
        <v>125</v>
      </c>
      <c r="X1407" s="39" t="s">
        <v>1813</v>
      </c>
      <c r="Y1407" s="39" t="s">
        <v>1814</v>
      </c>
      <c r="Z1407" s="39" t="s">
        <v>872</v>
      </c>
      <c r="AB1407" s="39">
        <v>1.25</v>
      </c>
      <c r="AC1407" s="39">
        <v>0.0</v>
      </c>
      <c r="AD1407" s="39">
        <v>0.0</v>
      </c>
    </row>
    <row r="1408">
      <c r="A1408" s="39" t="s">
        <v>1892</v>
      </c>
      <c r="B1408" s="39" t="s">
        <v>1893</v>
      </c>
      <c r="C1408" s="39">
        <v>0.5</v>
      </c>
      <c r="D1408" s="41">
        <v>44158.59375</v>
      </c>
      <c r="E1408" s="39" t="s">
        <v>1048</v>
      </c>
      <c r="F1408" s="39" t="s">
        <v>1049</v>
      </c>
      <c r="G1408" s="39" t="s">
        <v>1050</v>
      </c>
      <c r="H1408" s="39">
        <v>1120.0</v>
      </c>
      <c r="N1408" s="39" t="s">
        <v>1051</v>
      </c>
      <c r="R1408" s="39" t="s">
        <v>957</v>
      </c>
      <c r="S1408" s="39" t="s">
        <v>889</v>
      </c>
      <c r="T1408" s="39" t="s">
        <v>1053</v>
      </c>
      <c r="U1408" s="39" t="s">
        <v>1051</v>
      </c>
      <c r="X1408" s="39" t="s">
        <v>2027</v>
      </c>
      <c r="Y1408" s="39" t="s">
        <v>1694</v>
      </c>
      <c r="Z1408" s="39" t="s">
        <v>872</v>
      </c>
      <c r="AB1408" s="39">
        <v>0.5</v>
      </c>
    </row>
    <row r="1409">
      <c r="A1409" s="39" t="s">
        <v>1945</v>
      </c>
      <c r="B1409" s="39" t="s">
        <v>1946</v>
      </c>
      <c r="C1409" s="39">
        <v>3.0</v>
      </c>
      <c r="D1409" s="41">
        <v>44159.333333333336</v>
      </c>
      <c r="E1409" s="39" t="s">
        <v>1048</v>
      </c>
      <c r="F1409" s="39" t="s">
        <v>1049</v>
      </c>
      <c r="G1409" s="39" t="s">
        <v>1050</v>
      </c>
      <c r="H1409" s="39">
        <v>1120.0</v>
      </c>
      <c r="N1409" s="39" t="s">
        <v>1051</v>
      </c>
      <c r="R1409" s="39" t="s">
        <v>832</v>
      </c>
      <c r="S1409" s="39" t="s">
        <v>889</v>
      </c>
      <c r="T1409" s="39" t="s">
        <v>1053</v>
      </c>
      <c r="U1409" s="39" t="s">
        <v>1051</v>
      </c>
      <c r="X1409" s="39" t="s">
        <v>2028</v>
      </c>
      <c r="Y1409" s="39" t="s">
        <v>1824</v>
      </c>
      <c r="Z1409" s="39" t="s">
        <v>872</v>
      </c>
      <c r="AB1409" s="39">
        <v>3.0</v>
      </c>
    </row>
    <row r="1410">
      <c r="A1410" s="39" t="s">
        <v>1977</v>
      </c>
      <c r="B1410" s="39" t="s">
        <v>1978</v>
      </c>
      <c r="C1410" s="39">
        <v>7.0</v>
      </c>
      <c r="D1410" s="41">
        <v>44159.333333333336</v>
      </c>
      <c r="E1410" s="39" t="s">
        <v>1059</v>
      </c>
      <c r="F1410" s="39" t="s">
        <v>1060</v>
      </c>
      <c r="G1410" s="39" t="s">
        <v>1050</v>
      </c>
      <c r="H1410" s="39">
        <v>1120.0</v>
      </c>
      <c r="N1410" s="39" t="s">
        <v>1051</v>
      </c>
      <c r="R1410" s="39" t="s">
        <v>832</v>
      </c>
      <c r="S1410" s="39" t="s">
        <v>1052</v>
      </c>
      <c r="T1410" s="39" t="s">
        <v>1053</v>
      </c>
      <c r="U1410" s="39" t="s">
        <v>1051</v>
      </c>
      <c r="X1410" s="39" t="s">
        <v>2029</v>
      </c>
      <c r="Y1410" s="39" t="s">
        <v>1131</v>
      </c>
      <c r="Z1410" s="39" t="s">
        <v>872</v>
      </c>
      <c r="AB1410" s="39">
        <v>7.0</v>
      </c>
    </row>
    <row r="1411">
      <c r="A1411" s="39" t="s">
        <v>1581</v>
      </c>
      <c r="B1411" s="39" t="s">
        <v>1582</v>
      </c>
      <c r="C1411" s="39">
        <v>0.25</v>
      </c>
      <c r="D1411" s="41">
        <v>44159.385416666664</v>
      </c>
      <c r="E1411" s="39" t="s">
        <v>872</v>
      </c>
      <c r="F1411" s="39" t="s">
        <v>724</v>
      </c>
      <c r="G1411" s="39" t="s">
        <v>830</v>
      </c>
      <c r="H1411" s="39">
        <v>1120.0</v>
      </c>
      <c r="N1411" s="39" t="s">
        <v>1583</v>
      </c>
      <c r="R1411" s="39" t="s">
        <v>1584</v>
      </c>
      <c r="S1411" s="39" t="s">
        <v>1052</v>
      </c>
      <c r="T1411" s="39" t="s">
        <v>1585</v>
      </c>
      <c r="U1411" s="39" t="s">
        <v>1583</v>
      </c>
      <c r="X1411" s="39" t="s">
        <v>1586</v>
      </c>
      <c r="Z1411" s="39" t="s">
        <v>872</v>
      </c>
      <c r="AB1411" s="39">
        <v>0.25</v>
      </c>
    </row>
    <row r="1412">
      <c r="A1412" s="39" t="s">
        <v>2030</v>
      </c>
      <c r="B1412" s="39" t="s">
        <v>2031</v>
      </c>
      <c r="C1412" s="39">
        <v>1.0</v>
      </c>
      <c r="D1412" s="41">
        <v>44159.395833333336</v>
      </c>
      <c r="E1412" s="39" t="s">
        <v>872</v>
      </c>
      <c r="F1412" s="39" t="s">
        <v>724</v>
      </c>
      <c r="G1412" s="39" t="s">
        <v>830</v>
      </c>
      <c r="H1412" s="39">
        <v>1120.0</v>
      </c>
      <c r="N1412" s="39" t="s">
        <v>1051</v>
      </c>
      <c r="R1412" s="39" t="s">
        <v>832</v>
      </c>
      <c r="S1412" s="39" t="s">
        <v>889</v>
      </c>
      <c r="T1412" s="39" t="s">
        <v>1053</v>
      </c>
      <c r="U1412" s="39" t="s">
        <v>1051</v>
      </c>
      <c r="X1412" s="39" t="s">
        <v>2032</v>
      </c>
      <c r="Y1412" s="39" t="s">
        <v>1824</v>
      </c>
      <c r="Z1412" s="39" t="s">
        <v>872</v>
      </c>
      <c r="AB1412" s="39">
        <v>1.0</v>
      </c>
    </row>
    <row r="1413">
      <c r="A1413" s="39" t="s">
        <v>1945</v>
      </c>
      <c r="B1413" s="39" t="s">
        <v>1946</v>
      </c>
      <c r="C1413" s="39">
        <v>1.0</v>
      </c>
      <c r="D1413" s="41">
        <v>44159.4375</v>
      </c>
      <c r="E1413" s="39" t="s">
        <v>872</v>
      </c>
      <c r="F1413" s="39" t="s">
        <v>724</v>
      </c>
      <c r="G1413" s="39" t="s">
        <v>830</v>
      </c>
      <c r="H1413" s="39">
        <v>1120.0</v>
      </c>
      <c r="N1413" s="39" t="s">
        <v>1051</v>
      </c>
      <c r="R1413" s="39" t="s">
        <v>832</v>
      </c>
      <c r="S1413" s="39" t="s">
        <v>889</v>
      </c>
      <c r="T1413" s="39" t="s">
        <v>1053</v>
      </c>
      <c r="U1413" s="39" t="s">
        <v>1051</v>
      </c>
      <c r="X1413" s="39" t="s">
        <v>1948</v>
      </c>
      <c r="Y1413" s="39" t="s">
        <v>1824</v>
      </c>
      <c r="Z1413" s="39" t="s">
        <v>872</v>
      </c>
      <c r="AB1413" s="39">
        <v>1.0</v>
      </c>
    </row>
    <row r="1414">
      <c r="A1414" s="39" t="s">
        <v>2030</v>
      </c>
      <c r="B1414" s="39" t="s">
        <v>2031</v>
      </c>
      <c r="C1414" s="39">
        <v>4.0</v>
      </c>
      <c r="D1414" s="41">
        <v>44159.458333333336</v>
      </c>
      <c r="E1414" s="39" t="s">
        <v>1048</v>
      </c>
      <c r="F1414" s="39" t="s">
        <v>1049</v>
      </c>
      <c r="G1414" s="39" t="s">
        <v>1050</v>
      </c>
      <c r="H1414" s="39">
        <v>1120.0</v>
      </c>
      <c r="N1414" s="39" t="s">
        <v>1051</v>
      </c>
      <c r="R1414" s="39" t="s">
        <v>832</v>
      </c>
      <c r="S1414" s="39" t="s">
        <v>889</v>
      </c>
      <c r="T1414" s="39" t="s">
        <v>1053</v>
      </c>
      <c r="U1414" s="39" t="s">
        <v>1051</v>
      </c>
      <c r="X1414" s="39" t="s">
        <v>2033</v>
      </c>
      <c r="Y1414" s="39" t="s">
        <v>1824</v>
      </c>
      <c r="Z1414" s="39" t="s">
        <v>872</v>
      </c>
      <c r="AB1414" s="39">
        <v>4.0</v>
      </c>
    </row>
    <row r="1415">
      <c r="A1415" s="39" t="s">
        <v>1386</v>
      </c>
      <c r="B1415" s="39" t="s">
        <v>1403</v>
      </c>
      <c r="C1415" s="39">
        <v>0.5</v>
      </c>
      <c r="D1415" s="41">
        <v>44159.479166666664</v>
      </c>
      <c r="E1415" s="39" t="s">
        <v>872</v>
      </c>
      <c r="F1415" s="39" t="s">
        <v>724</v>
      </c>
      <c r="G1415" s="39" t="s">
        <v>830</v>
      </c>
      <c r="H1415" s="39">
        <v>1120.0</v>
      </c>
      <c r="N1415" s="39" t="s">
        <v>1051</v>
      </c>
      <c r="R1415" s="39" t="s">
        <v>72</v>
      </c>
      <c r="S1415" s="39" t="s">
        <v>842</v>
      </c>
      <c r="T1415" s="39" t="s">
        <v>1053</v>
      </c>
      <c r="U1415" s="39" t="s">
        <v>1051</v>
      </c>
      <c r="X1415" s="39" t="s">
        <v>2034</v>
      </c>
      <c r="Z1415" s="39" t="s">
        <v>872</v>
      </c>
      <c r="AB1415" s="39">
        <v>0.5</v>
      </c>
    </row>
    <row r="1416">
      <c r="A1416" s="39" t="s">
        <v>1977</v>
      </c>
      <c r="B1416" s="39" t="s">
        <v>1978</v>
      </c>
      <c r="C1416" s="39">
        <v>0.25</v>
      </c>
      <c r="D1416" s="41">
        <v>44159.520833333336</v>
      </c>
      <c r="E1416" s="39" t="s">
        <v>872</v>
      </c>
      <c r="F1416" s="39" t="s">
        <v>724</v>
      </c>
      <c r="G1416" s="39" t="s">
        <v>830</v>
      </c>
      <c r="H1416" s="39">
        <v>1120.0</v>
      </c>
      <c r="N1416" s="39" t="s">
        <v>1051</v>
      </c>
      <c r="R1416" s="39" t="s">
        <v>832</v>
      </c>
      <c r="S1416" s="39" t="s">
        <v>1052</v>
      </c>
      <c r="T1416" s="39" t="s">
        <v>1053</v>
      </c>
      <c r="U1416" s="39" t="s">
        <v>1051</v>
      </c>
      <c r="X1416" s="39" t="s">
        <v>2013</v>
      </c>
      <c r="Y1416" s="39" t="s">
        <v>1131</v>
      </c>
      <c r="Z1416" s="39" t="s">
        <v>872</v>
      </c>
      <c r="AB1416" s="39">
        <v>0.25</v>
      </c>
    </row>
    <row r="1417">
      <c r="A1417" s="39" t="s">
        <v>1895</v>
      </c>
      <c r="B1417" s="39" t="s">
        <v>1896</v>
      </c>
      <c r="C1417" s="39">
        <v>0.25</v>
      </c>
      <c r="D1417" s="41">
        <v>44159.53125</v>
      </c>
      <c r="E1417" s="39" t="s">
        <v>872</v>
      </c>
      <c r="F1417" s="39" t="s">
        <v>724</v>
      </c>
      <c r="G1417" s="39" t="s">
        <v>830</v>
      </c>
      <c r="H1417" s="39">
        <v>1120.0</v>
      </c>
      <c r="N1417" s="39" t="s">
        <v>1051</v>
      </c>
      <c r="R1417" s="39" t="s">
        <v>832</v>
      </c>
      <c r="S1417" s="39" t="s">
        <v>889</v>
      </c>
      <c r="T1417" s="39" t="s">
        <v>1053</v>
      </c>
      <c r="U1417" s="39" t="s">
        <v>1051</v>
      </c>
      <c r="X1417" s="39" t="s">
        <v>1897</v>
      </c>
      <c r="Y1417" s="39" t="s">
        <v>1131</v>
      </c>
      <c r="Z1417" s="39" t="s">
        <v>872</v>
      </c>
      <c r="AB1417" s="39">
        <v>0.25</v>
      </c>
    </row>
    <row r="1418">
      <c r="A1418" s="39" t="s">
        <v>2030</v>
      </c>
      <c r="B1418" s="39" t="s">
        <v>2031</v>
      </c>
      <c r="C1418" s="39">
        <v>3.0</v>
      </c>
      <c r="D1418" s="41">
        <v>44160.333333333336</v>
      </c>
      <c r="E1418" s="39" t="s">
        <v>1048</v>
      </c>
      <c r="F1418" s="39" t="s">
        <v>1049</v>
      </c>
      <c r="G1418" s="39" t="s">
        <v>1050</v>
      </c>
      <c r="H1418" s="39">
        <v>1120.0</v>
      </c>
      <c r="N1418" s="39" t="s">
        <v>1051</v>
      </c>
      <c r="R1418" s="39" t="s">
        <v>832</v>
      </c>
      <c r="S1418" s="39" t="s">
        <v>889</v>
      </c>
      <c r="T1418" s="39" t="s">
        <v>1053</v>
      </c>
      <c r="U1418" s="39" t="s">
        <v>1051</v>
      </c>
      <c r="X1418" s="39" t="s">
        <v>2035</v>
      </c>
      <c r="Y1418" s="39" t="s">
        <v>1824</v>
      </c>
      <c r="Z1418" s="39" t="s">
        <v>872</v>
      </c>
      <c r="AB1418" s="39">
        <v>3.0</v>
      </c>
    </row>
    <row r="1419">
      <c r="A1419" s="39" t="s">
        <v>1892</v>
      </c>
      <c r="B1419" s="39" t="s">
        <v>1893</v>
      </c>
      <c r="C1419" s="39">
        <v>7.0</v>
      </c>
      <c r="D1419" s="41">
        <v>44160.333333333336</v>
      </c>
      <c r="E1419" s="39" t="s">
        <v>1059</v>
      </c>
      <c r="F1419" s="39" t="s">
        <v>1060</v>
      </c>
      <c r="G1419" s="39" t="s">
        <v>1050</v>
      </c>
      <c r="H1419" s="39">
        <v>1120.0</v>
      </c>
      <c r="N1419" s="39" t="s">
        <v>1051</v>
      </c>
      <c r="R1419" s="39" t="s">
        <v>957</v>
      </c>
      <c r="S1419" s="39" t="s">
        <v>889</v>
      </c>
      <c r="T1419" s="39" t="s">
        <v>1053</v>
      </c>
      <c r="U1419" s="39" t="s">
        <v>1051</v>
      </c>
      <c r="X1419" s="39" t="s">
        <v>2036</v>
      </c>
      <c r="Y1419" s="39" t="s">
        <v>1694</v>
      </c>
      <c r="Z1419" s="39" t="s">
        <v>872</v>
      </c>
      <c r="AB1419" s="39">
        <v>7.0</v>
      </c>
    </row>
    <row r="1420">
      <c r="A1420" s="39" t="s">
        <v>2037</v>
      </c>
      <c r="B1420" s="39" t="s">
        <v>2038</v>
      </c>
      <c r="C1420" s="39">
        <v>0.5</v>
      </c>
      <c r="D1420" s="41">
        <v>44160.354166666664</v>
      </c>
      <c r="E1420" s="39" t="s">
        <v>872</v>
      </c>
      <c r="F1420" s="39" t="s">
        <v>724</v>
      </c>
      <c r="G1420" s="39" t="s">
        <v>830</v>
      </c>
      <c r="H1420" s="39">
        <v>1120.0</v>
      </c>
      <c r="N1420" s="39" t="s">
        <v>1051</v>
      </c>
      <c r="R1420" s="39" t="s">
        <v>957</v>
      </c>
      <c r="S1420" s="39" t="s">
        <v>1052</v>
      </c>
      <c r="T1420" s="39" t="s">
        <v>1053</v>
      </c>
      <c r="U1420" s="39" t="s">
        <v>1051</v>
      </c>
      <c r="X1420" s="39" t="s">
        <v>2039</v>
      </c>
      <c r="Y1420" s="39" t="s">
        <v>1363</v>
      </c>
      <c r="Z1420" s="39" t="s">
        <v>872</v>
      </c>
      <c r="AB1420" s="39">
        <v>0.5</v>
      </c>
    </row>
    <row r="1421">
      <c r="A1421" s="39" t="s">
        <v>1363</v>
      </c>
      <c r="B1421" s="39" t="s">
        <v>1993</v>
      </c>
      <c r="C1421" s="39">
        <v>0.5</v>
      </c>
      <c r="D1421" s="41">
        <v>44160.427083333336</v>
      </c>
      <c r="E1421" s="39" t="s">
        <v>872</v>
      </c>
      <c r="F1421" s="39" t="s">
        <v>724</v>
      </c>
      <c r="G1421" s="39" t="s">
        <v>830</v>
      </c>
      <c r="H1421" s="39">
        <v>1120.0</v>
      </c>
      <c r="N1421" s="39" t="s">
        <v>1051</v>
      </c>
      <c r="R1421" s="39" t="s">
        <v>832</v>
      </c>
      <c r="S1421" s="39" t="s">
        <v>889</v>
      </c>
      <c r="T1421" s="39" t="s">
        <v>1053</v>
      </c>
      <c r="U1421" s="39" t="s">
        <v>1051</v>
      </c>
      <c r="X1421" s="39" t="s">
        <v>2040</v>
      </c>
      <c r="Y1421" s="39" t="s">
        <v>1131</v>
      </c>
      <c r="Z1421" s="39" t="s">
        <v>872</v>
      </c>
      <c r="AB1421" s="39">
        <v>0.5</v>
      </c>
      <c r="AD1421" s="39">
        <v>0.0</v>
      </c>
    </row>
    <row r="1422">
      <c r="A1422" s="39" t="s">
        <v>2030</v>
      </c>
      <c r="B1422" s="39" t="s">
        <v>2031</v>
      </c>
      <c r="C1422" s="39">
        <v>0.25</v>
      </c>
      <c r="D1422" s="41">
        <v>44160.447916666664</v>
      </c>
      <c r="E1422" s="39" t="s">
        <v>872</v>
      </c>
      <c r="F1422" s="39" t="s">
        <v>724</v>
      </c>
      <c r="G1422" s="39" t="s">
        <v>830</v>
      </c>
      <c r="H1422" s="39">
        <v>1120.0</v>
      </c>
      <c r="N1422" s="39" t="s">
        <v>1051</v>
      </c>
      <c r="R1422" s="39" t="s">
        <v>832</v>
      </c>
      <c r="S1422" s="39" t="s">
        <v>889</v>
      </c>
      <c r="T1422" s="39" t="s">
        <v>1053</v>
      </c>
      <c r="U1422" s="39" t="s">
        <v>1051</v>
      </c>
      <c r="X1422" s="39" t="s">
        <v>2032</v>
      </c>
      <c r="Y1422" s="39" t="s">
        <v>1824</v>
      </c>
      <c r="Z1422" s="39" t="s">
        <v>872</v>
      </c>
      <c r="AB1422" s="39">
        <v>0.25</v>
      </c>
    </row>
    <row r="1423">
      <c r="A1423" s="39" t="s">
        <v>2030</v>
      </c>
      <c r="B1423" s="39" t="s">
        <v>2031</v>
      </c>
      <c r="C1423" s="39">
        <v>4.0</v>
      </c>
      <c r="D1423" s="41">
        <v>44160.458333333336</v>
      </c>
      <c r="E1423" s="39" t="s">
        <v>1048</v>
      </c>
      <c r="F1423" s="39" t="s">
        <v>1049</v>
      </c>
      <c r="G1423" s="39" t="s">
        <v>1050</v>
      </c>
      <c r="H1423" s="39">
        <v>1120.0</v>
      </c>
      <c r="N1423" s="39" t="s">
        <v>1051</v>
      </c>
      <c r="R1423" s="39" t="s">
        <v>832</v>
      </c>
      <c r="S1423" s="39" t="s">
        <v>889</v>
      </c>
      <c r="T1423" s="39" t="s">
        <v>1053</v>
      </c>
      <c r="U1423" s="39" t="s">
        <v>1051</v>
      </c>
      <c r="X1423" s="39" t="s">
        <v>2041</v>
      </c>
      <c r="Y1423" s="39" t="s">
        <v>1824</v>
      </c>
      <c r="Z1423" s="39" t="s">
        <v>872</v>
      </c>
      <c r="AB1423" s="39">
        <v>4.0</v>
      </c>
    </row>
    <row r="1424">
      <c r="A1424" s="39" t="s">
        <v>1534</v>
      </c>
      <c r="B1424" s="39" t="s">
        <v>1535</v>
      </c>
      <c r="C1424" s="39">
        <v>0.25</v>
      </c>
      <c r="D1424" s="41">
        <v>44161.302083333336</v>
      </c>
      <c r="E1424" s="39" t="s">
        <v>1600</v>
      </c>
      <c r="F1424" s="39" t="s">
        <v>1601</v>
      </c>
      <c r="G1424" s="39" t="s">
        <v>830</v>
      </c>
      <c r="H1424" s="39">
        <v>1120.0</v>
      </c>
      <c r="N1424" s="39" t="s">
        <v>883</v>
      </c>
      <c r="R1424" s="39" t="s">
        <v>832</v>
      </c>
      <c r="S1424" s="39" t="s">
        <v>833</v>
      </c>
      <c r="T1424" s="39" t="s">
        <v>884</v>
      </c>
      <c r="U1424" s="39" t="s">
        <v>883</v>
      </c>
      <c r="W1424" s="39" t="s">
        <v>904</v>
      </c>
      <c r="X1424" s="39" t="s">
        <v>1718</v>
      </c>
      <c r="Z1424" s="39" t="s">
        <v>837</v>
      </c>
      <c r="AB1424" s="39">
        <v>0.25</v>
      </c>
      <c r="AC1424" s="39">
        <v>8.0</v>
      </c>
      <c r="AD1424" s="39">
        <v>0.0</v>
      </c>
    </row>
    <row r="1425">
      <c r="A1425" s="39" t="s">
        <v>2030</v>
      </c>
      <c r="B1425" s="39" t="s">
        <v>2031</v>
      </c>
      <c r="C1425" s="39">
        <v>5.0</v>
      </c>
      <c r="D1425" s="41">
        <v>44161.333333333336</v>
      </c>
      <c r="E1425" s="39" t="s">
        <v>1048</v>
      </c>
      <c r="F1425" s="39" t="s">
        <v>1049</v>
      </c>
      <c r="G1425" s="39" t="s">
        <v>1050</v>
      </c>
      <c r="H1425" s="39">
        <v>1120.0</v>
      </c>
      <c r="N1425" s="39" t="s">
        <v>1051</v>
      </c>
      <c r="R1425" s="39" t="s">
        <v>832</v>
      </c>
      <c r="S1425" s="39" t="s">
        <v>889</v>
      </c>
      <c r="T1425" s="39" t="s">
        <v>1053</v>
      </c>
      <c r="U1425" s="39" t="s">
        <v>1051</v>
      </c>
      <c r="X1425" s="39" t="s">
        <v>2042</v>
      </c>
      <c r="Y1425" s="39" t="s">
        <v>1824</v>
      </c>
      <c r="Z1425" s="39" t="s">
        <v>872</v>
      </c>
      <c r="AB1425" s="39">
        <v>5.0</v>
      </c>
    </row>
    <row r="1426">
      <c r="A1426" s="39" t="s">
        <v>2043</v>
      </c>
      <c r="B1426" s="39" t="s">
        <v>2044</v>
      </c>
      <c r="C1426" s="39">
        <v>8.0</v>
      </c>
      <c r="D1426" s="41">
        <v>44161.333333333336</v>
      </c>
      <c r="E1426" s="39" t="s">
        <v>1059</v>
      </c>
      <c r="F1426" s="39" t="s">
        <v>1060</v>
      </c>
      <c r="G1426" s="39" t="s">
        <v>1050</v>
      </c>
      <c r="H1426" s="39">
        <v>1120.0</v>
      </c>
      <c r="N1426" s="39" t="s">
        <v>1051</v>
      </c>
      <c r="R1426" s="39" t="s">
        <v>832</v>
      </c>
      <c r="S1426" s="39" t="s">
        <v>1052</v>
      </c>
      <c r="T1426" s="39" t="s">
        <v>1053</v>
      </c>
      <c r="U1426" s="39" t="s">
        <v>1051</v>
      </c>
      <c r="X1426" s="39" t="s">
        <v>2045</v>
      </c>
      <c r="Y1426" s="39" t="s">
        <v>1131</v>
      </c>
      <c r="Z1426" s="39" t="s">
        <v>872</v>
      </c>
      <c r="AB1426" s="39">
        <v>8.0</v>
      </c>
    </row>
    <row r="1427">
      <c r="A1427" s="39" t="s">
        <v>1646</v>
      </c>
      <c r="B1427" s="39" t="s">
        <v>1647</v>
      </c>
      <c r="C1427" s="39">
        <v>0.5</v>
      </c>
      <c r="D1427" s="41">
        <v>44161.333333333336</v>
      </c>
      <c r="E1427" s="39" t="s">
        <v>1600</v>
      </c>
      <c r="F1427" s="39" t="s">
        <v>1601</v>
      </c>
      <c r="G1427" s="39" t="s">
        <v>830</v>
      </c>
      <c r="H1427" s="39">
        <v>1120.0</v>
      </c>
      <c r="N1427" s="39" t="s">
        <v>883</v>
      </c>
      <c r="R1427" s="39" t="s">
        <v>1021</v>
      </c>
      <c r="S1427" s="39" t="s">
        <v>833</v>
      </c>
      <c r="T1427" s="39" t="s">
        <v>884</v>
      </c>
      <c r="U1427" s="39" t="s">
        <v>883</v>
      </c>
      <c r="X1427" s="39" t="s">
        <v>2046</v>
      </c>
      <c r="Z1427" s="39" t="s">
        <v>1649</v>
      </c>
      <c r="AB1427" s="39">
        <v>0.5</v>
      </c>
    </row>
    <row r="1428">
      <c r="A1428" s="39" t="s">
        <v>2030</v>
      </c>
      <c r="B1428" s="39" t="s">
        <v>2031</v>
      </c>
      <c r="C1428" s="39">
        <v>0.25</v>
      </c>
      <c r="D1428" s="41">
        <v>44161.354166666664</v>
      </c>
      <c r="E1428" s="39" t="s">
        <v>872</v>
      </c>
      <c r="F1428" s="39" t="s">
        <v>724</v>
      </c>
      <c r="G1428" s="39" t="s">
        <v>830</v>
      </c>
      <c r="H1428" s="39">
        <v>1120.0</v>
      </c>
      <c r="N1428" s="39" t="s">
        <v>1051</v>
      </c>
      <c r="R1428" s="39" t="s">
        <v>832</v>
      </c>
      <c r="S1428" s="39" t="s">
        <v>889</v>
      </c>
      <c r="T1428" s="39" t="s">
        <v>1053</v>
      </c>
      <c r="U1428" s="39" t="s">
        <v>1051</v>
      </c>
      <c r="X1428" s="39" t="s">
        <v>2032</v>
      </c>
      <c r="Y1428" s="39" t="s">
        <v>1824</v>
      </c>
      <c r="Z1428" s="39" t="s">
        <v>872</v>
      </c>
      <c r="AB1428" s="39">
        <v>0.25</v>
      </c>
    </row>
    <row r="1429">
      <c r="A1429" s="39" t="s">
        <v>2043</v>
      </c>
      <c r="B1429" s="39" t="s">
        <v>2044</v>
      </c>
      <c r="C1429" s="39">
        <v>0.5</v>
      </c>
      <c r="D1429" s="41">
        <v>44161.385416666664</v>
      </c>
      <c r="E1429" s="39" t="s">
        <v>872</v>
      </c>
      <c r="F1429" s="39" t="s">
        <v>724</v>
      </c>
      <c r="G1429" s="39" t="s">
        <v>830</v>
      </c>
      <c r="H1429" s="39">
        <v>1120.0</v>
      </c>
      <c r="N1429" s="39" t="s">
        <v>1051</v>
      </c>
      <c r="R1429" s="39" t="s">
        <v>832</v>
      </c>
      <c r="S1429" s="39" t="s">
        <v>1052</v>
      </c>
      <c r="T1429" s="39" t="s">
        <v>1053</v>
      </c>
      <c r="U1429" s="39" t="s">
        <v>1051</v>
      </c>
      <c r="X1429" s="39" t="s">
        <v>2047</v>
      </c>
      <c r="Y1429" s="39" t="s">
        <v>1131</v>
      </c>
      <c r="Z1429" s="39" t="s">
        <v>872</v>
      </c>
      <c r="AB1429" s="39">
        <v>0.5</v>
      </c>
    </row>
    <row r="1430">
      <c r="A1430" s="39" t="s">
        <v>1380</v>
      </c>
      <c r="B1430" s="39" t="s">
        <v>1381</v>
      </c>
      <c r="C1430" s="39">
        <v>0.25</v>
      </c>
      <c r="D1430" s="41">
        <v>44161.40625</v>
      </c>
      <c r="E1430" s="39" t="s">
        <v>872</v>
      </c>
      <c r="F1430" s="39" t="s">
        <v>724</v>
      </c>
      <c r="G1430" s="39" t="s">
        <v>830</v>
      </c>
      <c r="H1430" s="39">
        <v>1120.0</v>
      </c>
      <c r="N1430" s="39" t="s">
        <v>1051</v>
      </c>
      <c r="R1430" s="39" t="s">
        <v>832</v>
      </c>
      <c r="S1430" s="39" t="s">
        <v>889</v>
      </c>
      <c r="T1430" s="39" t="s">
        <v>1053</v>
      </c>
      <c r="U1430" s="39" t="s">
        <v>1051</v>
      </c>
      <c r="X1430" s="39" t="s">
        <v>1853</v>
      </c>
      <c r="Y1430" s="39" t="s">
        <v>1131</v>
      </c>
      <c r="Z1430" s="39" t="s">
        <v>872</v>
      </c>
      <c r="AB1430" s="39">
        <v>0.25</v>
      </c>
    </row>
    <row r="1431">
      <c r="A1431" s="39" t="s">
        <v>2030</v>
      </c>
      <c r="B1431" s="39" t="s">
        <v>2031</v>
      </c>
      <c r="C1431" s="39">
        <v>2.0</v>
      </c>
      <c r="D1431" s="41">
        <v>44161.541666666664</v>
      </c>
      <c r="E1431" s="39" t="s">
        <v>1048</v>
      </c>
      <c r="F1431" s="39" t="s">
        <v>1049</v>
      </c>
      <c r="G1431" s="39" t="s">
        <v>1050</v>
      </c>
      <c r="H1431" s="39">
        <v>1120.0</v>
      </c>
      <c r="N1431" s="39" t="s">
        <v>1051</v>
      </c>
      <c r="R1431" s="39" t="s">
        <v>832</v>
      </c>
      <c r="S1431" s="39" t="s">
        <v>889</v>
      </c>
      <c r="T1431" s="39" t="s">
        <v>1053</v>
      </c>
      <c r="U1431" s="39" t="s">
        <v>1051</v>
      </c>
      <c r="X1431" s="39" t="s">
        <v>2048</v>
      </c>
      <c r="Y1431" s="39" t="s">
        <v>1824</v>
      </c>
      <c r="Z1431" s="39" t="s">
        <v>872</v>
      </c>
      <c r="AB1431" s="39">
        <v>2.0</v>
      </c>
    </row>
    <row r="1432">
      <c r="A1432" s="39" t="s">
        <v>2030</v>
      </c>
      <c r="B1432" s="39" t="s">
        <v>2031</v>
      </c>
      <c r="C1432" s="39">
        <v>2.0</v>
      </c>
      <c r="D1432" s="41">
        <v>44162.333333333336</v>
      </c>
      <c r="E1432" s="39" t="s">
        <v>1048</v>
      </c>
      <c r="F1432" s="39" t="s">
        <v>1049</v>
      </c>
      <c r="G1432" s="39" t="s">
        <v>1050</v>
      </c>
      <c r="H1432" s="39">
        <v>1120.0</v>
      </c>
      <c r="N1432" s="39" t="s">
        <v>1051</v>
      </c>
      <c r="R1432" s="39" t="s">
        <v>832</v>
      </c>
      <c r="S1432" s="39" t="s">
        <v>889</v>
      </c>
      <c r="T1432" s="39" t="s">
        <v>1053</v>
      </c>
      <c r="U1432" s="39" t="s">
        <v>1051</v>
      </c>
      <c r="X1432" s="39" t="s">
        <v>2049</v>
      </c>
      <c r="Y1432" s="39" t="s">
        <v>1824</v>
      </c>
      <c r="Z1432" s="39" t="s">
        <v>872</v>
      </c>
      <c r="AB1432" s="39">
        <v>2.0</v>
      </c>
    </row>
    <row r="1433">
      <c r="A1433" s="39" t="s">
        <v>1646</v>
      </c>
      <c r="B1433" s="39" t="s">
        <v>1647</v>
      </c>
      <c r="C1433" s="39">
        <v>0.25</v>
      </c>
      <c r="D1433" s="41">
        <v>44162.395833333336</v>
      </c>
      <c r="E1433" s="39" t="s">
        <v>828</v>
      </c>
      <c r="F1433" s="39" t="s">
        <v>829</v>
      </c>
      <c r="G1433" s="39" t="s">
        <v>830</v>
      </c>
      <c r="H1433" s="39">
        <v>1120.0</v>
      </c>
      <c r="N1433" s="39" t="s">
        <v>883</v>
      </c>
      <c r="R1433" s="39" t="s">
        <v>1021</v>
      </c>
      <c r="S1433" s="39" t="s">
        <v>833</v>
      </c>
      <c r="T1433" s="39" t="s">
        <v>884</v>
      </c>
      <c r="U1433" s="39" t="s">
        <v>883</v>
      </c>
      <c r="X1433" s="39" t="s">
        <v>1680</v>
      </c>
      <c r="Z1433" s="39" t="s">
        <v>1649</v>
      </c>
      <c r="AB1433" s="39">
        <v>0.25</v>
      </c>
    </row>
    <row r="1434">
      <c r="A1434" s="39" t="s">
        <v>2037</v>
      </c>
      <c r="B1434" s="39" t="s">
        <v>2038</v>
      </c>
      <c r="C1434" s="39">
        <v>0.25</v>
      </c>
      <c r="D1434" s="41">
        <v>44162.395833333336</v>
      </c>
      <c r="E1434" s="39" t="s">
        <v>872</v>
      </c>
      <c r="F1434" s="39" t="s">
        <v>724</v>
      </c>
      <c r="G1434" s="39" t="s">
        <v>830</v>
      </c>
      <c r="H1434" s="39">
        <v>1120.0</v>
      </c>
      <c r="N1434" s="39" t="s">
        <v>1051</v>
      </c>
      <c r="R1434" s="39" t="s">
        <v>957</v>
      </c>
      <c r="S1434" s="39" t="s">
        <v>1052</v>
      </c>
      <c r="T1434" s="39" t="s">
        <v>1053</v>
      </c>
      <c r="U1434" s="39" t="s">
        <v>1051</v>
      </c>
      <c r="X1434" s="39" t="s">
        <v>2039</v>
      </c>
      <c r="Y1434" s="39" t="s">
        <v>1363</v>
      </c>
      <c r="Z1434" s="39" t="s">
        <v>872</v>
      </c>
      <c r="AB1434" s="39">
        <v>0.25</v>
      </c>
    </row>
    <row r="1435">
      <c r="A1435" s="39" t="s">
        <v>2020</v>
      </c>
      <c r="B1435" s="39" t="s">
        <v>2021</v>
      </c>
      <c r="C1435" s="39">
        <v>0.25</v>
      </c>
      <c r="D1435" s="41">
        <v>44162.40625</v>
      </c>
      <c r="E1435" s="39" t="s">
        <v>872</v>
      </c>
      <c r="F1435" s="39" t="s">
        <v>724</v>
      </c>
      <c r="G1435" s="39" t="s">
        <v>830</v>
      </c>
      <c r="H1435" s="39">
        <v>1120.0</v>
      </c>
      <c r="N1435" s="39" t="s">
        <v>1051</v>
      </c>
      <c r="R1435" s="39" t="s">
        <v>832</v>
      </c>
      <c r="S1435" s="39" t="s">
        <v>1052</v>
      </c>
      <c r="T1435" s="39" t="s">
        <v>1053</v>
      </c>
      <c r="U1435" s="39" t="s">
        <v>1051</v>
      </c>
      <c r="X1435" s="39" t="s">
        <v>2022</v>
      </c>
      <c r="Y1435" s="39" t="s">
        <v>1131</v>
      </c>
      <c r="Z1435" s="39" t="s">
        <v>872</v>
      </c>
      <c r="AB1435" s="39">
        <v>0.25</v>
      </c>
    </row>
    <row r="1436">
      <c r="A1436" s="39" t="s">
        <v>2030</v>
      </c>
      <c r="B1436" s="39" t="s">
        <v>2031</v>
      </c>
      <c r="C1436" s="39">
        <v>5.0</v>
      </c>
      <c r="D1436" s="41">
        <v>44162.416666666664</v>
      </c>
      <c r="E1436" s="39" t="s">
        <v>1048</v>
      </c>
      <c r="F1436" s="39" t="s">
        <v>1049</v>
      </c>
      <c r="G1436" s="39" t="s">
        <v>1050</v>
      </c>
      <c r="H1436" s="39">
        <v>1120.0</v>
      </c>
      <c r="N1436" s="39" t="s">
        <v>1051</v>
      </c>
      <c r="R1436" s="39" t="s">
        <v>832</v>
      </c>
      <c r="S1436" s="39" t="s">
        <v>889</v>
      </c>
      <c r="T1436" s="39" t="s">
        <v>1053</v>
      </c>
      <c r="U1436" s="39" t="s">
        <v>1051</v>
      </c>
      <c r="X1436" s="39" t="s">
        <v>2050</v>
      </c>
      <c r="Y1436" s="39" t="s">
        <v>1824</v>
      </c>
      <c r="Z1436" s="39" t="s">
        <v>872</v>
      </c>
      <c r="AB1436" s="39">
        <v>5.0</v>
      </c>
    </row>
    <row r="1437">
      <c r="A1437" s="39" t="s">
        <v>1892</v>
      </c>
      <c r="B1437" s="39" t="s">
        <v>1893</v>
      </c>
      <c r="C1437" s="39">
        <v>0.25</v>
      </c>
      <c r="D1437" s="41">
        <v>44162.46875</v>
      </c>
      <c r="E1437" s="39" t="s">
        <v>872</v>
      </c>
      <c r="F1437" s="39" t="s">
        <v>724</v>
      </c>
      <c r="G1437" s="39" t="s">
        <v>830</v>
      </c>
      <c r="H1437" s="39">
        <v>1120.0</v>
      </c>
      <c r="N1437" s="39" t="s">
        <v>1051</v>
      </c>
      <c r="R1437" s="39" t="s">
        <v>957</v>
      </c>
      <c r="S1437" s="39" t="s">
        <v>889</v>
      </c>
      <c r="T1437" s="39" t="s">
        <v>1053</v>
      </c>
      <c r="U1437" s="39" t="s">
        <v>1051</v>
      </c>
      <c r="X1437" s="39" t="s">
        <v>1894</v>
      </c>
      <c r="Y1437" s="39" t="s">
        <v>1694</v>
      </c>
      <c r="Z1437" s="39" t="s">
        <v>872</v>
      </c>
      <c r="AB1437" s="39">
        <v>0.25</v>
      </c>
    </row>
    <row r="1438">
      <c r="A1438" s="39" t="s">
        <v>2051</v>
      </c>
      <c r="B1438" s="39" t="s">
        <v>2052</v>
      </c>
      <c r="C1438" s="39">
        <v>0.75</v>
      </c>
      <c r="D1438" s="41">
        <v>44162.48263888889</v>
      </c>
      <c r="E1438" s="39" t="s">
        <v>872</v>
      </c>
      <c r="F1438" s="39" t="s">
        <v>724</v>
      </c>
      <c r="G1438" s="39" t="s">
        <v>830</v>
      </c>
      <c r="H1438" s="39">
        <v>1120.0</v>
      </c>
      <c r="N1438" s="39" t="s">
        <v>1051</v>
      </c>
      <c r="R1438" s="39" t="s">
        <v>832</v>
      </c>
      <c r="S1438" s="39" t="s">
        <v>889</v>
      </c>
      <c r="T1438" s="39" t="s">
        <v>1053</v>
      </c>
      <c r="U1438" s="39" t="s">
        <v>1051</v>
      </c>
      <c r="X1438" s="39" t="s">
        <v>2053</v>
      </c>
      <c r="Y1438" s="39" t="s">
        <v>1386</v>
      </c>
      <c r="Z1438" s="39" t="s">
        <v>872</v>
      </c>
      <c r="AB1438" s="39">
        <v>0.75</v>
      </c>
    </row>
    <row r="1439">
      <c r="A1439" s="39" t="s">
        <v>2054</v>
      </c>
      <c r="B1439" s="39" t="s">
        <v>2055</v>
      </c>
      <c r="C1439" s="39">
        <v>0.25</v>
      </c>
      <c r="D1439" s="41">
        <v>44162.51388888889</v>
      </c>
      <c r="E1439" s="39" t="s">
        <v>872</v>
      </c>
      <c r="F1439" s="39" t="s">
        <v>724</v>
      </c>
      <c r="G1439" s="39" t="s">
        <v>830</v>
      </c>
      <c r="H1439" s="39">
        <v>1120.0</v>
      </c>
      <c r="N1439" s="39" t="s">
        <v>1051</v>
      </c>
      <c r="R1439" s="39" t="s">
        <v>957</v>
      </c>
      <c r="S1439" s="39" t="s">
        <v>842</v>
      </c>
      <c r="T1439" s="39" t="s">
        <v>1053</v>
      </c>
      <c r="U1439" s="39" t="s">
        <v>1051</v>
      </c>
      <c r="X1439" s="39" t="s">
        <v>2056</v>
      </c>
      <c r="Y1439" s="39" t="s">
        <v>2051</v>
      </c>
      <c r="Z1439" s="39" t="s">
        <v>872</v>
      </c>
      <c r="AB1439" s="39">
        <v>0.25</v>
      </c>
    </row>
    <row r="1440">
      <c r="A1440" s="39" t="s">
        <v>1386</v>
      </c>
      <c r="B1440" s="39" t="s">
        <v>1403</v>
      </c>
      <c r="C1440" s="39">
        <v>0.5</v>
      </c>
      <c r="D1440" s="41">
        <v>44162.524305555555</v>
      </c>
      <c r="E1440" s="39" t="s">
        <v>872</v>
      </c>
      <c r="F1440" s="39" t="s">
        <v>724</v>
      </c>
      <c r="G1440" s="39" t="s">
        <v>830</v>
      </c>
      <c r="H1440" s="39">
        <v>1120.0</v>
      </c>
      <c r="N1440" s="39" t="s">
        <v>1051</v>
      </c>
      <c r="R1440" s="39" t="s">
        <v>72</v>
      </c>
      <c r="S1440" s="39" t="s">
        <v>842</v>
      </c>
      <c r="T1440" s="39" t="s">
        <v>1053</v>
      </c>
      <c r="U1440" s="39" t="s">
        <v>1051</v>
      </c>
      <c r="X1440" s="39" t="s">
        <v>2034</v>
      </c>
      <c r="Z1440" s="39" t="s">
        <v>872</v>
      </c>
      <c r="AB1440" s="39">
        <v>0.5</v>
      </c>
    </row>
    <row r="1441">
      <c r="A1441" s="39" t="s">
        <v>2043</v>
      </c>
      <c r="B1441" s="39" t="s">
        <v>2044</v>
      </c>
      <c r="C1441" s="39">
        <v>0.5</v>
      </c>
      <c r="D1441" s="41">
        <v>44162.56597222222</v>
      </c>
      <c r="E1441" s="39" t="s">
        <v>872</v>
      </c>
      <c r="F1441" s="39" t="s">
        <v>724</v>
      </c>
      <c r="G1441" s="39" t="s">
        <v>830</v>
      </c>
      <c r="H1441" s="39">
        <v>1120.0</v>
      </c>
      <c r="N1441" s="39" t="s">
        <v>1051</v>
      </c>
      <c r="R1441" s="39" t="s">
        <v>832</v>
      </c>
      <c r="S1441" s="39" t="s">
        <v>1052</v>
      </c>
      <c r="T1441" s="39" t="s">
        <v>1053</v>
      </c>
      <c r="U1441" s="39" t="s">
        <v>1051</v>
      </c>
      <c r="X1441" s="39" t="s">
        <v>2047</v>
      </c>
      <c r="Y1441" s="39" t="s">
        <v>1131</v>
      </c>
      <c r="Z1441" s="39" t="s">
        <v>872</v>
      </c>
      <c r="AB1441" s="39">
        <v>0.5</v>
      </c>
    </row>
    <row r="1442">
      <c r="A1442" s="39" t="s">
        <v>2030</v>
      </c>
      <c r="B1442" s="39" t="s">
        <v>2031</v>
      </c>
      <c r="C1442" s="39">
        <v>0.25</v>
      </c>
      <c r="D1442" s="41">
        <v>44162.60763888889</v>
      </c>
      <c r="E1442" s="39" t="s">
        <v>872</v>
      </c>
      <c r="F1442" s="39" t="s">
        <v>724</v>
      </c>
      <c r="G1442" s="39" t="s">
        <v>830</v>
      </c>
      <c r="H1442" s="39">
        <v>1120.0</v>
      </c>
      <c r="N1442" s="39" t="s">
        <v>1051</v>
      </c>
      <c r="R1442" s="39" t="s">
        <v>832</v>
      </c>
      <c r="S1442" s="39" t="s">
        <v>889</v>
      </c>
      <c r="T1442" s="39" t="s">
        <v>1053</v>
      </c>
      <c r="U1442" s="39" t="s">
        <v>1051</v>
      </c>
      <c r="X1442" s="39" t="s">
        <v>2032</v>
      </c>
      <c r="Y1442" s="39" t="s">
        <v>1824</v>
      </c>
      <c r="Z1442" s="39" t="s">
        <v>872</v>
      </c>
      <c r="AB1442" s="39">
        <v>0.25</v>
      </c>
    </row>
    <row r="1443">
      <c r="A1443" s="39" t="s">
        <v>1363</v>
      </c>
      <c r="B1443" s="39" t="s">
        <v>1993</v>
      </c>
      <c r="C1443" s="39">
        <v>0.75</v>
      </c>
      <c r="D1443" s="41">
        <v>44163.36111111111</v>
      </c>
      <c r="E1443" s="39" t="s">
        <v>872</v>
      </c>
      <c r="F1443" s="39" t="s">
        <v>724</v>
      </c>
      <c r="G1443" s="39" t="s">
        <v>830</v>
      </c>
      <c r="H1443" s="39">
        <v>1120.0</v>
      </c>
      <c r="N1443" s="39" t="s">
        <v>1051</v>
      </c>
      <c r="R1443" s="39" t="s">
        <v>832</v>
      </c>
      <c r="S1443" s="39" t="s">
        <v>889</v>
      </c>
      <c r="T1443" s="39" t="s">
        <v>1053</v>
      </c>
      <c r="U1443" s="39" t="s">
        <v>1051</v>
      </c>
      <c r="X1443" s="39" t="s">
        <v>1994</v>
      </c>
      <c r="Y1443" s="39" t="s">
        <v>1131</v>
      </c>
      <c r="Z1443" s="39" t="s">
        <v>872</v>
      </c>
      <c r="AB1443" s="39">
        <v>0.75</v>
      </c>
      <c r="AD1443" s="39">
        <v>0.0</v>
      </c>
    </row>
    <row r="1444">
      <c r="A1444" s="39" t="s">
        <v>2043</v>
      </c>
      <c r="B1444" s="39" t="s">
        <v>2044</v>
      </c>
      <c r="C1444" s="39">
        <v>3.0</v>
      </c>
      <c r="D1444" s="41">
        <v>44164.333333333336</v>
      </c>
      <c r="E1444" s="39" t="s">
        <v>1059</v>
      </c>
      <c r="F1444" s="39" t="s">
        <v>1060</v>
      </c>
      <c r="G1444" s="39" t="s">
        <v>1050</v>
      </c>
      <c r="H1444" s="39">
        <v>1120.0</v>
      </c>
      <c r="N1444" s="39" t="s">
        <v>1051</v>
      </c>
      <c r="R1444" s="39" t="s">
        <v>832</v>
      </c>
      <c r="S1444" s="39" t="s">
        <v>1052</v>
      </c>
      <c r="T1444" s="39" t="s">
        <v>1053</v>
      </c>
      <c r="U1444" s="39" t="s">
        <v>1051</v>
      </c>
      <c r="X1444" s="39" t="s">
        <v>2057</v>
      </c>
      <c r="Y1444" s="39" t="s">
        <v>1131</v>
      </c>
      <c r="Z1444" s="39" t="s">
        <v>872</v>
      </c>
      <c r="AB1444" s="39">
        <v>3.0</v>
      </c>
    </row>
    <row r="1445">
      <c r="A1445" s="39" t="s">
        <v>2030</v>
      </c>
      <c r="B1445" s="39" t="s">
        <v>2031</v>
      </c>
      <c r="C1445" s="39">
        <v>4.0</v>
      </c>
      <c r="D1445" s="41">
        <v>44165.333333333336</v>
      </c>
      <c r="E1445" s="39" t="s">
        <v>1048</v>
      </c>
      <c r="F1445" s="39" t="s">
        <v>1049</v>
      </c>
      <c r="G1445" s="39" t="s">
        <v>1050</v>
      </c>
      <c r="H1445" s="39">
        <v>1120.0</v>
      </c>
      <c r="N1445" s="39" t="s">
        <v>1051</v>
      </c>
      <c r="R1445" s="39" t="s">
        <v>832</v>
      </c>
      <c r="S1445" s="39" t="s">
        <v>889</v>
      </c>
      <c r="T1445" s="39" t="s">
        <v>1053</v>
      </c>
      <c r="U1445" s="39" t="s">
        <v>1051</v>
      </c>
      <c r="X1445" s="39" t="s">
        <v>2058</v>
      </c>
      <c r="Y1445" s="39" t="s">
        <v>1824</v>
      </c>
      <c r="Z1445" s="39" t="s">
        <v>872</v>
      </c>
      <c r="AB1445" s="39">
        <v>4.0</v>
      </c>
    </row>
    <row r="1446">
      <c r="A1446" s="39" t="s">
        <v>2059</v>
      </c>
      <c r="B1446" s="39" t="s">
        <v>2060</v>
      </c>
      <c r="C1446" s="39">
        <v>7.0</v>
      </c>
      <c r="D1446" s="41">
        <v>44165.333333333336</v>
      </c>
      <c r="E1446" s="39" t="s">
        <v>1059</v>
      </c>
      <c r="F1446" s="39" t="s">
        <v>1060</v>
      </c>
      <c r="G1446" s="39" t="s">
        <v>1050</v>
      </c>
      <c r="H1446" s="39">
        <v>1120.0</v>
      </c>
      <c r="N1446" s="39" t="s">
        <v>1051</v>
      </c>
      <c r="R1446" s="39" t="s">
        <v>957</v>
      </c>
      <c r="S1446" s="39" t="s">
        <v>889</v>
      </c>
      <c r="T1446" s="39" t="s">
        <v>1053</v>
      </c>
      <c r="U1446" s="39" t="s">
        <v>1051</v>
      </c>
      <c r="X1446" s="39" t="s">
        <v>2061</v>
      </c>
      <c r="Y1446" s="39" t="s">
        <v>2051</v>
      </c>
      <c r="Z1446" s="39" t="s">
        <v>872</v>
      </c>
      <c r="AB1446" s="39">
        <v>7.0</v>
      </c>
    </row>
    <row r="1447">
      <c r="A1447" s="39" t="s">
        <v>1646</v>
      </c>
      <c r="B1447" s="39" t="s">
        <v>1647</v>
      </c>
      <c r="C1447" s="39">
        <v>0.5</v>
      </c>
      <c r="D1447" s="41">
        <v>44165.364583333336</v>
      </c>
      <c r="E1447" s="39" t="s">
        <v>828</v>
      </c>
      <c r="F1447" s="39" t="s">
        <v>829</v>
      </c>
      <c r="G1447" s="39" t="s">
        <v>830</v>
      </c>
      <c r="H1447" s="39">
        <v>1120.0</v>
      </c>
      <c r="N1447" s="39" t="s">
        <v>883</v>
      </c>
      <c r="R1447" s="39" t="s">
        <v>1021</v>
      </c>
      <c r="S1447" s="39" t="s">
        <v>833</v>
      </c>
      <c r="T1447" s="39" t="s">
        <v>884</v>
      </c>
      <c r="U1447" s="39" t="s">
        <v>883</v>
      </c>
      <c r="X1447" s="39" t="s">
        <v>2062</v>
      </c>
      <c r="Z1447" s="39" t="s">
        <v>1649</v>
      </c>
      <c r="AB1447" s="39">
        <v>0.5</v>
      </c>
    </row>
    <row r="1448">
      <c r="A1448" s="39" t="s">
        <v>1945</v>
      </c>
      <c r="B1448" s="39" t="s">
        <v>1946</v>
      </c>
      <c r="C1448" s="39">
        <v>1.0</v>
      </c>
      <c r="D1448" s="41">
        <v>44165.4375</v>
      </c>
      <c r="E1448" s="39" t="s">
        <v>872</v>
      </c>
      <c r="F1448" s="39" t="s">
        <v>724</v>
      </c>
      <c r="G1448" s="39" t="s">
        <v>830</v>
      </c>
      <c r="H1448" s="39">
        <v>1120.0</v>
      </c>
      <c r="N1448" s="39" t="s">
        <v>1051</v>
      </c>
      <c r="R1448" s="39" t="s">
        <v>832</v>
      </c>
      <c r="S1448" s="39" t="s">
        <v>889</v>
      </c>
      <c r="T1448" s="39" t="s">
        <v>1053</v>
      </c>
      <c r="U1448" s="39" t="s">
        <v>1051</v>
      </c>
      <c r="X1448" s="39" t="s">
        <v>1948</v>
      </c>
      <c r="Y1448" s="39" t="s">
        <v>1824</v>
      </c>
      <c r="Z1448" s="39" t="s">
        <v>872</v>
      </c>
      <c r="AB1448" s="39">
        <v>1.0</v>
      </c>
    </row>
    <row r="1449">
      <c r="A1449" s="39" t="s">
        <v>2030</v>
      </c>
      <c r="B1449" s="39" t="s">
        <v>2031</v>
      </c>
      <c r="C1449" s="39">
        <v>3.0</v>
      </c>
      <c r="D1449" s="41">
        <v>44165.5</v>
      </c>
      <c r="E1449" s="39" t="s">
        <v>1048</v>
      </c>
      <c r="F1449" s="39" t="s">
        <v>1049</v>
      </c>
      <c r="G1449" s="39" t="s">
        <v>1050</v>
      </c>
      <c r="H1449" s="39">
        <v>1120.0</v>
      </c>
      <c r="N1449" s="39" t="s">
        <v>1051</v>
      </c>
      <c r="R1449" s="39" t="s">
        <v>832</v>
      </c>
      <c r="S1449" s="39" t="s">
        <v>889</v>
      </c>
      <c r="T1449" s="39" t="s">
        <v>1053</v>
      </c>
      <c r="U1449" s="39" t="s">
        <v>1051</v>
      </c>
      <c r="X1449" s="39" t="s">
        <v>2063</v>
      </c>
      <c r="Y1449" s="39" t="s">
        <v>1824</v>
      </c>
      <c r="Z1449" s="39" t="s">
        <v>872</v>
      </c>
      <c r="AB1449" s="39">
        <v>3.0</v>
      </c>
    </row>
    <row r="1450">
      <c r="A1450" s="39" t="s">
        <v>2030</v>
      </c>
      <c r="B1450" s="39" t="s">
        <v>2031</v>
      </c>
      <c r="C1450" s="39">
        <v>7.0</v>
      </c>
      <c r="D1450" s="41">
        <v>44166.333333333336</v>
      </c>
      <c r="E1450" s="39" t="s">
        <v>1048</v>
      </c>
      <c r="F1450" s="39" t="s">
        <v>1049</v>
      </c>
      <c r="G1450" s="39" t="s">
        <v>1050</v>
      </c>
      <c r="H1450" s="39">
        <v>1220.0</v>
      </c>
      <c r="N1450" s="39" t="s">
        <v>1051</v>
      </c>
      <c r="R1450" s="39" t="s">
        <v>832</v>
      </c>
      <c r="S1450" s="39" t="s">
        <v>889</v>
      </c>
      <c r="T1450" s="39" t="s">
        <v>1053</v>
      </c>
      <c r="U1450" s="39" t="s">
        <v>1051</v>
      </c>
      <c r="X1450" s="39" t="s">
        <v>2064</v>
      </c>
      <c r="Y1450" s="39" t="s">
        <v>1824</v>
      </c>
      <c r="Z1450" s="39" t="s">
        <v>872</v>
      </c>
      <c r="AB1450" s="39">
        <v>7.0</v>
      </c>
    </row>
    <row r="1451">
      <c r="A1451" s="39" t="s">
        <v>2065</v>
      </c>
      <c r="B1451" s="39" t="s">
        <v>2066</v>
      </c>
      <c r="C1451" s="39">
        <v>0.25</v>
      </c>
      <c r="D1451" s="41">
        <v>44166.416666666664</v>
      </c>
      <c r="E1451" s="39" t="s">
        <v>872</v>
      </c>
      <c r="F1451" s="39" t="s">
        <v>724</v>
      </c>
      <c r="G1451" s="39" t="s">
        <v>830</v>
      </c>
      <c r="H1451" s="39">
        <v>1220.0</v>
      </c>
      <c r="N1451" s="39" t="s">
        <v>1051</v>
      </c>
      <c r="R1451" s="39" t="s">
        <v>957</v>
      </c>
      <c r="S1451" s="39" t="s">
        <v>1052</v>
      </c>
      <c r="T1451" s="39" t="s">
        <v>1053</v>
      </c>
      <c r="U1451" s="39" t="s">
        <v>1051</v>
      </c>
      <c r="X1451" s="39" t="s">
        <v>2067</v>
      </c>
      <c r="Y1451" s="39" t="s">
        <v>1596</v>
      </c>
      <c r="Z1451" s="39" t="s">
        <v>872</v>
      </c>
      <c r="AB1451" s="39">
        <v>0.25</v>
      </c>
    </row>
    <row r="1452">
      <c r="A1452" s="39" t="s">
        <v>1895</v>
      </c>
      <c r="B1452" s="39" t="s">
        <v>1896</v>
      </c>
      <c r="C1452" s="39">
        <v>1.0</v>
      </c>
      <c r="D1452" s="41">
        <v>44166.427083333336</v>
      </c>
      <c r="E1452" s="39" t="s">
        <v>872</v>
      </c>
      <c r="F1452" s="39" t="s">
        <v>724</v>
      </c>
      <c r="G1452" s="39" t="s">
        <v>830</v>
      </c>
      <c r="H1452" s="39">
        <v>1220.0</v>
      </c>
      <c r="N1452" s="39" t="s">
        <v>1051</v>
      </c>
      <c r="R1452" s="39" t="s">
        <v>832</v>
      </c>
      <c r="S1452" s="39" t="s">
        <v>889</v>
      </c>
      <c r="T1452" s="39" t="s">
        <v>1053</v>
      </c>
      <c r="U1452" s="39" t="s">
        <v>1051</v>
      </c>
      <c r="X1452" s="39" t="s">
        <v>1897</v>
      </c>
      <c r="Y1452" s="39" t="s">
        <v>1131</v>
      </c>
      <c r="Z1452" s="39" t="s">
        <v>872</v>
      </c>
      <c r="AB1452" s="39">
        <v>1.0</v>
      </c>
    </row>
    <row r="1453">
      <c r="A1453" s="39" t="s">
        <v>1380</v>
      </c>
      <c r="B1453" s="39" t="s">
        <v>1381</v>
      </c>
      <c r="C1453" s="39">
        <v>0.5</v>
      </c>
      <c r="D1453" s="41">
        <v>44166.520833333336</v>
      </c>
      <c r="E1453" s="39" t="s">
        <v>872</v>
      </c>
      <c r="F1453" s="39" t="s">
        <v>724</v>
      </c>
      <c r="G1453" s="39" t="s">
        <v>830</v>
      </c>
      <c r="H1453" s="39">
        <v>1220.0</v>
      </c>
      <c r="N1453" s="39" t="s">
        <v>1051</v>
      </c>
      <c r="R1453" s="39" t="s">
        <v>832</v>
      </c>
      <c r="S1453" s="39" t="s">
        <v>889</v>
      </c>
      <c r="T1453" s="39" t="s">
        <v>1053</v>
      </c>
      <c r="U1453" s="39" t="s">
        <v>1051</v>
      </c>
      <c r="X1453" s="39" t="s">
        <v>1853</v>
      </c>
      <c r="Y1453" s="39" t="s">
        <v>1131</v>
      </c>
      <c r="Z1453" s="39" t="s">
        <v>872</v>
      </c>
      <c r="AB1453" s="39">
        <v>0.5</v>
      </c>
    </row>
    <row r="1454">
      <c r="A1454" s="39" t="s">
        <v>2068</v>
      </c>
      <c r="B1454" s="39" t="s">
        <v>2069</v>
      </c>
      <c r="C1454" s="39">
        <v>0.5</v>
      </c>
      <c r="D1454" s="41">
        <v>44166.541666666664</v>
      </c>
      <c r="E1454" s="39" t="s">
        <v>872</v>
      </c>
      <c r="F1454" s="39" t="s">
        <v>724</v>
      </c>
      <c r="G1454" s="39" t="s">
        <v>830</v>
      </c>
      <c r="H1454" s="39">
        <v>1220.0</v>
      </c>
      <c r="N1454" s="39" t="s">
        <v>1051</v>
      </c>
      <c r="R1454" s="39" t="s">
        <v>832</v>
      </c>
      <c r="S1454" s="39" t="s">
        <v>842</v>
      </c>
      <c r="T1454" s="39" t="s">
        <v>1053</v>
      </c>
      <c r="U1454" s="39" t="s">
        <v>1051</v>
      </c>
      <c r="X1454" s="39" t="s">
        <v>2070</v>
      </c>
      <c r="Y1454" s="39" t="s">
        <v>1824</v>
      </c>
      <c r="Z1454" s="39" t="s">
        <v>872</v>
      </c>
      <c r="AB1454" s="39">
        <v>0.5</v>
      </c>
    </row>
    <row r="1455">
      <c r="A1455" s="39" t="s">
        <v>1997</v>
      </c>
      <c r="B1455" s="39" t="s">
        <v>1998</v>
      </c>
      <c r="C1455" s="39">
        <v>0.5</v>
      </c>
      <c r="D1455" s="41">
        <v>44166.604166666664</v>
      </c>
      <c r="E1455" s="39" t="s">
        <v>872</v>
      </c>
      <c r="F1455" s="39" t="s">
        <v>724</v>
      </c>
      <c r="G1455" s="39" t="s">
        <v>830</v>
      </c>
      <c r="H1455" s="39">
        <v>1220.0</v>
      </c>
      <c r="N1455" s="39" t="s">
        <v>1051</v>
      </c>
      <c r="R1455" s="39" t="s">
        <v>832</v>
      </c>
      <c r="S1455" s="39" t="s">
        <v>889</v>
      </c>
      <c r="T1455" s="39" t="s">
        <v>1053</v>
      </c>
      <c r="U1455" s="39" t="s">
        <v>1051</v>
      </c>
      <c r="X1455" s="39" t="s">
        <v>1999</v>
      </c>
      <c r="Y1455" s="39" t="s">
        <v>1824</v>
      </c>
      <c r="Z1455" s="39" t="s">
        <v>872</v>
      </c>
      <c r="AB1455" s="39">
        <v>0.5</v>
      </c>
    </row>
    <row r="1456">
      <c r="A1456" s="39" t="s">
        <v>2030</v>
      </c>
      <c r="B1456" s="39" t="s">
        <v>2031</v>
      </c>
      <c r="C1456" s="39">
        <v>0.5</v>
      </c>
      <c r="D1456" s="41">
        <v>44166.65625</v>
      </c>
      <c r="E1456" s="39" t="s">
        <v>872</v>
      </c>
      <c r="F1456" s="39" t="s">
        <v>724</v>
      </c>
      <c r="G1456" s="39" t="s">
        <v>830</v>
      </c>
      <c r="H1456" s="39">
        <v>1220.0</v>
      </c>
      <c r="N1456" s="39" t="s">
        <v>1051</v>
      </c>
      <c r="R1456" s="39" t="s">
        <v>832</v>
      </c>
      <c r="S1456" s="39" t="s">
        <v>889</v>
      </c>
      <c r="T1456" s="39" t="s">
        <v>1053</v>
      </c>
      <c r="U1456" s="39" t="s">
        <v>1051</v>
      </c>
      <c r="X1456" s="39" t="s">
        <v>2032</v>
      </c>
      <c r="Y1456" s="39" t="s">
        <v>1824</v>
      </c>
      <c r="Z1456" s="39" t="s">
        <v>872</v>
      </c>
      <c r="AB1456" s="39">
        <v>0.5</v>
      </c>
    </row>
    <row r="1457">
      <c r="A1457" s="39" t="s">
        <v>1945</v>
      </c>
      <c r="B1457" s="39" t="s">
        <v>1946</v>
      </c>
      <c r="C1457" s="39">
        <v>0.5</v>
      </c>
      <c r="D1457" s="41">
        <v>44166.677083333336</v>
      </c>
      <c r="E1457" s="39" t="s">
        <v>872</v>
      </c>
      <c r="F1457" s="39" t="s">
        <v>724</v>
      </c>
      <c r="G1457" s="39" t="s">
        <v>830</v>
      </c>
      <c r="H1457" s="39">
        <v>1220.0</v>
      </c>
      <c r="N1457" s="39" t="s">
        <v>1051</v>
      </c>
      <c r="R1457" s="39" t="s">
        <v>832</v>
      </c>
      <c r="S1457" s="39" t="s">
        <v>889</v>
      </c>
      <c r="T1457" s="39" t="s">
        <v>1053</v>
      </c>
      <c r="U1457" s="39" t="s">
        <v>1051</v>
      </c>
      <c r="X1457" s="39" t="s">
        <v>1948</v>
      </c>
      <c r="Y1457" s="39" t="s">
        <v>1824</v>
      </c>
      <c r="Z1457" s="39" t="s">
        <v>872</v>
      </c>
      <c r="AB1457" s="39">
        <v>0.5</v>
      </c>
    </row>
    <row r="1458">
      <c r="A1458" s="39" t="s">
        <v>1945</v>
      </c>
      <c r="B1458" s="39" t="s">
        <v>1946</v>
      </c>
      <c r="C1458" s="39">
        <v>4.0</v>
      </c>
      <c r="D1458" s="41">
        <v>44167.333333333336</v>
      </c>
      <c r="E1458" s="39" t="s">
        <v>1048</v>
      </c>
      <c r="F1458" s="39" t="s">
        <v>1049</v>
      </c>
      <c r="G1458" s="39" t="s">
        <v>1050</v>
      </c>
      <c r="H1458" s="39">
        <v>1220.0</v>
      </c>
      <c r="N1458" s="39" t="s">
        <v>1051</v>
      </c>
      <c r="R1458" s="39" t="s">
        <v>832</v>
      </c>
      <c r="S1458" s="39" t="s">
        <v>889</v>
      </c>
      <c r="T1458" s="39" t="s">
        <v>1053</v>
      </c>
      <c r="U1458" s="39" t="s">
        <v>1051</v>
      </c>
      <c r="X1458" s="39" t="s">
        <v>2071</v>
      </c>
      <c r="Y1458" s="39" t="s">
        <v>1824</v>
      </c>
      <c r="Z1458" s="39" t="s">
        <v>872</v>
      </c>
      <c r="AB1458" s="39">
        <v>4.0</v>
      </c>
    </row>
    <row r="1459">
      <c r="A1459" s="39" t="s">
        <v>2051</v>
      </c>
      <c r="B1459" s="39" t="s">
        <v>2052</v>
      </c>
      <c r="C1459" s="39">
        <v>6.0</v>
      </c>
      <c r="D1459" s="41">
        <v>44167.333333333336</v>
      </c>
      <c r="E1459" s="39" t="s">
        <v>1059</v>
      </c>
      <c r="F1459" s="39" t="s">
        <v>1060</v>
      </c>
      <c r="G1459" s="39" t="s">
        <v>1050</v>
      </c>
      <c r="H1459" s="39">
        <v>1220.0</v>
      </c>
      <c r="N1459" s="39" t="s">
        <v>1051</v>
      </c>
      <c r="R1459" s="39" t="s">
        <v>832</v>
      </c>
      <c r="S1459" s="39" t="s">
        <v>889</v>
      </c>
      <c r="T1459" s="39" t="s">
        <v>1053</v>
      </c>
      <c r="U1459" s="39" t="s">
        <v>1051</v>
      </c>
      <c r="X1459" s="39" t="s">
        <v>2072</v>
      </c>
      <c r="Y1459" s="39" t="s">
        <v>1386</v>
      </c>
      <c r="Z1459" s="39" t="s">
        <v>872</v>
      </c>
      <c r="AB1459" s="39">
        <v>6.0</v>
      </c>
    </row>
    <row r="1460">
      <c r="A1460" s="39" t="s">
        <v>2043</v>
      </c>
      <c r="B1460" s="39" t="s">
        <v>2044</v>
      </c>
      <c r="C1460" s="39">
        <v>0.25</v>
      </c>
      <c r="D1460" s="41">
        <v>44167.354166666664</v>
      </c>
      <c r="E1460" s="39" t="s">
        <v>872</v>
      </c>
      <c r="F1460" s="39" t="s">
        <v>724</v>
      </c>
      <c r="G1460" s="39" t="s">
        <v>830</v>
      </c>
      <c r="H1460" s="39">
        <v>1220.0</v>
      </c>
      <c r="N1460" s="39" t="s">
        <v>1051</v>
      </c>
      <c r="R1460" s="39" t="s">
        <v>832</v>
      </c>
      <c r="S1460" s="39" t="s">
        <v>1052</v>
      </c>
      <c r="T1460" s="39" t="s">
        <v>1053</v>
      </c>
      <c r="U1460" s="39" t="s">
        <v>1051</v>
      </c>
      <c r="X1460" s="39" t="s">
        <v>2047</v>
      </c>
      <c r="Y1460" s="39" t="s">
        <v>1131</v>
      </c>
      <c r="Z1460" s="39" t="s">
        <v>872</v>
      </c>
      <c r="AB1460" s="39">
        <v>0.25</v>
      </c>
    </row>
    <row r="1461">
      <c r="A1461" s="39" t="s">
        <v>1945</v>
      </c>
      <c r="B1461" s="39" t="s">
        <v>1946</v>
      </c>
      <c r="C1461" s="39">
        <v>0.5</v>
      </c>
      <c r="D1461" s="41">
        <v>44167.385416666664</v>
      </c>
      <c r="E1461" s="39" t="s">
        <v>872</v>
      </c>
      <c r="F1461" s="39" t="s">
        <v>724</v>
      </c>
      <c r="G1461" s="39" t="s">
        <v>830</v>
      </c>
      <c r="H1461" s="39">
        <v>1220.0</v>
      </c>
      <c r="N1461" s="39" t="s">
        <v>1051</v>
      </c>
      <c r="R1461" s="39" t="s">
        <v>832</v>
      </c>
      <c r="S1461" s="39" t="s">
        <v>889</v>
      </c>
      <c r="T1461" s="39" t="s">
        <v>1053</v>
      </c>
      <c r="U1461" s="39" t="s">
        <v>1051</v>
      </c>
      <c r="X1461" s="39" t="s">
        <v>1948</v>
      </c>
      <c r="Y1461" s="39" t="s">
        <v>1824</v>
      </c>
      <c r="Z1461" s="39" t="s">
        <v>872</v>
      </c>
      <c r="AB1461" s="39">
        <v>0.5</v>
      </c>
    </row>
    <row r="1462">
      <c r="A1462" s="39" t="s">
        <v>1997</v>
      </c>
      <c r="B1462" s="39" t="s">
        <v>1998</v>
      </c>
      <c r="C1462" s="39">
        <v>0.5</v>
      </c>
      <c r="D1462" s="41">
        <v>44167.40625</v>
      </c>
      <c r="E1462" s="39" t="s">
        <v>872</v>
      </c>
      <c r="F1462" s="39" t="s">
        <v>724</v>
      </c>
      <c r="G1462" s="39" t="s">
        <v>830</v>
      </c>
      <c r="H1462" s="39">
        <v>1220.0</v>
      </c>
      <c r="N1462" s="39" t="s">
        <v>1051</v>
      </c>
      <c r="R1462" s="39" t="s">
        <v>832</v>
      </c>
      <c r="S1462" s="39" t="s">
        <v>889</v>
      </c>
      <c r="T1462" s="39" t="s">
        <v>1053</v>
      </c>
      <c r="U1462" s="39" t="s">
        <v>1051</v>
      </c>
      <c r="X1462" s="39" t="s">
        <v>1999</v>
      </c>
      <c r="Y1462" s="39" t="s">
        <v>1824</v>
      </c>
      <c r="Z1462" s="39" t="s">
        <v>872</v>
      </c>
      <c r="AB1462" s="39">
        <v>0.5</v>
      </c>
    </row>
    <row r="1463">
      <c r="A1463" s="39" t="s">
        <v>2073</v>
      </c>
      <c r="B1463" s="39" t="s">
        <v>2074</v>
      </c>
      <c r="C1463" s="39">
        <v>0.5</v>
      </c>
      <c r="D1463" s="41">
        <v>44167.427083333336</v>
      </c>
      <c r="E1463" s="39" t="s">
        <v>872</v>
      </c>
      <c r="F1463" s="39" t="s">
        <v>724</v>
      </c>
      <c r="G1463" s="39" t="s">
        <v>830</v>
      </c>
      <c r="H1463" s="39">
        <v>1220.0</v>
      </c>
      <c r="N1463" s="39" t="s">
        <v>1051</v>
      </c>
      <c r="R1463" s="39" t="s">
        <v>957</v>
      </c>
      <c r="S1463" s="39" t="s">
        <v>889</v>
      </c>
      <c r="T1463" s="39" t="s">
        <v>1053</v>
      </c>
      <c r="U1463" s="39" t="s">
        <v>1051</v>
      </c>
      <c r="X1463" s="39" t="s">
        <v>2075</v>
      </c>
      <c r="Y1463" s="39" t="s">
        <v>2051</v>
      </c>
      <c r="Z1463" s="39" t="s">
        <v>872</v>
      </c>
      <c r="AB1463" s="39">
        <v>0.5</v>
      </c>
    </row>
    <row r="1464">
      <c r="A1464" s="39" t="s">
        <v>2065</v>
      </c>
      <c r="B1464" s="39" t="s">
        <v>2066</v>
      </c>
      <c r="C1464" s="39">
        <v>0.25</v>
      </c>
      <c r="D1464" s="41">
        <v>44167.458333333336</v>
      </c>
      <c r="E1464" s="39" t="s">
        <v>872</v>
      </c>
      <c r="F1464" s="39" t="s">
        <v>724</v>
      </c>
      <c r="G1464" s="39" t="s">
        <v>830</v>
      </c>
      <c r="H1464" s="39">
        <v>1220.0</v>
      </c>
      <c r="N1464" s="39" t="s">
        <v>1051</v>
      </c>
      <c r="R1464" s="39" t="s">
        <v>957</v>
      </c>
      <c r="S1464" s="39" t="s">
        <v>1052</v>
      </c>
      <c r="T1464" s="39" t="s">
        <v>1053</v>
      </c>
      <c r="U1464" s="39" t="s">
        <v>1051</v>
      </c>
      <c r="X1464" s="39" t="s">
        <v>2067</v>
      </c>
      <c r="Y1464" s="39" t="s">
        <v>1596</v>
      </c>
      <c r="Z1464" s="39" t="s">
        <v>872</v>
      </c>
      <c r="AB1464" s="39">
        <v>0.25</v>
      </c>
    </row>
    <row r="1465">
      <c r="A1465" s="39" t="s">
        <v>2059</v>
      </c>
      <c r="B1465" s="39" t="s">
        <v>2060</v>
      </c>
      <c r="C1465" s="39">
        <v>0.5</v>
      </c>
      <c r="D1465" s="41">
        <v>44167.46875</v>
      </c>
      <c r="E1465" s="39" t="s">
        <v>872</v>
      </c>
      <c r="F1465" s="39" t="s">
        <v>724</v>
      </c>
      <c r="G1465" s="39" t="s">
        <v>830</v>
      </c>
      <c r="H1465" s="39">
        <v>1220.0</v>
      </c>
      <c r="N1465" s="39" t="s">
        <v>1051</v>
      </c>
      <c r="R1465" s="39" t="s">
        <v>957</v>
      </c>
      <c r="S1465" s="39" t="s">
        <v>889</v>
      </c>
      <c r="T1465" s="39" t="s">
        <v>1053</v>
      </c>
      <c r="U1465" s="39" t="s">
        <v>1051</v>
      </c>
      <c r="X1465" s="39" t="s">
        <v>2076</v>
      </c>
      <c r="Y1465" s="39" t="s">
        <v>2051</v>
      </c>
      <c r="Z1465" s="39" t="s">
        <v>872</v>
      </c>
      <c r="AB1465" s="39">
        <v>0.5</v>
      </c>
    </row>
    <row r="1466">
      <c r="A1466" s="39" t="s">
        <v>1997</v>
      </c>
      <c r="B1466" s="39" t="s">
        <v>1998</v>
      </c>
      <c r="C1466" s="39">
        <v>1.0</v>
      </c>
      <c r="D1466" s="41">
        <v>44167.5</v>
      </c>
      <c r="E1466" s="39" t="s">
        <v>1048</v>
      </c>
      <c r="F1466" s="39" t="s">
        <v>1049</v>
      </c>
      <c r="G1466" s="39" t="s">
        <v>1050</v>
      </c>
      <c r="H1466" s="39">
        <v>1220.0</v>
      </c>
      <c r="N1466" s="39" t="s">
        <v>1051</v>
      </c>
      <c r="R1466" s="39" t="s">
        <v>832</v>
      </c>
      <c r="S1466" s="39" t="s">
        <v>889</v>
      </c>
      <c r="T1466" s="39" t="s">
        <v>1053</v>
      </c>
      <c r="U1466" s="39" t="s">
        <v>1051</v>
      </c>
      <c r="X1466" s="39" t="s">
        <v>2077</v>
      </c>
      <c r="Y1466" s="39" t="s">
        <v>1824</v>
      </c>
      <c r="Z1466" s="39" t="s">
        <v>872</v>
      </c>
      <c r="AB1466" s="39">
        <v>1.0</v>
      </c>
    </row>
    <row r="1467">
      <c r="A1467" s="39" t="s">
        <v>1380</v>
      </c>
      <c r="B1467" s="39" t="s">
        <v>1381</v>
      </c>
      <c r="C1467" s="39">
        <v>0.25</v>
      </c>
      <c r="D1467" s="41">
        <v>44167.510416666664</v>
      </c>
      <c r="E1467" s="39" t="s">
        <v>872</v>
      </c>
      <c r="F1467" s="39" t="s">
        <v>724</v>
      </c>
      <c r="G1467" s="39" t="s">
        <v>830</v>
      </c>
      <c r="H1467" s="39">
        <v>1220.0</v>
      </c>
      <c r="N1467" s="39" t="s">
        <v>1051</v>
      </c>
      <c r="R1467" s="39" t="s">
        <v>832</v>
      </c>
      <c r="S1467" s="39" t="s">
        <v>889</v>
      </c>
      <c r="T1467" s="39" t="s">
        <v>1053</v>
      </c>
      <c r="U1467" s="39" t="s">
        <v>1051</v>
      </c>
      <c r="X1467" s="39" t="s">
        <v>1853</v>
      </c>
      <c r="Y1467" s="39" t="s">
        <v>1131</v>
      </c>
      <c r="Z1467" s="39" t="s">
        <v>872</v>
      </c>
      <c r="AB1467" s="39">
        <v>0.25</v>
      </c>
    </row>
    <row r="1468">
      <c r="A1468" s="39" t="s">
        <v>2030</v>
      </c>
      <c r="B1468" s="39" t="s">
        <v>2031</v>
      </c>
      <c r="C1468" s="39">
        <v>2.0</v>
      </c>
      <c r="D1468" s="41">
        <v>44167.541666666664</v>
      </c>
      <c r="E1468" s="39" t="s">
        <v>1048</v>
      </c>
      <c r="F1468" s="39" t="s">
        <v>1049</v>
      </c>
      <c r="G1468" s="39" t="s">
        <v>1050</v>
      </c>
      <c r="H1468" s="39">
        <v>1220.0</v>
      </c>
      <c r="N1468" s="39" t="s">
        <v>1051</v>
      </c>
      <c r="R1468" s="39" t="s">
        <v>832</v>
      </c>
      <c r="S1468" s="39" t="s">
        <v>889</v>
      </c>
      <c r="T1468" s="39" t="s">
        <v>1053</v>
      </c>
      <c r="U1468" s="39" t="s">
        <v>1051</v>
      </c>
      <c r="X1468" s="39" t="s">
        <v>2078</v>
      </c>
      <c r="Y1468" s="39" t="s">
        <v>1824</v>
      </c>
      <c r="Z1468" s="39" t="s">
        <v>872</v>
      </c>
      <c r="AB1468" s="39">
        <v>2.0</v>
      </c>
    </row>
    <row r="1469">
      <c r="A1469" s="39" t="s">
        <v>1363</v>
      </c>
      <c r="B1469" s="39" t="s">
        <v>1993</v>
      </c>
      <c r="C1469" s="39">
        <v>1.5</v>
      </c>
      <c r="D1469" s="41">
        <v>44167.697916666664</v>
      </c>
      <c r="E1469" s="39" t="s">
        <v>872</v>
      </c>
      <c r="F1469" s="39" t="s">
        <v>724</v>
      </c>
      <c r="G1469" s="39" t="s">
        <v>830</v>
      </c>
      <c r="H1469" s="39">
        <v>1220.0</v>
      </c>
      <c r="N1469" s="39" t="s">
        <v>1051</v>
      </c>
      <c r="R1469" s="39" t="s">
        <v>832</v>
      </c>
      <c r="S1469" s="39" t="s">
        <v>889</v>
      </c>
      <c r="T1469" s="39" t="s">
        <v>1053</v>
      </c>
      <c r="U1469" s="39" t="s">
        <v>1051</v>
      </c>
      <c r="X1469" s="39" t="s">
        <v>1994</v>
      </c>
      <c r="Y1469" s="39" t="s">
        <v>1131</v>
      </c>
      <c r="Z1469" s="39" t="s">
        <v>872</v>
      </c>
      <c r="AB1469" s="39">
        <v>1.5</v>
      </c>
      <c r="AD1469" s="39">
        <v>0.0</v>
      </c>
    </row>
    <row r="1470">
      <c r="A1470" s="39" t="s">
        <v>1945</v>
      </c>
      <c r="B1470" s="39" t="s">
        <v>1946</v>
      </c>
      <c r="C1470" s="39">
        <v>7.0</v>
      </c>
      <c r="D1470" s="41">
        <v>44168.333333333336</v>
      </c>
      <c r="E1470" s="39" t="s">
        <v>1048</v>
      </c>
      <c r="F1470" s="39" t="s">
        <v>1049</v>
      </c>
      <c r="G1470" s="39" t="s">
        <v>1050</v>
      </c>
      <c r="H1470" s="39">
        <v>1220.0</v>
      </c>
      <c r="N1470" s="39" t="s">
        <v>1051</v>
      </c>
      <c r="R1470" s="39" t="s">
        <v>832</v>
      </c>
      <c r="S1470" s="39" t="s">
        <v>889</v>
      </c>
      <c r="T1470" s="39" t="s">
        <v>1053</v>
      </c>
      <c r="U1470" s="39" t="s">
        <v>1051</v>
      </c>
      <c r="X1470" s="39" t="s">
        <v>2079</v>
      </c>
      <c r="Y1470" s="39" t="s">
        <v>1824</v>
      </c>
      <c r="Z1470" s="39" t="s">
        <v>872</v>
      </c>
      <c r="AB1470" s="39">
        <v>7.0</v>
      </c>
    </row>
    <row r="1471">
      <c r="A1471" s="39" t="s">
        <v>2080</v>
      </c>
      <c r="B1471" s="39" t="s">
        <v>2081</v>
      </c>
      <c r="C1471" s="39">
        <v>7.0</v>
      </c>
      <c r="D1471" s="41">
        <v>44168.333333333336</v>
      </c>
      <c r="E1471" s="39" t="s">
        <v>1059</v>
      </c>
      <c r="F1471" s="39" t="s">
        <v>1060</v>
      </c>
      <c r="G1471" s="39" t="s">
        <v>1050</v>
      </c>
      <c r="H1471" s="39">
        <v>1220.0</v>
      </c>
      <c r="N1471" s="39" t="s">
        <v>1051</v>
      </c>
      <c r="R1471" s="39" t="s">
        <v>957</v>
      </c>
      <c r="S1471" s="39" t="s">
        <v>1052</v>
      </c>
      <c r="T1471" s="39" t="s">
        <v>1053</v>
      </c>
      <c r="U1471" s="39" t="s">
        <v>1051</v>
      </c>
      <c r="X1471" s="39" t="s">
        <v>2082</v>
      </c>
      <c r="Y1471" s="39" t="s">
        <v>1380</v>
      </c>
      <c r="Z1471" s="39" t="s">
        <v>872</v>
      </c>
      <c r="AB1471" s="39">
        <v>7.0</v>
      </c>
    </row>
    <row r="1472">
      <c r="A1472" s="39" t="s">
        <v>1363</v>
      </c>
      <c r="B1472" s="39" t="s">
        <v>1993</v>
      </c>
      <c r="C1472" s="39">
        <v>0.5</v>
      </c>
      <c r="D1472" s="41">
        <v>44168.416666666664</v>
      </c>
      <c r="E1472" s="39" t="s">
        <v>872</v>
      </c>
      <c r="F1472" s="39" t="s">
        <v>724</v>
      </c>
      <c r="G1472" s="39" t="s">
        <v>830</v>
      </c>
      <c r="H1472" s="39">
        <v>1220.0</v>
      </c>
      <c r="N1472" s="39" t="s">
        <v>1051</v>
      </c>
      <c r="R1472" s="39" t="s">
        <v>832</v>
      </c>
      <c r="S1472" s="39" t="s">
        <v>889</v>
      </c>
      <c r="T1472" s="39" t="s">
        <v>1053</v>
      </c>
      <c r="U1472" s="39" t="s">
        <v>1051</v>
      </c>
      <c r="X1472" s="39" t="s">
        <v>1994</v>
      </c>
      <c r="Y1472" s="39" t="s">
        <v>1131</v>
      </c>
      <c r="Z1472" s="39" t="s">
        <v>872</v>
      </c>
      <c r="AB1472" s="39">
        <v>0.5</v>
      </c>
      <c r="AD1472" s="39">
        <v>0.0</v>
      </c>
    </row>
    <row r="1473">
      <c r="A1473" s="39" t="s">
        <v>2083</v>
      </c>
      <c r="B1473" s="39" t="s">
        <v>2084</v>
      </c>
      <c r="C1473" s="39">
        <v>0.5</v>
      </c>
      <c r="D1473" s="41">
        <v>44168.4375</v>
      </c>
      <c r="E1473" s="39" t="s">
        <v>872</v>
      </c>
      <c r="F1473" s="39" t="s">
        <v>724</v>
      </c>
      <c r="G1473" s="39" t="s">
        <v>830</v>
      </c>
      <c r="H1473" s="39">
        <v>1220.0</v>
      </c>
      <c r="N1473" s="39" t="s">
        <v>1051</v>
      </c>
      <c r="R1473" s="39" t="s">
        <v>957</v>
      </c>
      <c r="S1473" s="39" t="s">
        <v>889</v>
      </c>
      <c r="T1473" s="39" t="s">
        <v>1053</v>
      </c>
      <c r="U1473" s="39" t="s">
        <v>1051</v>
      </c>
      <c r="X1473" s="39" t="s">
        <v>2085</v>
      </c>
      <c r="Y1473" s="39" t="s">
        <v>2086</v>
      </c>
      <c r="Z1473" s="39" t="s">
        <v>872</v>
      </c>
      <c r="AB1473" s="39">
        <v>0.5</v>
      </c>
    </row>
    <row r="1474">
      <c r="A1474" s="39" t="s">
        <v>1945</v>
      </c>
      <c r="B1474" s="39" t="s">
        <v>1946</v>
      </c>
      <c r="C1474" s="39">
        <v>0.25</v>
      </c>
      <c r="D1474" s="41">
        <v>44168.458333333336</v>
      </c>
      <c r="E1474" s="39" t="s">
        <v>872</v>
      </c>
      <c r="F1474" s="39" t="s">
        <v>724</v>
      </c>
      <c r="G1474" s="39" t="s">
        <v>830</v>
      </c>
      <c r="H1474" s="39">
        <v>1220.0</v>
      </c>
      <c r="N1474" s="39" t="s">
        <v>1051</v>
      </c>
      <c r="R1474" s="39" t="s">
        <v>832</v>
      </c>
      <c r="S1474" s="39" t="s">
        <v>889</v>
      </c>
      <c r="T1474" s="39" t="s">
        <v>1053</v>
      </c>
      <c r="U1474" s="39" t="s">
        <v>1051</v>
      </c>
      <c r="X1474" s="39" t="s">
        <v>1948</v>
      </c>
      <c r="Y1474" s="39" t="s">
        <v>1824</v>
      </c>
      <c r="Z1474" s="39" t="s">
        <v>872</v>
      </c>
      <c r="AB1474" s="39">
        <v>0.25</v>
      </c>
    </row>
    <row r="1475">
      <c r="A1475" s="39" t="s">
        <v>1360</v>
      </c>
      <c r="B1475" s="39" t="s">
        <v>1361</v>
      </c>
      <c r="C1475" s="39">
        <v>0.5</v>
      </c>
      <c r="D1475" s="41">
        <v>44168.541666666664</v>
      </c>
      <c r="E1475" s="39" t="s">
        <v>872</v>
      </c>
      <c r="F1475" s="39" t="s">
        <v>724</v>
      </c>
      <c r="G1475" s="39" t="s">
        <v>830</v>
      </c>
      <c r="H1475" s="39">
        <v>1220.0</v>
      </c>
      <c r="N1475" s="39" t="s">
        <v>1051</v>
      </c>
      <c r="R1475" s="39" t="s">
        <v>957</v>
      </c>
      <c r="S1475" s="39" t="s">
        <v>889</v>
      </c>
      <c r="T1475" s="39" t="s">
        <v>1053</v>
      </c>
      <c r="U1475" s="39" t="s">
        <v>1051</v>
      </c>
      <c r="X1475" s="39" t="s">
        <v>1957</v>
      </c>
      <c r="Y1475" s="39" t="s">
        <v>1363</v>
      </c>
      <c r="Z1475" s="39" t="s">
        <v>872</v>
      </c>
      <c r="AB1475" s="39">
        <v>0.5</v>
      </c>
    </row>
    <row r="1476">
      <c r="A1476" s="39" t="s">
        <v>1363</v>
      </c>
      <c r="B1476" s="39" t="s">
        <v>1993</v>
      </c>
      <c r="C1476" s="39">
        <v>0.5</v>
      </c>
      <c r="D1476" s="41">
        <v>44168.5625</v>
      </c>
      <c r="E1476" s="39" t="s">
        <v>872</v>
      </c>
      <c r="F1476" s="39" t="s">
        <v>724</v>
      </c>
      <c r="G1476" s="39" t="s">
        <v>830</v>
      </c>
      <c r="H1476" s="39">
        <v>1220.0</v>
      </c>
      <c r="N1476" s="39" t="s">
        <v>1051</v>
      </c>
      <c r="R1476" s="39" t="s">
        <v>832</v>
      </c>
      <c r="S1476" s="39" t="s">
        <v>889</v>
      </c>
      <c r="T1476" s="39" t="s">
        <v>1053</v>
      </c>
      <c r="U1476" s="39" t="s">
        <v>1051</v>
      </c>
      <c r="X1476" s="39" t="s">
        <v>1994</v>
      </c>
      <c r="Y1476" s="39" t="s">
        <v>1131</v>
      </c>
      <c r="Z1476" s="39" t="s">
        <v>872</v>
      </c>
      <c r="AB1476" s="39">
        <v>0.5</v>
      </c>
      <c r="AD1476" s="39">
        <v>0.0</v>
      </c>
    </row>
    <row r="1477">
      <c r="A1477" s="39" t="s">
        <v>1997</v>
      </c>
      <c r="B1477" s="39" t="s">
        <v>1998</v>
      </c>
      <c r="C1477" s="39">
        <v>0.25</v>
      </c>
      <c r="D1477" s="41">
        <v>44168.614583333336</v>
      </c>
      <c r="E1477" s="39" t="s">
        <v>872</v>
      </c>
      <c r="F1477" s="39" t="s">
        <v>724</v>
      </c>
      <c r="G1477" s="39" t="s">
        <v>830</v>
      </c>
      <c r="H1477" s="39">
        <v>1220.0</v>
      </c>
      <c r="N1477" s="39" t="s">
        <v>1051</v>
      </c>
      <c r="R1477" s="39" t="s">
        <v>832</v>
      </c>
      <c r="S1477" s="39" t="s">
        <v>889</v>
      </c>
      <c r="T1477" s="39" t="s">
        <v>1053</v>
      </c>
      <c r="U1477" s="39" t="s">
        <v>1051</v>
      </c>
      <c r="X1477" s="39" t="s">
        <v>1999</v>
      </c>
      <c r="Y1477" s="39" t="s">
        <v>1824</v>
      </c>
      <c r="Z1477" s="39" t="s">
        <v>872</v>
      </c>
      <c r="AB1477" s="39">
        <v>0.25</v>
      </c>
    </row>
    <row r="1478">
      <c r="A1478" s="39" t="s">
        <v>1945</v>
      </c>
      <c r="B1478" s="39" t="s">
        <v>1946</v>
      </c>
      <c r="C1478" s="39">
        <v>7.0</v>
      </c>
      <c r="D1478" s="41">
        <v>44169.333333333336</v>
      </c>
      <c r="E1478" s="39" t="s">
        <v>1048</v>
      </c>
      <c r="F1478" s="39" t="s">
        <v>1049</v>
      </c>
      <c r="G1478" s="39" t="s">
        <v>1050</v>
      </c>
      <c r="H1478" s="39">
        <v>1220.0</v>
      </c>
      <c r="N1478" s="39" t="s">
        <v>1051</v>
      </c>
      <c r="R1478" s="39" t="s">
        <v>832</v>
      </c>
      <c r="S1478" s="39" t="s">
        <v>889</v>
      </c>
      <c r="T1478" s="39" t="s">
        <v>1053</v>
      </c>
      <c r="U1478" s="39" t="s">
        <v>1051</v>
      </c>
      <c r="X1478" s="39" t="s">
        <v>2087</v>
      </c>
      <c r="Y1478" s="39" t="s">
        <v>1824</v>
      </c>
      <c r="Z1478" s="39" t="s">
        <v>872</v>
      </c>
      <c r="AB1478" s="39">
        <v>7.0</v>
      </c>
    </row>
    <row r="1479">
      <c r="A1479" s="39" t="s">
        <v>2059</v>
      </c>
      <c r="B1479" s="39" t="s">
        <v>2060</v>
      </c>
      <c r="C1479" s="39">
        <v>7.0</v>
      </c>
      <c r="D1479" s="41">
        <v>44169.333333333336</v>
      </c>
      <c r="E1479" s="39" t="s">
        <v>1059</v>
      </c>
      <c r="F1479" s="39" t="s">
        <v>1060</v>
      </c>
      <c r="G1479" s="39" t="s">
        <v>1050</v>
      </c>
      <c r="H1479" s="39">
        <v>1220.0</v>
      </c>
      <c r="N1479" s="39" t="s">
        <v>1051</v>
      </c>
      <c r="R1479" s="39" t="s">
        <v>957</v>
      </c>
      <c r="S1479" s="39" t="s">
        <v>889</v>
      </c>
      <c r="T1479" s="39" t="s">
        <v>1053</v>
      </c>
      <c r="U1479" s="39" t="s">
        <v>1051</v>
      </c>
      <c r="X1479" s="39" t="s">
        <v>2088</v>
      </c>
      <c r="Y1479" s="39" t="s">
        <v>2051</v>
      </c>
      <c r="Z1479" s="39" t="s">
        <v>872</v>
      </c>
      <c r="AB1479" s="39">
        <v>7.0</v>
      </c>
    </row>
    <row r="1480">
      <c r="A1480" s="39" t="s">
        <v>2073</v>
      </c>
      <c r="B1480" s="39" t="s">
        <v>2074</v>
      </c>
      <c r="C1480" s="39">
        <v>0.5</v>
      </c>
      <c r="D1480" s="41">
        <v>44169.427083333336</v>
      </c>
      <c r="E1480" s="39" t="s">
        <v>872</v>
      </c>
      <c r="F1480" s="39" t="s">
        <v>724</v>
      </c>
      <c r="G1480" s="39" t="s">
        <v>830</v>
      </c>
      <c r="H1480" s="39">
        <v>1220.0</v>
      </c>
      <c r="N1480" s="39" t="s">
        <v>1051</v>
      </c>
      <c r="R1480" s="39" t="s">
        <v>957</v>
      </c>
      <c r="S1480" s="39" t="s">
        <v>889</v>
      </c>
      <c r="T1480" s="39" t="s">
        <v>1053</v>
      </c>
      <c r="U1480" s="39" t="s">
        <v>1051</v>
      </c>
      <c r="X1480" s="39" t="s">
        <v>2075</v>
      </c>
      <c r="Y1480" s="39" t="s">
        <v>2051</v>
      </c>
      <c r="Z1480" s="39" t="s">
        <v>872</v>
      </c>
      <c r="AB1480" s="39">
        <v>0.5</v>
      </c>
    </row>
    <row r="1481">
      <c r="A1481" s="39" t="s">
        <v>1360</v>
      </c>
      <c r="B1481" s="39" t="s">
        <v>1361</v>
      </c>
      <c r="C1481" s="39">
        <v>0.25</v>
      </c>
      <c r="D1481" s="41">
        <v>44169.447916666664</v>
      </c>
      <c r="E1481" s="39" t="s">
        <v>872</v>
      </c>
      <c r="F1481" s="39" t="s">
        <v>724</v>
      </c>
      <c r="G1481" s="39" t="s">
        <v>830</v>
      </c>
      <c r="H1481" s="39">
        <v>1220.0</v>
      </c>
      <c r="N1481" s="39" t="s">
        <v>1051</v>
      </c>
      <c r="R1481" s="39" t="s">
        <v>957</v>
      </c>
      <c r="S1481" s="39" t="s">
        <v>889</v>
      </c>
      <c r="T1481" s="39" t="s">
        <v>1053</v>
      </c>
      <c r="U1481" s="39" t="s">
        <v>1051</v>
      </c>
      <c r="X1481" s="39" t="s">
        <v>1957</v>
      </c>
      <c r="Y1481" s="39" t="s">
        <v>1363</v>
      </c>
      <c r="Z1481" s="39" t="s">
        <v>872</v>
      </c>
      <c r="AB1481" s="39">
        <v>0.25</v>
      </c>
    </row>
    <row r="1482">
      <c r="A1482" s="39" t="s">
        <v>1945</v>
      </c>
      <c r="B1482" s="39" t="s">
        <v>1946</v>
      </c>
      <c r="C1482" s="39">
        <v>0.5</v>
      </c>
      <c r="D1482" s="41">
        <v>44169.458333333336</v>
      </c>
      <c r="E1482" s="39" t="s">
        <v>872</v>
      </c>
      <c r="F1482" s="39" t="s">
        <v>724</v>
      </c>
      <c r="G1482" s="39" t="s">
        <v>830</v>
      </c>
      <c r="H1482" s="39">
        <v>1220.0</v>
      </c>
      <c r="N1482" s="39" t="s">
        <v>1051</v>
      </c>
      <c r="R1482" s="39" t="s">
        <v>832</v>
      </c>
      <c r="S1482" s="39" t="s">
        <v>889</v>
      </c>
      <c r="T1482" s="39" t="s">
        <v>1053</v>
      </c>
      <c r="U1482" s="39" t="s">
        <v>1051</v>
      </c>
      <c r="X1482" s="39" t="s">
        <v>1948</v>
      </c>
      <c r="Y1482" s="39" t="s">
        <v>1824</v>
      </c>
      <c r="Z1482" s="39" t="s">
        <v>872</v>
      </c>
      <c r="AB1482" s="39">
        <v>0.5</v>
      </c>
    </row>
    <row r="1483">
      <c r="A1483" s="39" t="s">
        <v>1997</v>
      </c>
      <c r="B1483" s="39" t="s">
        <v>1998</v>
      </c>
      <c r="C1483" s="39">
        <v>0.5</v>
      </c>
      <c r="D1483" s="41">
        <v>44169.479166666664</v>
      </c>
      <c r="E1483" s="39" t="s">
        <v>872</v>
      </c>
      <c r="F1483" s="39" t="s">
        <v>724</v>
      </c>
      <c r="G1483" s="39" t="s">
        <v>830</v>
      </c>
      <c r="H1483" s="39">
        <v>1220.0</v>
      </c>
      <c r="N1483" s="39" t="s">
        <v>1051</v>
      </c>
      <c r="R1483" s="39" t="s">
        <v>832</v>
      </c>
      <c r="S1483" s="39" t="s">
        <v>889</v>
      </c>
      <c r="T1483" s="39" t="s">
        <v>1053</v>
      </c>
      <c r="U1483" s="39" t="s">
        <v>1051</v>
      </c>
      <c r="X1483" s="39" t="s">
        <v>1999</v>
      </c>
      <c r="Y1483" s="39" t="s">
        <v>1824</v>
      </c>
      <c r="Z1483" s="39" t="s">
        <v>872</v>
      </c>
      <c r="AB1483" s="39">
        <v>0.5</v>
      </c>
    </row>
    <row r="1484">
      <c r="A1484" s="39" t="s">
        <v>2051</v>
      </c>
      <c r="B1484" s="39" t="s">
        <v>2052</v>
      </c>
      <c r="C1484" s="39">
        <v>0.5</v>
      </c>
      <c r="D1484" s="41">
        <v>44169.5</v>
      </c>
      <c r="E1484" s="39" t="s">
        <v>872</v>
      </c>
      <c r="F1484" s="39" t="s">
        <v>724</v>
      </c>
      <c r="G1484" s="39" t="s">
        <v>830</v>
      </c>
      <c r="H1484" s="39">
        <v>1220.0</v>
      </c>
      <c r="N1484" s="39" t="s">
        <v>1051</v>
      </c>
      <c r="R1484" s="39" t="s">
        <v>832</v>
      </c>
      <c r="S1484" s="39" t="s">
        <v>889</v>
      </c>
      <c r="T1484" s="39" t="s">
        <v>1053</v>
      </c>
      <c r="U1484" s="39" t="s">
        <v>1051</v>
      </c>
      <c r="X1484" s="39" t="s">
        <v>2053</v>
      </c>
      <c r="Y1484" s="39" t="s">
        <v>1386</v>
      </c>
      <c r="Z1484" s="39" t="s">
        <v>872</v>
      </c>
      <c r="AB1484" s="39">
        <v>0.5</v>
      </c>
    </row>
    <row r="1485">
      <c r="A1485" s="39" t="s">
        <v>2089</v>
      </c>
      <c r="B1485" s="39" t="s">
        <v>2090</v>
      </c>
      <c r="C1485" s="39">
        <v>0.25</v>
      </c>
      <c r="D1485" s="41">
        <v>44170.354166666664</v>
      </c>
      <c r="E1485" s="39" t="s">
        <v>872</v>
      </c>
      <c r="F1485" s="39" t="s">
        <v>724</v>
      </c>
      <c r="G1485" s="39" t="s">
        <v>830</v>
      </c>
      <c r="H1485" s="39">
        <v>1220.0</v>
      </c>
      <c r="N1485" s="39" t="s">
        <v>1051</v>
      </c>
      <c r="R1485" s="39" t="s">
        <v>832</v>
      </c>
      <c r="S1485" s="39" t="s">
        <v>842</v>
      </c>
      <c r="T1485" s="39" t="s">
        <v>1053</v>
      </c>
      <c r="U1485" s="39" t="s">
        <v>1051</v>
      </c>
      <c r="X1485" s="39" t="s">
        <v>2091</v>
      </c>
      <c r="Y1485" s="39" t="s">
        <v>1671</v>
      </c>
      <c r="Z1485" s="39" t="s">
        <v>872</v>
      </c>
      <c r="AB1485" s="39">
        <v>0.25</v>
      </c>
    </row>
    <row r="1486">
      <c r="A1486" s="39" t="s">
        <v>1945</v>
      </c>
      <c r="B1486" s="39" t="s">
        <v>1946</v>
      </c>
      <c r="C1486" s="39">
        <v>0.25</v>
      </c>
      <c r="D1486" s="41">
        <v>44170.39236111111</v>
      </c>
      <c r="E1486" s="39" t="s">
        <v>872</v>
      </c>
      <c r="F1486" s="39" t="s">
        <v>724</v>
      </c>
      <c r="G1486" s="39" t="s">
        <v>830</v>
      </c>
      <c r="H1486" s="39">
        <v>1220.0</v>
      </c>
      <c r="N1486" s="39" t="s">
        <v>1051</v>
      </c>
      <c r="R1486" s="39" t="s">
        <v>832</v>
      </c>
      <c r="S1486" s="39" t="s">
        <v>889</v>
      </c>
      <c r="T1486" s="39" t="s">
        <v>1053</v>
      </c>
      <c r="U1486" s="39" t="s">
        <v>1051</v>
      </c>
      <c r="X1486" s="39" t="s">
        <v>1948</v>
      </c>
      <c r="Y1486" s="39" t="s">
        <v>1824</v>
      </c>
      <c r="Z1486" s="39" t="s">
        <v>872</v>
      </c>
      <c r="AB1486" s="39">
        <v>0.25</v>
      </c>
    </row>
    <row r="1487">
      <c r="A1487" s="39" t="s">
        <v>1363</v>
      </c>
      <c r="B1487" s="39" t="s">
        <v>1993</v>
      </c>
      <c r="C1487" s="39">
        <v>0.75</v>
      </c>
      <c r="D1487" s="41">
        <v>44170.416666666664</v>
      </c>
      <c r="E1487" s="39" t="s">
        <v>872</v>
      </c>
      <c r="F1487" s="39" t="s">
        <v>724</v>
      </c>
      <c r="G1487" s="39" t="s">
        <v>830</v>
      </c>
      <c r="H1487" s="39">
        <v>1220.0</v>
      </c>
      <c r="N1487" s="39" t="s">
        <v>1051</v>
      </c>
      <c r="R1487" s="39" t="s">
        <v>832</v>
      </c>
      <c r="S1487" s="39" t="s">
        <v>889</v>
      </c>
      <c r="T1487" s="39" t="s">
        <v>1053</v>
      </c>
      <c r="U1487" s="39" t="s">
        <v>1051</v>
      </c>
      <c r="X1487" s="39" t="s">
        <v>1994</v>
      </c>
      <c r="Y1487" s="39" t="s">
        <v>1131</v>
      </c>
      <c r="Z1487" s="39" t="s">
        <v>872</v>
      </c>
      <c r="AB1487" s="39">
        <v>0.75</v>
      </c>
      <c r="AD1487" s="39">
        <v>0.0</v>
      </c>
    </row>
    <row r="1488">
      <c r="A1488" s="39" t="s">
        <v>1945</v>
      </c>
      <c r="B1488" s="39" t="s">
        <v>1946</v>
      </c>
      <c r="C1488" s="39">
        <v>0.25</v>
      </c>
      <c r="D1488" s="41">
        <v>44171.354166666664</v>
      </c>
      <c r="E1488" s="39" t="s">
        <v>872</v>
      </c>
      <c r="F1488" s="39" t="s">
        <v>724</v>
      </c>
      <c r="G1488" s="39" t="s">
        <v>830</v>
      </c>
      <c r="H1488" s="39">
        <v>1220.0</v>
      </c>
      <c r="N1488" s="39" t="s">
        <v>1051</v>
      </c>
      <c r="R1488" s="39" t="s">
        <v>832</v>
      </c>
      <c r="S1488" s="39" t="s">
        <v>889</v>
      </c>
      <c r="T1488" s="39" t="s">
        <v>1053</v>
      </c>
      <c r="U1488" s="39" t="s">
        <v>1051</v>
      </c>
      <c r="X1488" s="39" t="s">
        <v>1948</v>
      </c>
      <c r="Y1488" s="39" t="s">
        <v>1824</v>
      </c>
      <c r="Z1488" s="39" t="s">
        <v>872</v>
      </c>
      <c r="AB1488" s="39">
        <v>0.25</v>
      </c>
    </row>
    <row r="1489">
      <c r="A1489" s="39" t="s">
        <v>2092</v>
      </c>
      <c r="B1489" s="39" t="s">
        <v>2093</v>
      </c>
      <c r="C1489" s="39">
        <v>0.75</v>
      </c>
      <c r="D1489" s="41">
        <v>44171.364583333336</v>
      </c>
      <c r="E1489" s="39" t="s">
        <v>872</v>
      </c>
      <c r="F1489" s="39" t="s">
        <v>724</v>
      </c>
      <c r="G1489" s="39" t="s">
        <v>830</v>
      </c>
      <c r="H1489" s="39">
        <v>1220.0</v>
      </c>
      <c r="N1489" s="39" t="s">
        <v>1051</v>
      </c>
      <c r="R1489" s="39" t="s">
        <v>832</v>
      </c>
      <c r="S1489" s="39" t="s">
        <v>1052</v>
      </c>
      <c r="T1489" s="39" t="s">
        <v>1053</v>
      </c>
      <c r="U1489" s="39" t="s">
        <v>1051</v>
      </c>
      <c r="X1489" s="39" t="s">
        <v>2094</v>
      </c>
      <c r="Y1489" s="39" t="s">
        <v>1131</v>
      </c>
      <c r="Z1489" s="39" t="s">
        <v>872</v>
      </c>
      <c r="AB1489" s="39">
        <v>0.75</v>
      </c>
    </row>
    <row r="1490">
      <c r="A1490" s="39" t="s">
        <v>1360</v>
      </c>
      <c r="B1490" s="39" t="s">
        <v>1361</v>
      </c>
      <c r="C1490" s="39">
        <v>0.25</v>
      </c>
      <c r="D1490" s="41">
        <v>44171.395833333336</v>
      </c>
      <c r="E1490" s="39" t="s">
        <v>872</v>
      </c>
      <c r="F1490" s="39" t="s">
        <v>724</v>
      </c>
      <c r="G1490" s="39" t="s">
        <v>830</v>
      </c>
      <c r="H1490" s="39">
        <v>1220.0</v>
      </c>
      <c r="N1490" s="39" t="s">
        <v>1051</v>
      </c>
      <c r="R1490" s="39" t="s">
        <v>957</v>
      </c>
      <c r="S1490" s="39" t="s">
        <v>889</v>
      </c>
      <c r="T1490" s="39" t="s">
        <v>1053</v>
      </c>
      <c r="U1490" s="39" t="s">
        <v>1051</v>
      </c>
      <c r="X1490" s="39" t="s">
        <v>1957</v>
      </c>
      <c r="Y1490" s="39" t="s">
        <v>1363</v>
      </c>
      <c r="Z1490" s="39" t="s">
        <v>872</v>
      </c>
      <c r="AB1490" s="39">
        <v>0.25</v>
      </c>
    </row>
    <row r="1491">
      <c r="A1491" s="39" t="s">
        <v>1945</v>
      </c>
      <c r="B1491" s="39" t="s">
        <v>1946</v>
      </c>
      <c r="C1491" s="39">
        <v>3.0</v>
      </c>
      <c r="D1491" s="41">
        <v>44172.333333333336</v>
      </c>
      <c r="E1491" s="39" t="s">
        <v>1048</v>
      </c>
      <c r="F1491" s="39" t="s">
        <v>1049</v>
      </c>
      <c r="G1491" s="39" t="s">
        <v>1050</v>
      </c>
      <c r="H1491" s="39">
        <v>1220.0</v>
      </c>
      <c r="N1491" s="39" t="s">
        <v>1051</v>
      </c>
      <c r="R1491" s="39" t="s">
        <v>832</v>
      </c>
      <c r="S1491" s="39" t="s">
        <v>889</v>
      </c>
      <c r="T1491" s="39" t="s">
        <v>1053</v>
      </c>
      <c r="U1491" s="39" t="s">
        <v>1051</v>
      </c>
      <c r="X1491" s="39" t="s">
        <v>2095</v>
      </c>
      <c r="Y1491" s="39" t="s">
        <v>1824</v>
      </c>
      <c r="Z1491" s="39" t="s">
        <v>872</v>
      </c>
      <c r="AB1491" s="39">
        <v>3.0</v>
      </c>
    </row>
    <row r="1492">
      <c r="A1492" s="39" t="s">
        <v>2096</v>
      </c>
      <c r="B1492" s="39" t="s">
        <v>2097</v>
      </c>
      <c r="C1492" s="39">
        <v>7.0</v>
      </c>
      <c r="D1492" s="41">
        <v>44172.333333333336</v>
      </c>
      <c r="E1492" s="39" t="s">
        <v>1059</v>
      </c>
      <c r="F1492" s="39" t="s">
        <v>1060</v>
      </c>
      <c r="G1492" s="39" t="s">
        <v>1050</v>
      </c>
      <c r="H1492" s="39">
        <v>1220.0</v>
      </c>
      <c r="N1492" s="39" t="s">
        <v>1051</v>
      </c>
      <c r="R1492" s="39" t="s">
        <v>957</v>
      </c>
      <c r="S1492" s="39" t="s">
        <v>1052</v>
      </c>
      <c r="T1492" s="39" t="s">
        <v>1053</v>
      </c>
      <c r="U1492" s="39" t="s">
        <v>1051</v>
      </c>
      <c r="X1492" s="39" t="s">
        <v>2098</v>
      </c>
      <c r="Y1492" s="39" t="s">
        <v>1363</v>
      </c>
      <c r="Z1492" s="39" t="s">
        <v>872</v>
      </c>
      <c r="AB1492" s="39">
        <v>7.0</v>
      </c>
    </row>
    <row r="1493">
      <c r="A1493" s="39" t="s">
        <v>2092</v>
      </c>
      <c r="B1493" s="39" t="s">
        <v>2093</v>
      </c>
      <c r="C1493" s="39">
        <v>0.25</v>
      </c>
      <c r="D1493" s="41">
        <v>44172.354166666664</v>
      </c>
      <c r="E1493" s="39" t="s">
        <v>872</v>
      </c>
      <c r="F1493" s="39" t="s">
        <v>724</v>
      </c>
      <c r="G1493" s="39" t="s">
        <v>830</v>
      </c>
      <c r="H1493" s="39">
        <v>1220.0</v>
      </c>
      <c r="N1493" s="39" t="s">
        <v>1051</v>
      </c>
      <c r="R1493" s="39" t="s">
        <v>832</v>
      </c>
      <c r="S1493" s="39" t="s">
        <v>1052</v>
      </c>
      <c r="T1493" s="39" t="s">
        <v>1053</v>
      </c>
      <c r="U1493" s="39" t="s">
        <v>1051</v>
      </c>
      <c r="X1493" s="39" t="s">
        <v>2094</v>
      </c>
      <c r="Y1493" s="39" t="s">
        <v>1131</v>
      </c>
      <c r="Z1493" s="39" t="s">
        <v>872</v>
      </c>
      <c r="AB1493" s="39">
        <v>0.25</v>
      </c>
    </row>
    <row r="1494">
      <c r="A1494" s="39" t="s">
        <v>1945</v>
      </c>
      <c r="B1494" s="39" t="s">
        <v>1946</v>
      </c>
      <c r="C1494" s="39">
        <v>4.0</v>
      </c>
      <c r="D1494" s="41">
        <v>44172.458333333336</v>
      </c>
      <c r="E1494" s="39" t="s">
        <v>1048</v>
      </c>
      <c r="F1494" s="39" t="s">
        <v>1049</v>
      </c>
      <c r="G1494" s="39" t="s">
        <v>1050</v>
      </c>
      <c r="H1494" s="39">
        <v>1220.0</v>
      </c>
      <c r="N1494" s="39" t="s">
        <v>1051</v>
      </c>
      <c r="R1494" s="39" t="s">
        <v>832</v>
      </c>
      <c r="S1494" s="39" t="s">
        <v>889</v>
      </c>
      <c r="T1494" s="39" t="s">
        <v>1053</v>
      </c>
      <c r="U1494" s="39" t="s">
        <v>1051</v>
      </c>
      <c r="X1494" s="39" t="s">
        <v>2099</v>
      </c>
      <c r="Y1494" s="39" t="s">
        <v>1824</v>
      </c>
      <c r="Z1494" s="39" t="s">
        <v>872</v>
      </c>
      <c r="AB1494" s="39">
        <v>4.0</v>
      </c>
    </row>
    <row r="1495">
      <c r="A1495" s="39" t="s">
        <v>2096</v>
      </c>
      <c r="B1495" s="39" t="s">
        <v>2097</v>
      </c>
      <c r="C1495" s="39">
        <v>0.25</v>
      </c>
      <c r="D1495" s="41">
        <v>44172.5</v>
      </c>
      <c r="E1495" s="39" t="s">
        <v>872</v>
      </c>
      <c r="F1495" s="39" t="s">
        <v>724</v>
      </c>
      <c r="G1495" s="39" t="s">
        <v>830</v>
      </c>
      <c r="H1495" s="39">
        <v>1220.0</v>
      </c>
      <c r="N1495" s="39" t="s">
        <v>1051</v>
      </c>
      <c r="R1495" s="39" t="s">
        <v>957</v>
      </c>
      <c r="S1495" s="39" t="s">
        <v>1052</v>
      </c>
      <c r="T1495" s="39" t="s">
        <v>1053</v>
      </c>
      <c r="U1495" s="39" t="s">
        <v>1051</v>
      </c>
      <c r="X1495" s="39" t="s">
        <v>2100</v>
      </c>
      <c r="Y1495" s="39" t="s">
        <v>1363</v>
      </c>
      <c r="Z1495" s="39" t="s">
        <v>872</v>
      </c>
      <c r="AB1495" s="39">
        <v>0.25</v>
      </c>
    </row>
    <row r="1496">
      <c r="A1496" s="39" t="s">
        <v>1360</v>
      </c>
      <c r="B1496" s="39" t="s">
        <v>1361</v>
      </c>
      <c r="C1496" s="39">
        <v>0.5</v>
      </c>
      <c r="D1496" s="41">
        <v>44172.604166666664</v>
      </c>
      <c r="E1496" s="39" t="s">
        <v>872</v>
      </c>
      <c r="F1496" s="39" t="s">
        <v>724</v>
      </c>
      <c r="G1496" s="39" t="s">
        <v>830</v>
      </c>
      <c r="H1496" s="39">
        <v>1220.0</v>
      </c>
      <c r="N1496" s="39" t="s">
        <v>1051</v>
      </c>
      <c r="R1496" s="39" t="s">
        <v>957</v>
      </c>
      <c r="S1496" s="39" t="s">
        <v>889</v>
      </c>
      <c r="T1496" s="39" t="s">
        <v>1053</v>
      </c>
      <c r="U1496" s="39" t="s">
        <v>1051</v>
      </c>
      <c r="X1496" s="39" t="s">
        <v>1957</v>
      </c>
      <c r="Y1496" s="39" t="s">
        <v>1363</v>
      </c>
      <c r="Z1496" s="39" t="s">
        <v>872</v>
      </c>
      <c r="AB1496" s="39">
        <v>0.5</v>
      </c>
    </row>
    <row r="1497">
      <c r="A1497" s="39" t="s">
        <v>2101</v>
      </c>
      <c r="B1497" s="39" t="s">
        <v>2102</v>
      </c>
      <c r="C1497" s="39">
        <v>5.0</v>
      </c>
      <c r="D1497" s="41">
        <v>44173.333333333336</v>
      </c>
      <c r="E1497" s="39" t="s">
        <v>1048</v>
      </c>
      <c r="F1497" s="39" t="s">
        <v>1049</v>
      </c>
      <c r="G1497" s="39" t="s">
        <v>1050</v>
      </c>
      <c r="H1497" s="39">
        <v>1220.0</v>
      </c>
      <c r="N1497" s="39" t="s">
        <v>1051</v>
      </c>
      <c r="R1497" s="39" t="s">
        <v>957</v>
      </c>
      <c r="S1497" s="39" t="s">
        <v>889</v>
      </c>
      <c r="T1497" s="39" t="s">
        <v>1053</v>
      </c>
      <c r="U1497" s="39" t="s">
        <v>1051</v>
      </c>
      <c r="X1497" s="39" t="s">
        <v>2103</v>
      </c>
      <c r="Y1497" s="39" t="s">
        <v>2030</v>
      </c>
      <c r="Z1497" s="39" t="s">
        <v>872</v>
      </c>
      <c r="AB1497" s="39">
        <v>5.0</v>
      </c>
    </row>
    <row r="1498">
      <c r="A1498" s="39" t="s">
        <v>2092</v>
      </c>
      <c r="B1498" s="39" t="s">
        <v>2093</v>
      </c>
      <c r="C1498" s="39">
        <v>6.0</v>
      </c>
      <c r="D1498" s="41">
        <v>44173.333333333336</v>
      </c>
      <c r="E1498" s="39" t="s">
        <v>1059</v>
      </c>
      <c r="F1498" s="39" t="s">
        <v>1060</v>
      </c>
      <c r="G1498" s="39" t="s">
        <v>1050</v>
      </c>
      <c r="H1498" s="39">
        <v>1220.0</v>
      </c>
      <c r="N1498" s="39" t="s">
        <v>1051</v>
      </c>
      <c r="R1498" s="39" t="s">
        <v>832</v>
      </c>
      <c r="S1498" s="39" t="s">
        <v>1052</v>
      </c>
      <c r="T1498" s="39" t="s">
        <v>1053</v>
      </c>
      <c r="U1498" s="39" t="s">
        <v>1051</v>
      </c>
      <c r="X1498" s="39" t="s">
        <v>2104</v>
      </c>
      <c r="Y1498" s="39" t="s">
        <v>1131</v>
      </c>
      <c r="Z1498" s="39" t="s">
        <v>872</v>
      </c>
      <c r="AB1498" s="39">
        <v>6.0</v>
      </c>
    </row>
    <row r="1499">
      <c r="A1499" s="39" t="s">
        <v>1131</v>
      </c>
      <c r="B1499" s="39" t="s">
        <v>1591</v>
      </c>
      <c r="C1499" s="39">
        <v>2.0</v>
      </c>
      <c r="D1499" s="41">
        <v>44173.51736111111</v>
      </c>
      <c r="E1499" s="39" t="s">
        <v>872</v>
      </c>
      <c r="F1499" s="39" t="s">
        <v>724</v>
      </c>
      <c r="G1499" s="39" t="s">
        <v>830</v>
      </c>
      <c r="H1499" s="39">
        <v>1220.0</v>
      </c>
      <c r="N1499" s="39" t="s">
        <v>1051</v>
      </c>
      <c r="R1499" s="39" t="s">
        <v>72</v>
      </c>
      <c r="S1499" s="39" t="s">
        <v>889</v>
      </c>
      <c r="T1499" s="39" t="s">
        <v>1053</v>
      </c>
      <c r="U1499" s="39" t="s">
        <v>1051</v>
      </c>
      <c r="X1499" s="39" t="s">
        <v>1724</v>
      </c>
      <c r="Z1499" s="39" t="s">
        <v>872</v>
      </c>
      <c r="AB1499" s="39">
        <v>2.0</v>
      </c>
      <c r="AD1499" s="39">
        <v>0.0</v>
      </c>
    </row>
    <row r="1500">
      <c r="A1500" s="39" t="s">
        <v>2105</v>
      </c>
      <c r="B1500" s="39" t="s">
        <v>2106</v>
      </c>
      <c r="C1500" s="39">
        <v>2.0</v>
      </c>
      <c r="D1500" s="41">
        <v>44173.541666666664</v>
      </c>
      <c r="E1500" s="39" t="s">
        <v>1048</v>
      </c>
      <c r="F1500" s="39" t="s">
        <v>1049</v>
      </c>
      <c r="G1500" s="39" t="s">
        <v>1050</v>
      </c>
      <c r="H1500" s="39">
        <v>1220.0</v>
      </c>
      <c r="N1500" s="39" t="s">
        <v>1051</v>
      </c>
      <c r="R1500" s="39" t="s">
        <v>957</v>
      </c>
      <c r="S1500" s="39" t="s">
        <v>889</v>
      </c>
      <c r="T1500" s="39" t="s">
        <v>1053</v>
      </c>
      <c r="U1500" s="39" t="s">
        <v>1051</v>
      </c>
      <c r="X1500" s="39" t="s">
        <v>2107</v>
      </c>
      <c r="Y1500" s="39" t="s">
        <v>2030</v>
      </c>
      <c r="Z1500" s="39" t="s">
        <v>872</v>
      </c>
      <c r="AB1500" s="39">
        <v>2.0</v>
      </c>
    </row>
    <row r="1501">
      <c r="A1501" s="39" t="s">
        <v>1997</v>
      </c>
      <c r="B1501" s="39" t="s">
        <v>1998</v>
      </c>
      <c r="C1501" s="39">
        <v>0.25</v>
      </c>
      <c r="D1501" s="41">
        <v>44173.631944444445</v>
      </c>
      <c r="E1501" s="39" t="s">
        <v>872</v>
      </c>
      <c r="F1501" s="39" t="s">
        <v>724</v>
      </c>
      <c r="G1501" s="39" t="s">
        <v>830</v>
      </c>
      <c r="H1501" s="39">
        <v>1220.0</v>
      </c>
      <c r="N1501" s="39" t="s">
        <v>1051</v>
      </c>
      <c r="R1501" s="39" t="s">
        <v>832</v>
      </c>
      <c r="S1501" s="39" t="s">
        <v>889</v>
      </c>
      <c r="T1501" s="39" t="s">
        <v>1053</v>
      </c>
      <c r="U1501" s="39" t="s">
        <v>1051</v>
      </c>
      <c r="X1501" s="39" t="s">
        <v>1999</v>
      </c>
      <c r="Y1501" s="39" t="s">
        <v>1824</v>
      </c>
      <c r="Z1501" s="39" t="s">
        <v>872</v>
      </c>
      <c r="AB1501" s="39">
        <v>0.25</v>
      </c>
    </row>
    <row r="1502">
      <c r="A1502" s="39" t="s">
        <v>2105</v>
      </c>
      <c r="B1502" s="39" t="s">
        <v>2106</v>
      </c>
      <c r="C1502" s="39">
        <v>6.0</v>
      </c>
      <c r="D1502" s="41">
        <v>44174.333333333336</v>
      </c>
      <c r="E1502" s="39" t="s">
        <v>1048</v>
      </c>
      <c r="F1502" s="39" t="s">
        <v>1049</v>
      </c>
      <c r="G1502" s="39" t="s">
        <v>1050</v>
      </c>
      <c r="H1502" s="39">
        <v>1220.0</v>
      </c>
      <c r="N1502" s="39" t="s">
        <v>1051</v>
      </c>
      <c r="R1502" s="39" t="s">
        <v>957</v>
      </c>
      <c r="S1502" s="39" t="s">
        <v>889</v>
      </c>
      <c r="T1502" s="39" t="s">
        <v>1053</v>
      </c>
      <c r="U1502" s="39" t="s">
        <v>1051</v>
      </c>
      <c r="X1502" s="39" t="s">
        <v>2108</v>
      </c>
      <c r="Y1502" s="39" t="s">
        <v>2030</v>
      </c>
      <c r="Z1502" s="39" t="s">
        <v>872</v>
      </c>
      <c r="AB1502" s="39">
        <v>6.0</v>
      </c>
    </row>
    <row r="1503">
      <c r="A1503" s="39" t="s">
        <v>2059</v>
      </c>
      <c r="B1503" s="39" t="s">
        <v>2060</v>
      </c>
      <c r="C1503" s="39">
        <v>7.0</v>
      </c>
      <c r="D1503" s="41">
        <v>44174.333333333336</v>
      </c>
      <c r="E1503" s="39" t="s">
        <v>1059</v>
      </c>
      <c r="F1503" s="39" t="s">
        <v>1060</v>
      </c>
      <c r="G1503" s="39" t="s">
        <v>1050</v>
      </c>
      <c r="H1503" s="39">
        <v>1220.0</v>
      </c>
      <c r="N1503" s="39" t="s">
        <v>1051</v>
      </c>
      <c r="R1503" s="39" t="s">
        <v>957</v>
      </c>
      <c r="S1503" s="39" t="s">
        <v>889</v>
      </c>
      <c r="T1503" s="39" t="s">
        <v>1053</v>
      </c>
      <c r="U1503" s="39" t="s">
        <v>1051</v>
      </c>
      <c r="X1503" s="39" t="s">
        <v>2076</v>
      </c>
      <c r="Y1503" s="39" t="s">
        <v>2051</v>
      </c>
      <c r="Z1503" s="39" t="s">
        <v>872</v>
      </c>
      <c r="AB1503" s="39">
        <v>7.0</v>
      </c>
    </row>
    <row r="1504">
      <c r="A1504" s="39" t="s">
        <v>2059</v>
      </c>
      <c r="B1504" s="39" t="s">
        <v>2060</v>
      </c>
      <c r="C1504" s="39">
        <v>0.25</v>
      </c>
      <c r="D1504" s="41">
        <v>44174.354166666664</v>
      </c>
      <c r="E1504" s="39" t="s">
        <v>872</v>
      </c>
      <c r="F1504" s="39" t="s">
        <v>724</v>
      </c>
      <c r="G1504" s="39" t="s">
        <v>830</v>
      </c>
      <c r="H1504" s="39">
        <v>1220.0</v>
      </c>
      <c r="N1504" s="39" t="s">
        <v>1051</v>
      </c>
      <c r="R1504" s="39" t="s">
        <v>957</v>
      </c>
      <c r="S1504" s="39" t="s">
        <v>889</v>
      </c>
      <c r="T1504" s="39" t="s">
        <v>1053</v>
      </c>
      <c r="U1504" s="39" t="s">
        <v>1051</v>
      </c>
      <c r="X1504" s="39" t="s">
        <v>2076</v>
      </c>
      <c r="Y1504" s="39" t="s">
        <v>2051</v>
      </c>
      <c r="Z1504" s="39" t="s">
        <v>872</v>
      </c>
      <c r="AB1504" s="39">
        <v>0.25</v>
      </c>
    </row>
    <row r="1505">
      <c r="A1505" s="39" t="s">
        <v>1131</v>
      </c>
      <c r="B1505" s="39" t="s">
        <v>1591</v>
      </c>
      <c r="C1505" s="39">
        <v>2.0</v>
      </c>
      <c r="D1505" s="41">
        <v>44174.51736111111</v>
      </c>
      <c r="E1505" s="39" t="s">
        <v>872</v>
      </c>
      <c r="F1505" s="39" t="s">
        <v>724</v>
      </c>
      <c r="G1505" s="39" t="s">
        <v>830</v>
      </c>
      <c r="H1505" s="39">
        <v>1220.0</v>
      </c>
      <c r="N1505" s="39" t="s">
        <v>1051</v>
      </c>
      <c r="R1505" s="39" t="s">
        <v>72</v>
      </c>
      <c r="S1505" s="39" t="s">
        <v>889</v>
      </c>
      <c r="T1505" s="39" t="s">
        <v>1053</v>
      </c>
      <c r="U1505" s="39" t="s">
        <v>1051</v>
      </c>
      <c r="X1505" s="39" t="s">
        <v>1724</v>
      </c>
      <c r="Z1505" s="39" t="s">
        <v>872</v>
      </c>
      <c r="AB1505" s="39">
        <v>2.0</v>
      </c>
      <c r="AD1505" s="39">
        <v>0.0</v>
      </c>
    </row>
    <row r="1506">
      <c r="A1506" s="39" t="s">
        <v>2105</v>
      </c>
      <c r="B1506" s="39" t="s">
        <v>2106</v>
      </c>
      <c r="C1506" s="39">
        <v>0.5</v>
      </c>
      <c r="D1506" s="41">
        <v>44174.538194444445</v>
      </c>
      <c r="E1506" s="39" t="s">
        <v>872</v>
      </c>
      <c r="F1506" s="39" t="s">
        <v>724</v>
      </c>
      <c r="G1506" s="39" t="s">
        <v>830</v>
      </c>
      <c r="H1506" s="39">
        <v>1220.0</v>
      </c>
      <c r="N1506" s="39" t="s">
        <v>1051</v>
      </c>
      <c r="R1506" s="39" t="s">
        <v>957</v>
      </c>
      <c r="S1506" s="39" t="s">
        <v>889</v>
      </c>
      <c r="T1506" s="39" t="s">
        <v>1053</v>
      </c>
      <c r="U1506" s="39" t="s">
        <v>1051</v>
      </c>
      <c r="X1506" s="39" t="s">
        <v>2109</v>
      </c>
      <c r="Y1506" s="39" t="s">
        <v>2030</v>
      </c>
      <c r="Z1506" s="39" t="s">
        <v>872</v>
      </c>
      <c r="AB1506" s="39">
        <v>0.5</v>
      </c>
    </row>
    <row r="1507">
      <c r="A1507" s="39" t="s">
        <v>2092</v>
      </c>
      <c r="B1507" s="39" t="s">
        <v>2093</v>
      </c>
      <c r="C1507" s="39">
        <v>1.0</v>
      </c>
      <c r="D1507" s="41">
        <v>44174.541666666664</v>
      </c>
      <c r="E1507" s="39" t="s">
        <v>1048</v>
      </c>
      <c r="F1507" s="39" t="s">
        <v>1049</v>
      </c>
      <c r="G1507" s="39" t="s">
        <v>1050</v>
      </c>
      <c r="H1507" s="39">
        <v>1220.0</v>
      </c>
      <c r="N1507" s="39" t="s">
        <v>1051</v>
      </c>
      <c r="R1507" s="39" t="s">
        <v>832</v>
      </c>
      <c r="S1507" s="39" t="s">
        <v>1052</v>
      </c>
      <c r="T1507" s="39" t="s">
        <v>1053</v>
      </c>
      <c r="U1507" s="39" t="s">
        <v>1051</v>
      </c>
      <c r="X1507" s="39" t="s">
        <v>2110</v>
      </c>
      <c r="Y1507" s="39" t="s">
        <v>1131</v>
      </c>
      <c r="Z1507" s="39" t="s">
        <v>872</v>
      </c>
      <c r="AB1507" s="39">
        <v>1.0</v>
      </c>
    </row>
    <row r="1508">
      <c r="A1508" s="39" t="s">
        <v>2105</v>
      </c>
      <c r="B1508" s="39" t="s">
        <v>2106</v>
      </c>
      <c r="C1508" s="39">
        <v>3.0</v>
      </c>
      <c r="D1508" s="41">
        <v>44175.333333333336</v>
      </c>
      <c r="E1508" s="39" t="s">
        <v>1048</v>
      </c>
      <c r="F1508" s="39" t="s">
        <v>1049</v>
      </c>
      <c r="G1508" s="39" t="s">
        <v>1050</v>
      </c>
      <c r="H1508" s="39">
        <v>1220.0</v>
      </c>
      <c r="N1508" s="39" t="s">
        <v>1051</v>
      </c>
      <c r="R1508" s="39" t="s">
        <v>957</v>
      </c>
      <c r="S1508" s="39" t="s">
        <v>889</v>
      </c>
      <c r="T1508" s="39" t="s">
        <v>1053</v>
      </c>
      <c r="U1508" s="39" t="s">
        <v>1051</v>
      </c>
      <c r="X1508" s="39" t="s">
        <v>2111</v>
      </c>
      <c r="Y1508" s="39" t="s">
        <v>2030</v>
      </c>
      <c r="Z1508" s="39" t="s">
        <v>872</v>
      </c>
      <c r="AB1508" s="39">
        <v>3.0</v>
      </c>
    </row>
    <row r="1509">
      <c r="A1509" s="39" t="s">
        <v>2059</v>
      </c>
      <c r="B1509" s="39" t="s">
        <v>2060</v>
      </c>
      <c r="C1509" s="39">
        <v>8.0</v>
      </c>
      <c r="D1509" s="41">
        <v>44175.333333333336</v>
      </c>
      <c r="E1509" s="39" t="s">
        <v>1059</v>
      </c>
      <c r="F1509" s="39" t="s">
        <v>1060</v>
      </c>
      <c r="G1509" s="39" t="s">
        <v>1050</v>
      </c>
      <c r="H1509" s="39">
        <v>1220.0</v>
      </c>
      <c r="N1509" s="39" t="s">
        <v>1051</v>
      </c>
      <c r="R1509" s="39" t="s">
        <v>957</v>
      </c>
      <c r="S1509" s="39" t="s">
        <v>889</v>
      </c>
      <c r="T1509" s="39" t="s">
        <v>1053</v>
      </c>
      <c r="U1509" s="39" t="s">
        <v>1051</v>
      </c>
      <c r="X1509" s="39" t="s">
        <v>2076</v>
      </c>
      <c r="Y1509" s="39" t="s">
        <v>2051</v>
      </c>
      <c r="Z1509" s="39" t="s">
        <v>872</v>
      </c>
      <c r="AB1509" s="39">
        <v>8.0</v>
      </c>
    </row>
    <row r="1510">
      <c r="A1510" s="39" t="s">
        <v>2112</v>
      </c>
      <c r="B1510" s="39" t="s">
        <v>2113</v>
      </c>
      <c r="C1510" s="39">
        <v>1.0</v>
      </c>
      <c r="D1510" s="41">
        <v>44175.375</v>
      </c>
      <c r="E1510" s="39" t="s">
        <v>872</v>
      </c>
      <c r="F1510" s="39" t="s">
        <v>724</v>
      </c>
      <c r="G1510" s="39" t="s">
        <v>830</v>
      </c>
      <c r="H1510" s="39">
        <v>1220.0</v>
      </c>
      <c r="N1510" s="39" t="s">
        <v>1051</v>
      </c>
      <c r="R1510" s="39" t="s">
        <v>832</v>
      </c>
      <c r="S1510" s="39" t="s">
        <v>889</v>
      </c>
      <c r="T1510" s="39" t="s">
        <v>1053</v>
      </c>
      <c r="U1510" s="39" t="s">
        <v>1051</v>
      </c>
      <c r="X1510" s="39" t="s">
        <v>2114</v>
      </c>
      <c r="Y1510" s="39" t="s">
        <v>1824</v>
      </c>
      <c r="Z1510" s="39" t="s">
        <v>872</v>
      </c>
      <c r="AB1510" s="39">
        <v>1.0</v>
      </c>
    </row>
    <row r="1511">
      <c r="A1511" s="39" t="s">
        <v>1991</v>
      </c>
      <c r="B1511" s="39" t="s">
        <v>1992</v>
      </c>
      <c r="C1511" s="39">
        <v>2.0</v>
      </c>
      <c r="D1511" s="41">
        <v>44175.395833333336</v>
      </c>
      <c r="E1511" s="39" t="s">
        <v>1600</v>
      </c>
      <c r="F1511" s="39" t="s">
        <v>1601</v>
      </c>
      <c r="G1511" s="39" t="s">
        <v>830</v>
      </c>
      <c r="H1511" s="39">
        <v>1220.0</v>
      </c>
      <c r="N1511" s="39" t="s">
        <v>883</v>
      </c>
      <c r="R1511" s="39" t="s">
        <v>1021</v>
      </c>
      <c r="S1511" s="39" t="s">
        <v>889</v>
      </c>
      <c r="T1511" s="39" t="s">
        <v>884</v>
      </c>
      <c r="U1511" s="39" t="s">
        <v>883</v>
      </c>
      <c r="W1511" s="39" t="s">
        <v>113</v>
      </c>
      <c r="X1511" s="39" t="s">
        <v>2115</v>
      </c>
      <c r="Z1511" s="39" t="s">
        <v>900</v>
      </c>
      <c r="AB1511" s="39">
        <v>2.0</v>
      </c>
    </row>
    <row r="1512">
      <c r="A1512" s="39" t="s">
        <v>1991</v>
      </c>
      <c r="B1512" s="39" t="s">
        <v>1992</v>
      </c>
      <c r="C1512" s="39">
        <v>0.5</v>
      </c>
      <c r="D1512" s="41">
        <v>44175.458333333336</v>
      </c>
      <c r="E1512" s="39" t="s">
        <v>2116</v>
      </c>
      <c r="F1512" s="39" t="s">
        <v>2117</v>
      </c>
      <c r="G1512" s="39" t="s">
        <v>854</v>
      </c>
      <c r="H1512" s="39">
        <v>1220.0</v>
      </c>
      <c r="N1512" s="39" t="s">
        <v>883</v>
      </c>
      <c r="R1512" s="39" t="s">
        <v>1021</v>
      </c>
      <c r="S1512" s="39" t="s">
        <v>889</v>
      </c>
      <c r="T1512" s="39" t="s">
        <v>884</v>
      </c>
      <c r="U1512" s="39" t="s">
        <v>883</v>
      </c>
      <c r="W1512" s="39" t="s">
        <v>113</v>
      </c>
      <c r="X1512" s="39" t="s">
        <v>2118</v>
      </c>
      <c r="Z1512" s="39" t="s">
        <v>900</v>
      </c>
      <c r="AB1512" s="39">
        <v>0.5</v>
      </c>
    </row>
    <row r="1513">
      <c r="A1513" s="39" t="s">
        <v>1991</v>
      </c>
      <c r="B1513" s="39" t="s">
        <v>1992</v>
      </c>
      <c r="C1513" s="39">
        <v>0.5</v>
      </c>
      <c r="D1513" s="41">
        <v>44175.46875</v>
      </c>
      <c r="E1513" s="39" t="s">
        <v>828</v>
      </c>
      <c r="F1513" s="39" t="s">
        <v>829</v>
      </c>
      <c r="G1513" s="39" t="s">
        <v>830</v>
      </c>
      <c r="H1513" s="39">
        <v>1220.0</v>
      </c>
      <c r="N1513" s="39" t="s">
        <v>883</v>
      </c>
      <c r="R1513" s="39" t="s">
        <v>1021</v>
      </c>
      <c r="S1513" s="39" t="s">
        <v>889</v>
      </c>
      <c r="T1513" s="39" t="s">
        <v>884</v>
      </c>
      <c r="U1513" s="39" t="s">
        <v>883</v>
      </c>
      <c r="W1513" s="39" t="s">
        <v>113</v>
      </c>
      <c r="X1513" s="39" t="s">
        <v>2119</v>
      </c>
      <c r="Z1513" s="39" t="s">
        <v>900</v>
      </c>
      <c r="AB1513" s="39">
        <v>0.5</v>
      </c>
    </row>
    <row r="1514">
      <c r="A1514" s="39" t="s">
        <v>2112</v>
      </c>
      <c r="B1514" s="39" t="s">
        <v>2113</v>
      </c>
      <c r="C1514" s="39">
        <v>3.5</v>
      </c>
      <c r="D1514" s="41">
        <v>44175.479166666664</v>
      </c>
      <c r="E1514" s="39" t="s">
        <v>1048</v>
      </c>
      <c r="F1514" s="39" t="s">
        <v>1049</v>
      </c>
      <c r="G1514" s="39" t="s">
        <v>1050</v>
      </c>
      <c r="H1514" s="39">
        <v>1220.0</v>
      </c>
      <c r="N1514" s="39" t="s">
        <v>1051</v>
      </c>
      <c r="R1514" s="39" t="s">
        <v>832</v>
      </c>
      <c r="S1514" s="39" t="s">
        <v>889</v>
      </c>
      <c r="T1514" s="39" t="s">
        <v>1053</v>
      </c>
      <c r="U1514" s="39" t="s">
        <v>1051</v>
      </c>
      <c r="X1514" s="39" t="s">
        <v>2120</v>
      </c>
      <c r="Y1514" s="39" t="s">
        <v>1824</v>
      </c>
      <c r="Z1514" s="39" t="s">
        <v>872</v>
      </c>
      <c r="AB1514" s="39">
        <v>3.5</v>
      </c>
    </row>
    <row r="1515">
      <c r="A1515" s="39" t="s">
        <v>1131</v>
      </c>
      <c r="B1515" s="39" t="s">
        <v>1591</v>
      </c>
      <c r="C1515" s="39">
        <v>2.0</v>
      </c>
      <c r="D1515" s="41">
        <v>44175.51736111111</v>
      </c>
      <c r="E1515" s="39" t="s">
        <v>872</v>
      </c>
      <c r="F1515" s="39" t="s">
        <v>724</v>
      </c>
      <c r="G1515" s="39" t="s">
        <v>830</v>
      </c>
      <c r="H1515" s="39">
        <v>1220.0</v>
      </c>
      <c r="N1515" s="39" t="s">
        <v>1051</v>
      </c>
      <c r="R1515" s="39" t="s">
        <v>72</v>
      </c>
      <c r="S1515" s="39" t="s">
        <v>889</v>
      </c>
      <c r="T1515" s="39" t="s">
        <v>1053</v>
      </c>
      <c r="U1515" s="39" t="s">
        <v>1051</v>
      </c>
      <c r="X1515" s="39" t="s">
        <v>1724</v>
      </c>
      <c r="Z1515" s="39" t="s">
        <v>872</v>
      </c>
      <c r="AB1515" s="39">
        <v>2.0</v>
      </c>
      <c r="AD1515" s="39">
        <v>0.0</v>
      </c>
    </row>
    <row r="1516">
      <c r="A1516" s="39" t="s">
        <v>1991</v>
      </c>
      <c r="B1516" s="39" t="s">
        <v>1992</v>
      </c>
      <c r="C1516" s="39">
        <v>2.0</v>
      </c>
      <c r="D1516" s="41">
        <v>44175.5625</v>
      </c>
      <c r="E1516" s="39" t="s">
        <v>1600</v>
      </c>
      <c r="F1516" s="39" t="s">
        <v>1601</v>
      </c>
      <c r="G1516" s="39" t="s">
        <v>830</v>
      </c>
      <c r="H1516" s="39">
        <v>1220.0</v>
      </c>
      <c r="N1516" s="39" t="s">
        <v>883</v>
      </c>
      <c r="R1516" s="39" t="s">
        <v>1021</v>
      </c>
      <c r="S1516" s="39" t="s">
        <v>889</v>
      </c>
      <c r="T1516" s="39" t="s">
        <v>884</v>
      </c>
      <c r="U1516" s="39" t="s">
        <v>883</v>
      </c>
      <c r="W1516" s="39" t="s">
        <v>113</v>
      </c>
      <c r="X1516" s="39" t="s">
        <v>2121</v>
      </c>
      <c r="Z1516" s="39" t="s">
        <v>900</v>
      </c>
      <c r="AB1516" s="39">
        <v>2.0</v>
      </c>
    </row>
    <row r="1517">
      <c r="A1517" s="39" t="s">
        <v>1991</v>
      </c>
      <c r="B1517" s="39" t="s">
        <v>1992</v>
      </c>
      <c r="C1517" s="39">
        <v>2.75</v>
      </c>
      <c r="D1517" s="41">
        <v>44175.604166666664</v>
      </c>
      <c r="E1517" s="39" t="s">
        <v>828</v>
      </c>
      <c r="F1517" s="39" t="s">
        <v>829</v>
      </c>
      <c r="G1517" s="39" t="s">
        <v>830</v>
      </c>
      <c r="H1517" s="39">
        <v>1220.0</v>
      </c>
      <c r="N1517" s="39" t="s">
        <v>883</v>
      </c>
      <c r="R1517" s="39" t="s">
        <v>1021</v>
      </c>
      <c r="S1517" s="39" t="s">
        <v>889</v>
      </c>
      <c r="T1517" s="39" t="s">
        <v>884</v>
      </c>
      <c r="U1517" s="39" t="s">
        <v>883</v>
      </c>
      <c r="W1517" s="39" t="s">
        <v>113</v>
      </c>
      <c r="X1517" s="39" t="s">
        <v>2119</v>
      </c>
      <c r="Z1517" s="39" t="s">
        <v>900</v>
      </c>
      <c r="AB1517" s="39">
        <v>2.75</v>
      </c>
    </row>
    <row r="1518">
      <c r="A1518" s="39" t="s">
        <v>1991</v>
      </c>
      <c r="B1518" s="39" t="s">
        <v>1992</v>
      </c>
      <c r="C1518" s="39">
        <v>0.25</v>
      </c>
      <c r="D1518" s="41">
        <v>44175.614583333336</v>
      </c>
      <c r="E1518" s="39" t="s">
        <v>2116</v>
      </c>
      <c r="F1518" s="39" t="s">
        <v>2117</v>
      </c>
      <c r="G1518" s="39" t="s">
        <v>854</v>
      </c>
      <c r="H1518" s="39">
        <v>1220.0</v>
      </c>
      <c r="N1518" s="39" t="s">
        <v>883</v>
      </c>
      <c r="R1518" s="39" t="s">
        <v>1021</v>
      </c>
      <c r="S1518" s="39" t="s">
        <v>889</v>
      </c>
      <c r="T1518" s="39" t="s">
        <v>884</v>
      </c>
      <c r="U1518" s="39" t="s">
        <v>883</v>
      </c>
      <c r="W1518" s="39" t="s">
        <v>113</v>
      </c>
      <c r="X1518" s="39" t="s">
        <v>2122</v>
      </c>
      <c r="Z1518" s="39" t="s">
        <v>900</v>
      </c>
      <c r="AB1518" s="39">
        <v>0.25</v>
      </c>
    </row>
    <row r="1519">
      <c r="A1519" s="39" t="s">
        <v>1991</v>
      </c>
      <c r="B1519" s="39" t="s">
        <v>1992</v>
      </c>
      <c r="C1519" s="39">
        <v>0.25</v>
      </c>
      <c r="D1519" s="41">
        <v>44175.854166666664</v>
      </c>
      <c r="E1519" s="39" t="s">
        <v>2116</v>
      </c>
      <c r="F1519" s="39" t="s">
        <v>2117</v>
      </c>
      <c r="G1519" s="39" t="s">
        <v>854</v>
      </c>
      <c r="H1519" s="39">
        <v>1220.0</v>
      </c>
      <c r="N1519" s="39" t="s">
        <v>883</v>
      </c>
      <c r="R1519" s="39" t="s">
        <v>1021</v>
      </c>
      <c r="S1519" s="39" t="s">
        <v>889</v>
      </c>
      <c r="T1519" s="39" t="s">
        <v>884</v>
      </c>
      <c r="U1519" s="39" t="s">
        <v>883</v>
      </c>
      <c r="W1519" s="39" t="s">
        <v>113</v>
      </c>
      <c r="X1519" s="39" t="s">
        <v>2123</v>
      </c>
      <c r="Z1519" s="39" t="s">
        <v>900</v>
      </c>
      <c r="AB1519" s="39">
        <v>0.25</v>
      </c>
    </row>
    <row r="1520">
      <c r="A1520" s="39" t="s">
        <v>2112</v>
      </c>
      <c r="B1520" s="39" t="s">
        <v>2113</v>
      </c>
      <c r="C1520" s="39">
        <v>7.0</v>
      </c>
      <c r="D1520" s="41">
        <v>44176.333333333336</v>
      </c>
      <c r="E1520" s="39" t="s">
        <v>1048</v>
      </c>
      <c r="F1520" s="39" t="s">
        <v>1049</v>
      </c>
      <c r="G1520" s="39" t="s">
        <v>1050</v>
      </c>
      <c r="H1520" s="39">
        <v>1220.0</v>
      </c>
      <c r="N1520" s="39" t="s">
        <v>1051</v>
      </c>
      <c r="R1520" s="39" t="s">
        <v>832</v>
      </c>
      <c r="S1520" s="39" t="s">
        <v>889</v>
      </c>
      <c r="T1520" s="39" t="s">
        <v>1053</v>
      </c>
      <c r="U1520" s="39" t="s">
        <v>1051</v>
      </c>
      <c r="X1520" s="39" t="s">
        <v>2124</v>
      </c>
      <c r="Y1520" s="39" t="s">
        <v>1824</v>
      </c>
      <c r="Z1520" s="39" t="s">
        <v>872</v>
      </c>
      <c r="AB1520" s="39">
        <v>7.0</v>
      </c>
    </row>
    <row r="1521">
      <c r="A1521" s="39" t="s">
        <v>2059</v>
      </c>
      <c r="B1521" s="39" t="s">
        <v>2060</v>
      </c>
      <c r="C1521" s="39">
        <v>7.0</v>
      </c>
      <c r="D1521" s="41">
        <v>44176.333333333336</v>
      </c>
      <c r="E1521" s="39" t="s">
        <v>1059</v>
      </c>
      <c r="F1521" s="39" t="s">
        <v>1060</v>
      </c>
      <c r="G1521" s="39" t="s">
        <v>1050</v>
      </c>
      <c r="H1521" s="39">
        <v>1220.0</v>
      </c>
      <c r="N1521" s="39" t="s">
        <v>1051</v>
      </c>
      <c r="R1521" s="39" t="s">
        <v>957</v>
      </c>
      <c r="S1521" s="39" t="s">
        <v>889</v>
      </c>
      <c r="T1521" s="39" t="s">
        <v>1053</v>
      </c>
      <c r="U1521" s="39" t="s">
        <v>1051</v>
      </c>
      <c r="X1521" s="39" t="s">
        <v>2076</v>
      </c>
      <c r="Y1521" s="39" t="s">
        <v>2051</v>
      </c>
      <c r="Z1521" s="39" t="s">
        <v>872</v>
      </c>
      <c r="AB1521" s="39">
        <v>7.0</v>
      </c>
    </row>
    <row r="1522">
      <c r="A1522" s="39" t="s">
        <v>1991</v>
      </c>
      <c r="B1522" s="39" t="s">
        <v>1992</v>
      </c>
      <c r="C1522" s="39">
        <v>4.25</v>
      </c>
      <c r="D1522" s="41">
        <v>44176.34375</v>
      </c>
      <c r="E1522" s="39" t="s">
        <v>1600</v>
      </c>
      <c r="F1522" s="39" t="s">
        <v>1601</v>
      </c>
      <c r="G1522" s="39" t="s">
        <v>830</v>
      </c>
      <c r="H1522" s="39">
        <v>1220.0</v>
      </c>
      <c r="N1522" s="39" t="s">
        <v>883</v>
      </c>
      <c r="R1522" s="39" t="s">
        <v>1021</v>
      </c>
      <c r="S1522" s="39" t="s">
        <v>889</v>
      </c>
      <c r="T1522" s="39" t="s">
        <v>884</v>
      </c>
      <c r="U1522" s="39" t="s">
        <v>883</v>
      </c>
      <c r="W1522" s="39" t="s">
        <v>113</v>
      </c>
      <c r="X1522" s="39" t="s">
        <v>2125</v>
      </c>
      <c r="Z1522" s="39" t="s">
        <v>900</v>
      </c>
      <c r="AB1522" s="39">
        <v>4.25</v>
      </c>
    </row>
    <row r="1523">
      <c r="A1523" s="39" t="s">
        <v>1824</v>
      </c>
      <c r="B1523" s="39" t="s">
        <v>1825</v>
      </c>
      <c r="C1523" s="39">
        <v>2.0</v>
      </c>
      <c r="D1523" s="41">
        <v>44176.375</v>
      </c>
      <c r="E1523" s="39" t="s">
        <v>872</v>
      </c>
      <c r="F1523" s="39" t="s">
        <v>724</v>
      </c>
      <c r="G1523" s="39" t="s">
        <v>830</v>
      </c>
      <c r="H1523" s="39">
        <v>1220.0</v>
      </c>
      <c r="N1523" s="39" t="s">
        <v>1051</v>
      </c>
      <c r="R1523" s="39" t="s">
        <v>72</v>
      </c>
      <c r="S1523" s="39" t="s">
        <v>889</v>
      </c>
      <c r="T1523" s="39" t="s">
        <v>1053</v>
      </c>
      <c r="U1523" s="39" t="s">
        <v>1051</v>
      </c>
      <c r="X1523" s="39" t="s">
        <v>1826</v>
      </c>
      <c r="Z1523" s="39" t="s">
        <v>872</v>
      </c>
      <c r="AB1523" s="39">
        <v>2.0</v>
      </c>
    </row>
    <row r="1524">
      <c r="A1524" s="39" t="s">
        <v>1991</v>
      </c>
      <c r="B1524" s="39" t="s">
        <v>1992</v>
      </c>
      <c r="C1524" s="39">
        <v>0.25</v>
      </c>
      <c r="D1524" s="41">
        <v>44176.5</v>
      </c>
      <c r="E1524" s="39" t="s">
        <v>872</v>
      </c>
      <c r="F1524" s="39" t="s">
        <v>724</v>
      </c>
      <c r="G1524" s="39" t="s">
        <v>830</v>
      </c>
      <c r="H1524" s="39">
        <v>1220.0</v>
      </c>
      <c r="N1524" s="39" t="s">
        <v>883</v>
      </c>
      <c r="R1524" s="39" t="s">
        <v>1021</v>
      </c>
      <c r="S1524" s="39" t="s">
        <v>889</v>
      </c>
      <c r="T1524" s="39" t="s">
        <v>884</v>
      </c>
      <c r="U1524" s="39" t="s">
        <v>883</v>
      </c>
      <c r="W1524" s="39" t="s">
        <v>113</v>
      </c>
      <c r="X1524" s="39" t="s">
        <v>2119</v>
      </c>
      <c r="Z1524" s="39" t="s">
        <v>900</v>
      </c>
      <c r="AB1524" s="39">
        <v>0.25</v>
      </c>
    </row>
    <row r="1525">
      <c r="A1525" s="39" t="s">
        <v>2112</v>
      </c>
      <c r="B1525" s="39" t="s">
        <v>2113</v>
      </c>
      <c r="C1525" s="39">
        <v>0.25</v>
      </c>
      <c r="D1525" s="41">
        <v>44176.520833333336</v>
      </c>
      <c r="E1525" s="39" t="s">
        <v>872</v>
      </c>
      <c r="F1525" s="39" t="s">
        <v>724</v>
      </c>
      <c r="G1525" s="39" t="s">
        <v>830</v>
      </c>
      <c r="H1525" s="39">
        <v>1220.0</v>
      </c>
      <c r="N1525" s="39" t="s">
        <v>1051</v>
      </c>
      <c r="R1525" s="39" t="s">
        <v>832</v>
      </c>
      <c r="S1525" s="39" t="s">
        <v>889</v>
      </c>
      <c r="T1525" s="39" t="s">
        <v>1053</v>
      </c>
      <c r="U1525" s="39" t="s">
        <v>1051</v>
      </c>
      <c r="X1525" s="39" t="s">
        <v>2114</v>
      </c>
      <c r="Y1525" s="39" t="s">
        <v>1824</v>
      </c>
      <c r="Z1525" s="39" t="s">
        <v>872</v>
      </c>
      <c r="AB1525" s="39">
        <v>0.25</v>
      </c>
    </row>
    <row r="1526">
      <c r="A1526" s="39" t="s">
        <v>1991</v>
      </c>
      <c r="B1526" s="39" t="s">
        <v>1992</v>
      </c>
      <c r="C1526" s="39">
        <v>0.5</v>
      </c>
      <c r="D1526" s="41">
        <v>44176.541666666664</v>
      </c>
      <c r="E1526" s="39" t="s">
        <v>1600</v>
      </c>
      <c r="F1526" s="39" t="s">
        <v>1601</v>
      </c>
      <c r="G1526" s="39" t="s">
        <v>830</v>
      </c>
      <c r="H1526" s="39">
        <v>1220.0</v>
      </c>
      <c r="N1526" s="39" t="s">
        <v>883</v>
      </c>
      <c r="R1526" s="39" t="s">
        <v>1021</v>
      </c>
      <c r="S1526" s="39" t="s">
        <v>889</v>
      </c>
      <c r="T1526" s="39" t="s">
        <v>884</v>
      </c>
      <c r="U1526" s="39" t="s">
        <v>883</v>
      </c>
      <c r="W1526" s="39" t="s">
        <v>113</v>
      </c>
      <c r="X1526" s="39" t="s">
        <v>1927</v>
      </c>
      <c r="Z1526" s="39" t="s">
        <v>900</v>
      </c>
      <c r="AB1526" s="39">
        <v>0.5</v>
      </c>
    </row>
    <row r="1527">
      <c r="A1527" s="39" t="s">
        <v>1892</v>
      </c>
      <c r="B1527" s="39" t="s">
        <v>1893</v>
      </c>
      <c r="C1527" s="39">
        <v>0.25</v>
      </c>
      <c r="D1527" s="41">
        <v>44176.677083333336</v>
      </c>
      <c r="E1527" s="39" t="s">
        <v>872</v>
      </c>
      <c r="F1527" s="39" t="s">
        <v>724</v>
      </c>
      <c r="G1527" s="39" t="s">
        <v>830</v>
      </c>
      <c r="H1527" s="39">
        <v>1220.0</v>
      </c>
      <c r="N1527" s="39" t="s">
        <v>1051</v>
      </c>
      <c r="R1527" s="39" t="s">
        <v>957</v>
      </c>
      <c r="S1527" s="39" t="s">
        <v>889</v>
      </c>
      <c r="T1527" s="39" t="s">
        <v>1053</v>
      </c>
      <c r="U1527" s="39" t="s">
        <v>1051</v>
      </c>
      <c r="X1527" s="39" t="s">
        <v>1894</v>
      </c>
      <c r="Y1527" s="39" t="s">
        <v>1694</v>
      </c>
      <c r="Z1527" s="39" t="s">
        <v>872</v>
      </c>
      <c r="AB1527" s="39">
        <v>0.25</v>
      </c>
    </row>
    <row r="1528">
      <c r="A1528" s="39" t="s">
        <v>1824</v>
      </c>
      <c r="B1528" s="39" t="s">
        <v>1825</v>
      </c>
      <c r="C1528" s="39">
        <v>1.0</v>
      </c>
      <c r="D1528" s="41">
        <v>44177.354166666664</v>
      </c>
      <c r="E1528" s="39" t="s">
        <v>872</v>
      </c>
      <c r="F1528" s="39" t="s">
        <v>724</v>
      </c>
      <c r="G1528" s="39" t="s">
        <v>830</v>
      </c>
      <c r="H1528" s="39">
        <v>1220.0</v>
      </c>
      <c r="N1528" s="39" t="s">
        <v>1051</v>
      </c>
      <c r="R1528" s="39" t="s">
        <v>72</v>
      </c>
      <c r="S1528" s="39" t="s">
        <v>889</v>
      </c>
      <c r="T1528" s="39" t="s">
        <v>1053</v>
      </c>
      <c r="U1528" s="39" t="s">
        <v>1051</v>
      </c>
      <c r="X1528" s="39" t="s">
        <v>1826</v>
      </c>
      <c r="Z1528" s="39" t="s">
        <v>872</v>
      </c>
      <c r="AB1528" s="39">
        <v>1.0</v>
      </c>
    </row>
    <row r="1529">
      <c r="A1529" s="39" t="s">
        <v>2112</v>
      </c>
      <c r="B1529" s="39" t="s">
        <v>2113</v>
      </c>
      <c r="C1529" s="39">
        <v>7.0</v>
      </c>
      <c r="D1529" s="41">
        <v>44179.333333333336</v>
      </c>
      <c r="E1529" s="39" t="s">
        <v>1048</v>
      </c>
      <c r="F1529" s="39" t="s">
        <v>1049</v>
      </c>
      <c r="G1529" s="39" t="s">
        <v>1050</v>
      </c>
      <c r="H1529" s="39">
        <v>1220.0</v>
      </c>
      <c r="N1529" s="39" t="s">
        <v>1051</v>
      </c>
      <c r="R1529" s="39" t="s">
        <v>832</v>
      </c>
      <c r="S1529" s="39" t="s">
        <v>889</v>
      </c>
      <c r="T1529" s="39" t="s">
        <v>1053</v>
      </c>
      <c r="U1529" s="39" t="s">
        <v>1051</v>
      </c>
      <c r="X1529" s="39" t="s">
        <v>2126</v>
      </c>
      <c r="Y1529" s="39" t="s">
        <v>1824</v>
      </c>
      <c r="Z1529" s="39" t="s">
        <v>872</v>
      </c>
      <c r="AB1529" s="39">
        <v>7.0</v>
      </c>
    </row>
    <row r="1530">
      <c r="A1530" s="39" t="s">
        <v>1892</v>
      </c>
      <c r="B1530" s="39" t="s">
        <v>1893</v>
      </c>
      <c r="C1530" s="39">
        <v>7.0</v>
      </c>
      <c r="D1530" s="41">
        <v>44179.333333333336</v>
      </c>
      <c r="E1530" s="39" t="s">
        <v>1059</v>
      </c>
      <c r="F1530" s="39" t="s">
        <v>1060</v>
      </c>
      <c r="G1530" s="39" t="s">
        <v>1050</v>
      </c>
      <c r="H1530" s="39">
        <v>1220.0</v>
      </c>
      <c r="N1530" s="39" t="s">
        <v>1051</v>
      </c>
      <c r="R1530" s="39" t="s">
        <v>957</v>
      </c>
      <c r="S1530" s="39" t="s">
        <v>889</v>
      </c>
      <c r="T1530" s="39" t="s">
        <v>1053</v>
      </c>
      <c r="U1530" s="39" t="s">
        <v>1051</v>
      </c>
      <c r="X1530" s="39" t="s">
        <v>2127</v>
      </c>
      <c r="Y1530" s="39" t="s">
        <v>1694</v>
      </c>
      <c r="Z1530" s="39" t="s">
        <v>872</v>
      </c>
      <c r="AB1530" s="39">
        <v>7.0</v>
      </c>
    </row>
    <row r="1531">
      <c r="A1531" s="39" t="s">
        <v>1806</v>
      </c>
      <c r="B1531" s="39" t="s">
        <v>1807</v>
      </c>
      <c r="C1531" s="39">
        <v>0.5</v>
      </c>
      <c r="D1531" s="41">
        <v>44179.375</v>
      </c>
      <c r="E1531" s="39" t="s">
        <v>1983</v>
      </c>
      <c r="F1531" s="39" t="s">
        <v>1984</v>
      </c>
      <c r="H1531" s="39">
        <v>1220.0</v>
      </c>
      <c r="N1531" s="39" t="s">
        <v>1810</v>
      </c>
      <c r="R1531" s="39" t="s">
        <v>1811</v>
      </c>
      <c r="S1531" s="39" t="s">
        <v>833</v>
      </c>
      <c r="T1531" s="39" t="s">
        <v>1812</v>
      </c>
      <c r="U1531" s="39" t="s">
        <v>1810</v>
      </c>
      <c r="W1531" s="39" t="s">
        <v>125</v>
      </c>
      <c r="X1531" s="39" t="s">
        <v>2128</v>
      </c>
      <c r="Y1531" s="39" t="s">
        <v>1814</v>
      </c>
      <c r="Z1531" s="39" t="s">
        <v>872</v>
      </c>
      <c r="AB1531" s="39">
        <v>0.5</v>
      </c>
      <c r="AC1531" s="39">
        <v>0.0</v>
      </c>
      <c r="AD1531" s="39">
        <v>0.0</v>
      </c>
    </row>
    <row r="1532">
      <c r="A1532" s="39" t="s">
        <v>1991</v>
      </c>
      <c r="B1532" s="39" t="s">
        <v>1992</v>
      </c>
      <c r="C1532" s="39">
        <v>2.25</v>
      </c>
      <c r="D1532" s="41">
        <v>44179.385416666664</v>
      </c>
      <c r="E1532" s="39" t="s">
        <v>1600</v>
      </c>
      <c r="F1532" s="39" t="s">
        <v>1601</v>
      </c>
      <c r="G1532" s="39" t="s">
        <v>830</v>
      </c>
      <c r="H1532" s="39">
        <v>1220.0</v>
      </c>
      <c r="N1532" s="39" t="s">
        <v>883</v>
      </c>
      <c r="R1532" s="39" t="s">
        <v>1021</v>
      </c>
      <c r="S1532" s="39" t="s">
        <v>889</v>
      </c>
      <c r="T1532" s="39" t="s">
        <v>884</v>
      </c>
      <c r="U1532" s="39" t="s">
        <v>883</v>
      </c>
      <c r="W1532" s="39" t="s">
        <v>113</v>
      </c>
      <c r="X1532" s="39" t="s">
        <v>2129</v>
      </c>
      <c r="Z1532" s="39" t="s">
        <v>900</v>
      </c>
      <c r="AB1532" s="39">
        <v>2.25</v>
      </c>
    </row>
    <row r="1533">
      <c r="A1533" s="39" t="s">
        <v>1806</v>
      </c>
      <c r="B1533" s="39" t="s">
        <v>1807</v>
      </c>
      <c r="C1533" s="39">
        <v>2.75</v>
      </c>
      <c r="D1533" s="41">
        <v>44179.447916666664</v>
      </c>
      <c r="E1533" s="39" t="s">
        <v>1153</v>
      </c>
      <c r="F1533" s="39" t="s">
        <v>1154</v>
      </c>
      <c r="G1533" s="39" t="s">
        <v>830</v>
      </c>
      <c r="H1533" s="39">
        <v>1220.0</v>
      </c>
      <c r="N1533" s="39" t="s">
        <v>1810</v>
      </c>
      <c r="R1533" s="39" t="s">
        <v>1811</v>
      </c>
      <c r="S1533" s="39" t="s">
        <v>833</v>
      </c>
      <c r="T1533" s="39" t="s">
        <v>1812</v>
      </c>
      <c r="U1533" s="39" t="s">
        <v>1810</v>
      </c>
      <c r="W1533" s="39" t="s">
        <v>125</v>
      </c>
      <c r="X1533" s="39" t="s">
        <v>1813</v>
      </c>
      <c r="Y1533" s="39" t="s">
        <v>1814</v>
      </c>
      <c r="Z1533" s="39" t="s">
        <v>872</v>
      </c>
      <c r="AB1533" s="39">
        <v>2.75</v>
      </c>
      <c r="AC1533" s="39">
        <v>0.0</v>
      </c>
      <c r="AD1533" s="39">
        <v>0.0</v>
      </c>
    </row>
    <row r="1534">
      <c r="A1534" s="39" t="s">
        <v>1991</v>
      </c>
      <c r="B1534" s="39" t="s">
        <v>1992</v>
      </c>
      <c r="C1534" s="39">
        <v>1.25</v>
      </c>
      <c r="D1534" s="41">
        <v>44179.541666666664</v>
      </c>
      <c r="E1534" s="39" t="s">
        <v>1600</v>
      </c>
      <c r="F1534" s="39" t="s">
        <v>1601</v>
      </c>
      <c r="G1534" s="39" t="s">
        <v>830</v>
      </c>
      <c r="H1534" s="39">
        <v>1220.0</v>
      </c>
      <c r="N1534" s="39" t="s">
        <v>883</v>
      </c>
      <c r="R1534" s="39" t="s">
        <v>1021</v>
      </c>
      <c r="S1534" s="39" t="s">
        <v>889</v>
      </c>
      <c r="T1534" s="39" t="s">
        <v>884</v>
      </c>
      <c r="U1534" s="39" t="s">
        <v>883</v>
      </c>
      <c r="W1534" s="39" t="s">
        <v>113</v>
      </c>
      <c r="X1534" s="39" t="s">
        <v>2130</v>
      </c>
      <c r="Z1534" s="39" t="s">
        <v>900</v>
      </c>
      <c r="AB1534" s="39">
        <v>1.25</v>
      </c>
    </row>
    <row r="1535">
      <c r="A1535" s="39" t="s">
        <v>1806</v>
      </c>
      <c r="B1535" s="39" t="s">
        <v>1807</v>
      </c>
      <c r="C1535" s="39">
        <v>1.25</v>
      </c>
      <c r="D1535" s="41">
        <v>44179.625</v>
      </c>
      <c r="E1535" s="39" t="s">
        <v>1153</v>
      </c>
      <c r="F1535" s="39" t="s">
        <v>1154</v>
      </c>
      <c r="G1535" s="39" t="s">
        <v>830</v>
      </c>
      <c r="H1535" s="39">
        <v>1220.0</v>
      </c>
      <c r="N1535" s="39" t="s">
        <v>1810</v>
      </c>
      <c r="R1535" s="39" t="s">
        <v>1811</v>
      </c>
      <c r="S1535" s="39" t="s">
        <v>833</v>
      </c>
      <c r="T1535" s="39" t="s">
        <v>1812</v>
      </c>
      <c r="U1535" s="39" t="s">
        <v>1810</v>
      </c>
      <c r="W1535" s="39" t="s">
        <v>125</v>
      </c>
      <c r="X1535" s="39" t="s">
        <v>1813</v>
      </c>
      <c r="Y1535" s="39" t="s">
        <v>1814</v>
      </c>
      <c r="Z1535" s="39" t="s">
        <v>872</v>
      </c>
      <c r="AB1535" s="39">
        <v>1.25</v>
      </c>
      <c r="AC1535" s="39">
        <v>0.0</v>
      </c>
      <c r="AD1535" s="39">
        <v>0.0</v>
      </c>
    </row>
    <row r="1536">
      <c r="A1536" s="39" t="s">
        <v>2112</v>
      </c>
      <c r="B1536" s="39" t="s">
        <v>2113</v>
      </c>
      <c r="C1536" s="39">
        <v>7.0</v>
      </c>
      <c r="D1536" s="41">
        <v>44180.333333333336</v>
      </c>
      <c r="E1536" s="39" t="s">
        <v>1048</v>
      </c>
      <c r="F1536" s="39" t="s">
        <v>1049</v>
      </c>
      <c r="G1536" s="39" t="s">
        <v>1050</v>
      </c>
      <c r="H1536" s="39">
        <v>1220.0</v>
      </c>
      <c r="N1536" s="39" t="s">
        <v>1051</v>
      </c>
      <c r="R1536" s="39" t="s">
        <v>832</v>
      </c>
      <c r="S1536" s="39" t="s">
        <v>889</v>
      </c>
      <c r="T1536" s="39" t="s">
        <v>1053</v>
      </c>
      <c r="U1536" s="39" t="s">
        <v>1051</v>
      </c>
      <c r="X1536" s="39" t="s">
        <v>2131</v>
      </c>
      <c r="Y1536" s="39" t="s">
        <v>1824</v>
      </c>
      <c r="Z1536" s="39" t="s">
        <v>872</v>
      </c>
      <c r="AB1536" s="39">
        <v>7.0</v>
      </c>
    </row>
    <row r="1537">
      <c r="A1537" s="39" t="s">
        <v>1277</v>
      </c>
      <c r="B1537" s="39" t="s">
        <v>1278</v>
      </c>
      <c r="C1537" s="39">
        <v>7.0</v>
      </c>
      <c r="D1537" s="41">
        <v>44180.333333333336</v>
      </c>
      <c r="E1537" s="39" t="s">
        <v>1059</v>
      </c>
      <c r="F1537" s="39" t="s">
        <v>1060</v>
      </c>
      <c r="G1537" s="39" t="s">
        <v>1050</v>
      </c>
      <c r="H1537" s="39">
        <v>1220.0</v>
      </c>
      <c r="N1537" s="39" t="s">
        <v>1051</v>
      </c>
      <c r="R1537" s="39" t="s">
        <v>832</v>
      </c>
      <c r="S1537" s="39" t="s">
        <v>1052</v>
      </c>
      <c r="T1537" s="39" t="s">
        <v>1053</v>
      </c>
      <c r="U1537" s="39" t="s">
        <v>1051</v>
      </c>
      <c r="X1537" s="39" t="s">
        <v>2132</v>
      </c>
      <c r="Y1537" s="39" t="s">
        <v>1131</v>
      </c>
      <c r="Z1537" s="39" t="s">
        <v>872</v>
      </c>
      <c r="AB1537" s="39">
        <v>7.0</v>
      </c>
    </row>
    <row r="1538">
      <c r="A1538" s="39" t="s">
        <v>1188</v>
      </c>
      <c r="B1538" s="39" t="s">
        <v>1794</v>
      </c>
      <c r="C1538" s="39">
        <v>0.25</v>
      </c>
      <c r="D1538" s="41">
        <v>44180.364583333336</v>
      </c>
      <c r="E1538" s="39" t="s">
        <v>828</v>
      </c>
      <c r="F1538" s="39" t="s">
        <v>829</v>
      </c>
      <c r="G1538" s="39" t="s">
        <v>830</v>
      </c>
      <c r="H1538" s="39">
        <v>1220.0</v>
      </c>
      <c r="N1538" s="39" t="s">
        <v>1185</v>
      </c>
      <c r="R1538" s="39" t="s">
        <v>72</v>
      </c>
      <c r="S1538" s="39" t="s">
        <v>889</v>
      </c>
      <c r="T1538" s="39" t="s">
        <v>1186</v>
      </c>
      <c r="U1538" s="39" t="s">
        <v>1185</v>
      </c>
      <c r="X1538" s="39" t="s">
        <v>1795</v>
      </c>
      <c r="Z1538" s="39" t="s">
        <v>872</v>
      </c>
      <c r="AB1538" s="39">
        <v>0.25</v>
      </c>
    </row>
    <row r="1539">
      <c r="A1539" s="39" t="s">
        <v>1806</v>
      </c>
      <c r="B1539" s="39" t="s">
        <v>1807</v>
      </c>
      <c r="C1539" s="39">
        <v>0.5</v>
      </c>
      <c r="D1539" s="41">
        <v>44180.395833333336</v>
      </c>
      <c r="E1539" s="39" t="s">
        <v>1600</v>
      </c>
      <c r="F1539" s="39" t="s">
        <v>1601</v>
      </c>
      <c r="G1539" s="39" t="s">
        <v>830</v>
      </c>
      <c r="H1539" s="39">
        <v>1220.0</v>
      </c>
      <c r="N1539" s="39" t="s">
        <v>1810</v>
      </c>
      <c r="R1539" s="39" t="s">
        <v>1811</v>
      </c>
      <c r="S1539" s="39" t="s">
        <v>833</v>
      </c>
      <c r="T1539" s="39" t="s">
        <v>1812</v>
      </c>
      <c r="U1539" s="39" t="s">
        <v>1810</v>
      </c>
      <c r="W1539" s="39" t="s">
        <v>125</v>
      </c>
      <c r="X1539" s="39" t="s">
        <v>2133</v>
      </c>
      <c r="Y1539" s="39" t="s">
        <v>1814</v>
      </c>
      <c r="Z1539" s="39" t="s">
        <v>872</v>
      </c>
      <c r="AB1539" s="39">
        <v>0.5</v>
      </c>
      <c r="AC1539" s="39">
        <v>0.0</v>
      </c>
      <c r="AD1539" s="39">
        <v>0.0</v>
      </c>
    </row>
    <row r="1540">
      <c r="A1540" s="39" t="s">
        <v>1806</v>
      </c>
      <c r="B1540" s="39" t="s">
        <v>1807</v>
      </c>
      <c r="C1540" s="39">
        <v>2.0</v>
      </c>
      <c r="D1540" s="41">
        <v>44180.416666666664</v>
      </c>
      <c r="E1540" s="39" t="s">
        <v>1153</v>
      </c>
      <c r="F1540" s="39" t="s">
        <v>1154</v>
      </c>
      <c r="G1540" s="39" t="s">
        <v>830</v>
      </c>
      <c r="H1540" s="39">
        <v>1220.0</v>
      </c>
      <c r="N1540" s="39" t="s">
        <v>1810</v>
      </c>
      <c r="R1540" s="39" t="s">
        <v>1811</v>
      </c>
      <c r="S1540" s="39" t="s">
        <v>833</v>
      </c>
      <c r="T1540" s="39" t="s">
        <v>1812</v>
      </c>
      <c r="U1540" s="39" t="s">
        <v>1810</v>
      </c>
      <c r="W1540" s="39" t="s">
        <v>125</v>
      </c>
      <c r="X1540" s="39" t="s">
        <v>1813</v>
      </c>
      <c r="Y1540" s="39" t="s">
        <v>1814</v>
      </c>
      <c r="Z1540" s="39" t="s">
        <v>872</v>
      </c>
      <c r="AB1540" s="39">
        <v>2.0</v>
      </c>
      <c r="AC1540" s="39">
        <v>0.0</v>
      </c>
      <c r="AD1540" s="39">
        <v>0.0</v>
      </c>
    </row>
    <row r="1541">
      <c r="A1541" s="39" t="s">
        <v>1806</v>
      </c>
      <c r="B1541" s="39" t="s">
        <v>1807</v>
      </c>
      <c r="C1541" s="39">
        <v>1.75</v>
      </c>
      <c r="D1541" s="41">
        <v>44180.5</v>
      </c>
      <c r="E1541" s="39" t="s">
        <v>1153</v>
      </c>
      <c r="F1541" s="39" t="s">
        <v>1154</v>
      </c>
      <c r="G1541" s="39" t="s">
        <v>830</v>
      </c>
      <c r="H1541" s="39">
        <v>1220.0</v>
      </c>
      <c r="N1541" s="39" t="s">
        <v>1810</v>
      </c>
      <c r="R1541" s="39" t="s">
        <v>1811</v>
      </c>
      <c r="S1541" s="39" t="s">
        <v>833</v>
      </c>
      <c r="T1541" s="39" t="s">
        <v>1812</v>
      </c>
      <c r="U1541" s="39" t="s">
        <v>1810</v>
      </c>
      <c r="W1541" s="39" t="s">
        <v>125</v>
      </c>
      <c r="X1541" s="39" t="s">
        <v>1813</v>
      </c>
      <c r="Y1541" s="39" t="s">
        <v>1814</v>
      </c>
      <c r="Z1541" s="39" t="s">
        <v>872</v>
      </c>
      <c r="AB1541" s="39">
        <v>1.75</v>
      </c>
      <c r="AC1541" s="39">
        <v>0.0</v>
      </c>
      <c r="AD1541" s="39">
        <v>0.0</v>
      </c>
    </row>
    <row r="1542">
      <c r="A1542" s="39" t="s">
        <v>1991</v>
      </c>
      <c r="B1542" s="39" t="s">
        <v>1992</v>
      </c>
      <c r="C1542" s="39">
        <v>0.25</v>
      </c>
      <c r="D1542" s="41">
        <v>44181.302083333336</v>
      </c>
      <c r="E1542" s="39" t="s">
        <v>1600</v>
      </c>
      <c r="F1542" s="39" t="s">
        <v>1601</v>
      </c>
      <c r="G1542" s="39" t="s">
        <v>830</v>
      </c>
      <c r="H1542" s="39">
        <v>1220.0</v>
      </c>
      <c r="N1542" s="39" t="s">
        <v>883</v>
      </c>
      <c r="R1542" s="39" t="s">
        <v>1021</v>
      </c>
      <c r="S1542" s="39" t="s">
        <v>889</v>
      </c>
      <c r="T1542" s="39" t="s">
        <v>884</v>
      </c>
      <c r="U1542" s="39" t="s">
        <v>883</v>
      </c>
      <c r="W1542" s="39" t="s">
        <v>113</v>
      </c>
      <c r="X1542" s="39" t="s">
        <v>2134</v>
      </c>
      <c r="Z1542" s="39" t="s">
        <v>900</v>
      </c>
      <c r="AB1542" s="39">
        <v>0.25</v>
      </c>
    </row>
    <row r="1543">
      <c r="A1543" s="39" t="s">
        <v>2112</v>
      </c>
      <c r="B1543" s="39" t="s">
        <v>2113</v>
      </c>
      <c r="C1543" s="39">
        <v>4.0</v>
      </c>
      <c r="D1543" s="41">
        <v>44181.333333333336</v>
      </c>
      <c r="E1543" s="39" t="s">
        <v>1048</v>
      </c>
      <c r="F1543" s="39" t="s">
        <v>1049</v>
      </c>
      <c r="G1543" s="39" t="s">
        <v>1050</v>
      </c>
      <c r="H1543" s="39">
        <v>1220.0</v>
      </c>
      <c r="N1543" s="39" t="s">
        <v>1051</v>
      </c>
      <c r="R1543" s="39" t="s">
        <v>832</v>
      </c>
      <c r="S1543" s="39" t="s">
        <v>889</v>
      </c>
      <c r="T1543" s="39" t="s">
        <v>1053</v>
      </c>
      <c r="U1543" s="39" t="s">
        <v>1051</v>
      </c>
      <c r="X1543" s="39" t="s">
        <v>2135</v>
      </c>
      <c r="Y1543" s="39" t="s">
        <v>1824</v>
      </c>
      <c r="Z1543" s="39" t="s">
        <v>872</v>
      </c>
      <c r="AB1543" s="39">
        <v>4.0</v>
      </c>
    </row>
    <row r="1544">
      <c r="A1544" s="39" t="s">
        <v>1277</v>
      </c>
      <c r="B1544" s="39" t="s">
        <v>1278</v>
      </c>
      <c r="C1544" s="39">
        <v>7.0</v>
      </c>
      <c r="D1544" s="41">
        <v>44181.333333333336</v>
      </c>
      <c r="E1544" s="39" t="s">
        <v>1059</v>
      </c>
      <c r="F1544" s="39" t="s">
        <v>1060</v>
      </c>
      <c r="G1544" s="39" t="s">
        <v>1050</v>
      </c>
      <c r="H1544" s="39">
        <v>1220.0</v>
      </c>
      <c r="N1544" s="39" t="s">
        <v>1051</v>
      </c>
      <c r="R1544" s="39" t="s">
        <v>832</v>
      </c>
      <c r="S1544" s="39" t="s">
        <v>1052</v>
      </c>
      <c r="T1544" s="39" t="s">
        <v>1053</v>
      </c>
      <c r="U1544" s="39" t="s">
        <v>1051</v>
      </c>
      <c r="X1544" s="39" t="s">
        <v>2136</v>
      </c>
      <c r="Y1544" s="39" t="s">
        <v>1131</v>
      </c>
      <c r="Z1544" s="39" t="s">
        <v>872</v>
      </c>
      <c r="AB1544" s="39">
        <v>7.0</v>
      </c>
    </row>
    <row r="1545">
      <c r="A1545" s="39" t="s">
        <v>955</v>
      </c>
      <c r="B1545" s="39" t="s">
        <v>956</v>
      </c>
      <c r="C1545" s="39">
        <v>0.25</v>
      </c>
      <c r="D1545" s="41">
        <v>44181.364583333336</v>
      </c>
      <c r="E1545" s="39" t="s">
        <v>828</v>
      </c>
      <c r="F1545" s="39" t="s">
        <v>829</v>
      </c>
      <c r="G1545" s="39" t="s">
        <v>830</v>
      </c>
      <c r="H1545" s="39">
        <v>1220.0</v>
      </c>
      <c r="N1545" s="39" t="s">
        <v>938</v>
      </c>
      <c r="R1545" s="39" t="s">
        <v>957</v>
      </c>
      <c r="S1545" s="39" t="s">
        <v>939</v>
      </c>
      <c r="T1545" s="39" t="s">
        <v>741</v>
      </c>
      <c r="U1545" s="39" t="s">
        <v>938</v>
      </c>
      <c r="X1545" s="39" t="s">
        <v>958</v>
      </c>
      <c r="Y1545" s="39" t="s">
        <v>952</v>
      </c>
      <c r="Z1545" s="39" t="s">
        <v>828</v>
      </c>
      <c r="AB1545" s="39">
        <v>0.25</v>
      </c>
    </row>
    <row r="1546">
      <c r="A1546" s="39" t="s">
        <v>1806</v>
      </c>
      <c r="B1546" s="39" t="s">
        <v>1807</v>
      </c>
      <c r="C1546" s="39">
        <v>1.5</v>
      </c>
      <c r="D1546" s="41">
        <v>44181.395833333336</v>
      </c>
      <c r="E1546" s="39" t="s">
        <v>1153</v>
      </c>
      <c r="F1546" s="39" t="s">
        <v>1154</v>
      </c>
      <c r="G1546" s="39" t="s">
        <v>830</v>
      </c>
      <c r="H1546" s="39">
        <v>1220.0</v>
      </c>
      <c r="N1546" s="39" t="s">
        <v>1810</v>
      </c>
      <c r="R1546" s="39" t="s">
        <v>1811</v>
      </c>
      <c r="S1546" s="39" t="s">
        <v>833</v>
      </c>
      <c r="T1546" s="39" t="s">
        <v>1812</v>
      </c>
      <c r="U1546" s="39" t="s">
        <v>1810</v>
      </c>
      <c r="W1546" s="39" t="s">
        <v>125</v>
      </c>
      <c r="X1546" s="39" t="s">
        <v>1813</v>
      </c>
      <c r="Y1546" s="39" t="s">
        <v>1814</v>
      </c>
      <c r="Z1546" s="39" t="s">
        <v>872</v>
      </c>
      <c r="AB1546" s="39">
        <v>1.5</v>
      </c>
      <c r="AC1546" s="39">
        <v>0.0</v>
      </c>
      <c r="AD1546" s="39">
        <v>0.0</v>
      </c>
    </row>
    <row r="1547">
      <c r="A1547" s="39" t="s">
        <v>1806</v>
      </c>
      <c r="B1547" s="39" t="s">
        <v>1807</v>
      </c>
      <c r="C1547" s="39">
        <v>0.25</v>
      </c>
      <c r="D1547" s="41">
        <v>44181.4375</v>
      </c>
      <c r="E1547" s="39" t="s">
        <v>1600</v>
      </c>
      <c r="F1547" s="39" t="s">
        <v>1601</v>
      </c>
      <c r="G1547" s="39" t="s">
        <v>830</v>
      </c>
      <c r="H1547" s="39">
        <v>1220.0</v>
      </c>
      <c r="N1547" s="39" t="s">
        <v>1810</v>
      </c>
      <c r="R1547" s="39" t="s">
        <v>1811</v>
      </c>
      <c r="S1547" s="39" t="s">
        <v>833</v>
      </c>
      <c r="T1547" s="39" t="s">
        <v>1812</v>
      </c>
      <c r="U1547" s="39" t="s">
        <v>1810</v>
      </c>
      <c r="W1547" s="39" t="s">
        <v>125</v>
      </c>
      <c r="X1547" s="39" t="s">
        <v>2133</v>
      </c>
      <c r="Y1547" s="39" t="s">
        <v>1814</v>
      </c>
      <c r="Z1547" s="39" t="s">
        <v>872</v>
      </c>
      <c r="AB1547" s="39">
        <v>0.25</v>
      </c>
      <c r="AC1547" s="39">
        <v>0.0</v>
      </c>
      <c r="AD1547" s="39">
        <v>0.0</v>
      </c>
    </row>
    <row r="1548">
      <c r="A1548" s="39" t="s">
        <v>955</v>
      </c>
      <c r="B1548" s="39" t="s">
        <v>956</v>
      </c>
      <c r="C1548" s="39">
        <v>0.25</v>
      </c>
      <c r="D1548" s="41">
        <v>44181.458333333336</v>
      </c>
      <c r="E1548" s="39" t="s">
        <v>1153</v>
      </c>
      <c r="F1548" s="39" t="s">
        <v>1154</v>
      </c>
      <c r="G1548" s="39" t="s">
        <v>830</v>
      </c>
      <c r="H1548" s="39">
        <v>1220.0</v>
      </c>
      <c r="N1548" s="39" t="s">
        <v>938</v>
      </c>
      <c r="R1548" s="39" t="s">
        <v>957</v>
      </c>
      <c r="S1548" s="39" t="s">
        <v>939</v>
      </c>
      <c r="T1548" s="39" t="s">
        <v>741</v>
      </c>
      <c r="U1548" s="39" t="s">
        <v>938</v>
      </c>
      <c r="X1548" s="39" t="s">
        <v>958</v>
      </c>
      <c r="Y1548" s="39" t="s">
        <v>952</v>
      </c>
      <c r="Z1548" s="39" t="s">
        <v>828</v>
      </c>
      <c r="AB1548" s="39">
        <v>0.25</v>
      </c>
    </row>
    <row r="1549">
      <c r="A1549" s="39" t="s">
        <v>1806</v>
      </c>
      <c r="B1549" s="39" t="s">
        <v>1807</v>
      </c>
      <c r="C1549" s="39">
        <v>1.25</v>
      </c>
      <c r="D1549" s="41">
        <v>44181.46875</v>
      </c>
      <c r="E1549" s="39" t="s">
        <v>1153</v>
      </c>
      <c r="F1549" s="39" t="s">
        <v>1154</v>
      </c>
      <c r="G1549" s="39" t="s">
        <v>830</v>
      </c>
      <c r="H1549" s="39">
        <v>1220.0</v>
      </c>
      <c r="N1549" s="39" t="s">
        <v>1810</v>
      </c>
      <c r="R1549" s="39" t="s">
        <v>1811</v>
      </c>
      <c r="S1549" s="39" t="s">
        <v>833</v>
      </c>
      <c r="T1549" s="39" t="s">
        <v>1812</v>
      </c>
      <c r="U1549" s="39" t="s">
        <v>1810</v>
      </c>
      <c r="W1549" s="39" t="s">
        <v>125</v>
      </c>
      <c r="X1549" s="39" t="s">
        <v>1813</v>
      </c>
      <c r="Y1549" s="39" t="s">
        <v>1814</v>
      </c>
      <c r="Z1549" s="39" t="s">
        <v>872</v>
      </c>
      <c r="AB1549" s="39">
        <v>1.25</v>
      </c>
      <c r="AC1549" s="39">
        <v>0.0</v>
      </c>
      <c r="AD1549" s="39">
        <v>0.0</v>
      </c>
    </row>
    <row r="1550">
      <c r="A1550" s="39" t="s">
        <v>1646</v>
      </c>
      <c r="B1550" s="39" t="s">
        <v>1647</v>
      </c>
      <c r="C1550" s="39">
        <v>0.25</v>
      </c>
      <c r="D1550" s="41">
        <v>44181.541666666664</v>
      </c>
      <c r="E1550" s="39" t="s">
        <v>1600</v>
      </c>
      <c r="F1550" s="39" t="s">
        <v>1601</v>
      </c>
      <c r="G1550" s="39" t="s">
        <v>830</v>
      </c>
      <c r="H1550" s="39">
        <v>1220.0</v>
      </c>
      <c r="N1550" s="39" t="s">
        <v>883</v>
      </c>
      <c r="R1550" s="39" t="s">
        <v>1021</v>
      </c>
      <c r="S1550" s="39" t="s">
        <v>833</v>
      </c>
      <c r="T1550" s="39" t="s">
        <v>884</v>
      </c>
      <c r="U1550" s="39" t="s">
        <v>883</v>
      </c>
      <c r="X1550" s="39" t="s">
        <v>1718</v>
      </c>
      <c r="Z1550" s="39" t="s">
        <v>1649</v>
      </c>
      <c r="AB1550" s="39">
        <v>0.25</v>
      </c>
    </row>
    <row r="1551">
      <c r="A1551" s="39" t="s">
        <v>1277</v>
      </c>
      <c r="B1551" s="39" t="s">
        <v>1278</v>
      </c>
      <c r="C1551" s="39">
        <v>2.0</v>
      </c>
      <c r="D1551" s="41">
        <v>44182.333333333336</v>
      </c>
      <c r="E1551" s="39" t="s">
        <v>1059</v>
      </c>
      <c r="F1551" s="39" t="s">
        <v>1060</v>
      </c>
      <c r="G1551" s="39" t="s">
        <v>1050</v>
      </c>
      <c r="H1551" s="39">
        <v>1220.0</v>
      </c>
      <c r="N1551" s="39" t="s">
        <v>1051</v>
      </c>
      <c r="R1551" s="39" t="s">
        <v>832</v>
      </c>
      <c r="S1551" s="39" t="s">
        <v>1052</v>
      </c>
      <c r="T1551" s="39" t="s">
        <v>1053</v>
      </c>
      <c r="U1551" s="39" t="s">
        <v>1051</v>
      </c>
      <c r="X1551" s="39" t="s">
        <v>2137</v>
      </c>
      <c r="Y1551" s="39" t="s">
        <v>1131</v>
      </c>
      <c r="Z1551" s="39" t="s">
        <v>872</v>
      </c>
      <c r="AB1551" s="39">
        <v>2.0</v>
      </c>
    </row>
    <row r="1552">
      <c r="A1552" s="39" t="s">
        <v>2059</v>
      </c>
      <c r="B1552" s="39" t="s">
        <v>2060</v>
      </c>
      <c r="C1552" s="39">
        <v>5.0</v>
      </c>
      <c r="D1552" s="41">
        <v>44182.416666666664</v>
      </c>
      <c r="E1552" s="39" t="s">
        <v>1059</v>
      </c>
      <c r="F1552" s="39" t="s">
        <v>1060</v>
      </c>
      <c r="G1552" s="39" t="s">
        <v>1050</v>
      </c>
      <c r="H1552" s="39">
        <v>1220.0</v>
      </c>
      <c r="N1552" s="39" t="s">
        <v>1051</v>
      </c>
      <c r="R1552" s="39" t="s">
        <v>957</v>
      </c>
      <c r="S1552" s="39" t="s">
        <v>889</v>
      </c>
      <c r="T1552" s="39" t="s">
        <v>1053</v>
      </c>
      <c r="U1552" s="39" t="s">
        <v>1051</v>
      </c>
      <c r="X1552" s="39" t="s">
        <v>2138</v>
      </c>
      <c r="Y1552" s="39" t="s">
        <v>2051</v>
      </c>
      <c r="Z1552" s="39" t="s">
        <v>872</v>
      </c>
      <c r="AB1552" s="39">
        <v>5.0</v>
      </c>
    </row>
    <row r="1553">
      <c r="A1553" s="39" t="s">
        <v>2112</v>
      </c>
      <c r="B1553" s="39" t="s">
        <v>2113</v>
      </c>
      <c r="C1553" s="39">
        <v>3.0</v>
      </c>
      <c r="D1553" s="41">
        <v>44182.5</v>
      </c>
      <c r="E1553" s="39" t="s">
        <v>1048</v>
      </c>
      <c r="F1553" s="39" t="s">
        <v>1049</v>
      </c>
      <c r="G1553" s="39" t="s">
        <v>1050</v>
      </c>
      <c r="H1553" s="39">
        <v>1220.0</v>
      </c>
      <c r="N1553" s="39" t="s">
        <v>1051</v>
      </c>
      <c r="R1553" s="39" t="s">
        <v>832</v>
      </c>
      <c r="S1553" s="39" t="s">
        <v>889</v>
      </c>
      <c r="T1553" s="39" t="s">
        <v>1053</v>
      </c>
      <c r="U1553" s="39" t="s">
        <v>1051</v>
      </c>
      <c r="X1553" s="39" t="s">
        <v>2139</v>
      </c>
      <c r="Y1553" s="39" t="s">
        <v>1824</v>
      </c>
      <c r="Z1553" s="39" t="s">
        <v>872</v>
      </c>
      <c r="AB1553" s="39">
        <v>3.0</v>
      </c>
    </row>
    <row r="1554">
      <c r="A1554" s="39" t="s">
        <v>2140</v>
      </c>
      <c r="B1554" s="39" t="s">
        <v>2141</v>
      </c>
      <c r="C1554" s="39">
        <v>2.0</v>
      </c>
      <c r="D1554" s="41">
        <v>44183.333333333336</v>
      </c>
      <c r="E1554" s="39" t="s">
        <v>1048</v>
      </c>
      <c r="F1554" s="39" t="s">
        <v>1049</v>
      </c>
      <c r="G1554" s="39" t="s">
        <v>1050</v>
      </c>
      <c r="H1554" s="39">
        <v>1220.0</v>
      </c>
      <c r="N1554" s="39" t="s">
        <v>1051</v>
      </c>
      <c r="R1554" s="39" t="s">
        <v>832</v>
      </c>
      <c r="S1554" s="39" t="s">
        <v>889</v>
      </c>
      <c r="T1554" s="39" t="s">
        <v>1053</v>
      </c>
      <c r="U1554" s="39" t="s">
        <v>1051</v>
      </c>
      <c r="X1554" s="39" t="s">
        <v>2142</v>
      </c>
      <c r="Y1554" s="39" t="s">
        <v>1824</v>
      </c>
      <c r="Z1554" s="39" t="s">
        <v>872</v>
      </c>
      <c r="AB1554" s="39">
        <v>2.0</v>
      </c>
    </row>
    <row r="1555">
      <c r="A1555" s="39" t="s">
        <v>1991</v>
      </c>
      <c r="B1555" s="39" t="s">
        <v>1992</v>
      </c>
      <c r="C1555" s="39">
        <v>0.25</v>
      </c>
      <c r="D1555" s="41">
        <v>44183.489583333336</v>
      </c>
      <c r="E1555" s="39" t="s">
        <v>900</v>
      </c>
      <c r="F1555" s="39" t="s">
        <v>901</v>
      </c>
      <c r="G1555" s="39" t="s">
        <v>902</v>
      </c>
      <c r="H1555" s="39">
        <v>1220.0</v>
      </c>
      <c r="N1555" s="39" t="s">
        <v>883</v>
      </c>
      <c r="R1555" s="39" t="s">
        <v>1021</v>
      </c>
      <c r="S1555" s="39" t="s">
        <v>889</v>
      </c>
      <c r="T1555" s="39" t="s">
        <v>884</v>
      </c>
      <c r="U1555" s="39" t="s">
        <v>883</v>
      </c>
      <c r="W1555" s="39" t="s">
        <v>113</v>
      </c>
      <c r="X1555" s="39" t="s">
        <v>2119</v>
      </c>
      <c r="Z1555" s="39" t="s">
        <v>900</v>
      </c>
      <c r="AB1555" s="39">
        <v>0.25</v>
      </c>
    </row>
    <row r="1556">
      <c r="A1556" s="39" t="s">
        <v>1991</v>
      </c>
      <c r="B1556" s="39" t="s">
        <v>1992</v>
      </c>
      <c r="C1556" s="39">
        <v>1.5</v>
      </c>
      <c r="D1556" s="41">
        <v>44188.333333333336</v>
      </c>
      <c r="E1556" s="39" t="s">
        <v>1600</v>
      </c>
      <c r="F1556" s="39" t="s">
        <v>1601</v>
      </c>
      <c r="G1556" s="39" t="s">
        <v>830</v>
      </c>
      <c r="H1556" s="39">
        <v>1220.0</v>
      </c>
      <c r="N1556" s="39" t="s">
        <v>883</v>
      </c>
      <c r="R1556" s="39" t="s">
        <v>1021</v>
      </c>
      <c r="S1556" s="39" t="s">
        <v>889</v>
      </c>
      <c r="T1556" s="39" t="s">
        <v>884</v>
      </c>
      <c r="U1556" s="39" t="s">
        <v>883</v>
      </c>
      <c r="W1556" s="39" t="s">
        <v>113</v>
      </c>
      <c r="X1556" s="39" t="s">
        <v>2143</v>
      </c>
      <c r="Z1556" s="39" t="s">
        <v>900</v>
      </c>
      <c r="AB1556" s="39">
        <v>1.5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38.43"/>
  </cols>
  <sheetData>
    <row r="1">
      <c r="A1" s="39" t="s">
        <v>815</v>
      </c>
      <c r="B1" s="39" t="s">
        <v>2144</v>
      </c>
      <c r="C1" s="39" t="s">
        <v>2145</v>
      </c>
      <c r="D1" s="39" t="s">
        <v>2146</v>
      </c>
      <c r="E1" s="39" t="s">
        <v>2147</v>
      </c>
      <c r="F1" s="39" t="s">
        <v>2148</v>
      </c>
      <c r="G1" s="39" t="s">
        <v>2149</v>
      </c>
      <c r="H1" s="39" t="s">
        <v>2150</v>
      </c>
      <c r="I1" s="39" t="s">
        <v>74</v>
      </c>
      <c r="J1" s="39" t="s">
        <v>2151</v>
      </c>
      <c r="K1" s="39" t="s">
        <v>2152</v>
      </c>
      <c r="L1" s="39" t="s">
        <v>2153</v>
      </c>
      <c r="M1" s="39" t="s">
        <v>2154</v>
      </c>
      <c r="N1" s="39" t="s">
        <v>2155</v>
      </c>
      <c r="O1" s="39" t="s">
        <v>2156</v>
      </c>
      <c r="P1" s="39" t="s">
        <v>2157</v>
      </c>
      <c r="Q1" s="39" t="s">
        <v>2145</v>
      </c>
    </row>
    <row r="2">
      <c r="A2" s="39" t="s">
        <v>1584</v>
      </c>
      <c r="B2" s="39" t="s">
        <v>1581</v>
      </c>
      <c r="C2" s="39" t="s">
        <v>16</v>
      </c>
      <c r="D2" s="39">
        <v>63637.0</v>
      </c>
      <c r="F2" s="39" t="s">
        <v>1582</v>
      </c>
      <c r="G2" s="39" t="s">
        <v>724</v>
      </c>
      <c r="H2" s="39" t="s">
        <v>872</v>
      </c>
      <c r="I2" s="39" t="s">
        <v>724</v>
      </c>
      <c r="J2" s="39" t="s">
        <v>872</v>
      </c>
      <c r="K2" s="39" t="s">
        <v>2158</v>
      </c>
      <c r="L2" s="43">
        <v>44200.42986111111</v>
      </c>
      <c r="M2" s="39">
        <v>8520.0</v>
      </c>
      <c r="N2" s="44">
        <v>44096.80972222222</v>
      </c>
    </row>
    <row r="3">
      <c r="A3" s="39" t="s">
        <v>832</v>
      </c>
      <c r="B3" s="39" t="s">
        <v>2159</v>
      </c>
      <c r="C3" s="39" t="s">
        <v>16</v>
      </c>
      <c r="D3" s="39">
        <v>62607.0</v>
      </c>
      <c r="F3" s="39" t="s">
        <v>2160</v>
      </c>
      <c r="I3" s="39" t="s">
        <v>724</v>
      </c>
      <c r="J3" s="39" t="s">
        <v>872</v>
      </c>
      <c r="K3" s="39" t="s">
        <v>2161</v>
      </c>
      <c r="L3" s="43">
        <v>44200.42986111111</v>
      </c>
      <c r="N3" s="43">
        <v>44081.74652777778</v>
      </c>
    </row>
    <row r="4">
      <c r="A4" s="39" t="s">
        <v>832</v>
      </c>
      <c r="B4" s="39" t="s">
        <v>2162</v>
      </c>
      <c r="C4" s="39" t="s">
        <v>16</v>
      </c>
      <c r="D4" s="39">
        <v>57220.0</v>
      </c>
      <c r="F4" s="39" t="s">
        <v>2163</v>
      </c>
      <c r="I4" s="39" t="s">
        <v>724</v>
      </c>
      <c r="J4" s="39" t="s">
        <v>872</v>
      </c>
      <c r="K4" s="39" t="s">
        <v>2161</v>
      </c>
      <c r="L4" s="43">
        <v>44200.42986111111</v>
      </c>
      <c r="N4" s="43">
        <v>43930.700694444444</v>
      </c>
    </row>
    <row r="5">
      <c r="A5" s="39" t="s">
        <v>832</v>
      </c>
      <c r="B5" s="39" t="s">
        <v>2164</v>
      </c>
      <c r="C5" s="39" t="s">
        <v>16</v>
      </c>
      <c r="D5" s="39">
        <v>62608.0</v>
      </c>
      <c r="F5" s="39" t="s">
        <v>2165</v>
      </c>
      <c r="I5" s="39" t="s">
        <v>724</v>
      </c>
      <c r="J5" s="39" t="s">
        <v>872</v>
      </c>
      <c r="K5" s="39" t="s">
        <v>2161</v>
      </c>
      <c r="L5" s="43">
        <v>44200.42986111111</v>
      </c>
      <c r="N5" s="43">
        <v>44081.74652777778</v>
      </c>
    </row>
    <row r="6">
      <c r="A6" s="39" t="s">
        <v>72</v>
      </c>
      <c r="B6" s="39" t="s">
        <v>2166</v>
      </c>
      <c r="C6" s="39" t="s">
        <v>16</v>
      </c>
      <c r="D6" s="39">
        <v>61891.0</v>
      </c>
      <c r="F6" s="39" t="s">
        <v>2167</v>
      </c>
      <c r="I6" s="39" t="s">
        <v>724</v>
      </c>
      <c r="J6" s="39" t="s">
        <v>872</v>
      </c>
      <c r="K6" s="39" t="s">
        <v>2161</v>
      </c>
      <c r="L6" s="43">
        <v>44200.42986111111</v>
      </c>
      <c r="N6" s="43">
        <v>44051.87222222222</v>
      </c>
    </row>
    <row r="7">
      <c r="A7" s="39" t="s">
        <v>72</v>
      </c>
      <c r="B7" s="39" t="s">
        <v>2168</v>
      </c>
      <c r="C7" s="39" t="s">
        <v>16</v>
      </c>
      <c r="D7" s="39">
        <v>61890.0</v>
      </c>
      <c r="F7" s="39" t="s">
        <v>2169</v>
      </c>
      <c r="I7" s="39" t="s">
        <v>724</v>
      </c>
      <c r="J7" s="39" t="s">
        <v>872</v>
      </c>
      <c r="K7" s="39" t="s">
        <v>2161</v>
      </c>
      <c r="L7" s="43">
        <v>44200.42986111111</v>
      </c>
      <c r="N7" s="43">
        <v>44051.87152777778</v>
      </c>
    </row>
    <row r="8">
      <c r="A8" s="39" t="s">
        <v>832</v>
      </c>
      <c r="B8" s="39" t="s">
        <v>2170</v>
      </c>
      <c r="C8" s="39" t="s">
        <v>16</v>
      </c>
      <c r="D8" s="39">
        <v>62619.0</v>
      </c>
      <c r="F8" s="39" t="s">
        <v>2171</v>
      </c>
      <c r="I8" s="39" t="s">
        <v>724</v>
      </c>
      <c r="J8" s="39" t="s">
        <v>872</v>
      </c>
      <c r="K8" s="39" t="s">
        <v>2161</v>
      </c>
      <c r="L8" s="43">
        <v>44200.42986111111</v>
      </c>
      <c r="N8" s="43">
        <v>44081.74930555555</v>
      </c>
    </row>
    <row r="9">
      <c r="A9" s="39" t="s">
        <v>832</v>
      </c>
      <c r="B9" s="39" t="s">
        <v>1197</v>
      </c>
      <c r="C9" s="39" t="s">
        <v>16</v>
      </c>
      <c r="D9" s="39">
        <v>60913.0</v>
      </c>
      <c r="F9" s="39" t="s">
        <v>1198</v>
      </c>
      <c r="G9" s="39" t="s">
        <v>829</v>
      </c>
      <c r="H9" s="39" t="s">
        <v>828</v>
      </c>
      <c r="I9" s="39" t="s">
        <v>724</v>
      </c>
      <c r="J9" s="39" t="s">
        <v>872</v>
      </c>
      <c r="K9" s="39" t="s">
        <v>2158</v>
      </c>
      <c r="L9" s="43">
        <v>44200.42986111111</v>
      </c>
      <c r="M9" s="39">
        <v>3360.0</v>
      </c>
      <c r="N9" s="44">
        <v>44026.569444444445</v>
      </c>
    </row>
    <row r="10">
      <c r="A10" s="39" t="s">
        <v>832</v>
      </c>
      <c r="B10" s="39" t="s">
        <v>2172</v>
      </c>
      <c r="C10" s="39" t="s">
        <v>16</v>
      </c>
      <c r="D10" s="39">
        <v>62616.0</v>
      </c>
      <c r="F10" s="39" t="s">
        <v>2173</v>
      </c>
      <c r="I10" s="39" t="s">
        <v>724</v>
      </c>
      <c r="J10" s="39" t="s">
        <v>872</v>
      </c>
      <c r="K10" s="39" t="s">
        <v>2161</v>
      </c>
      <c r="L10" s="43">
        <v>44200.42986111111</v>
      </c>
      <c r="N10" s="43">
        <v>44081.74930555555</v>
      </c>
    </row>
    <row r="11">
      <c r="A11" s="39" t="s">
        <v>72</v>
      </c>
      <c r="B11" s="39" t="s">
        <v>2174</v>
      </c>
      <c r="C11" s="39" t="s">
        <v>16</v>
      </c>
      <c r="D11" s="39">
        <v>61888.0</v>
      </c>
      <c r="F11" s="39" t="s">
        <v>2175</v>
      </c>
      <c r="I11" s="39" t="s">
        <v>724</v>
      </c>
      <c r="J11" s="39" t="s">
        <v>872</v>
      </c>
      <c r="K11" s="39" t="s">
        <v>2161</v>
      </c>
      <c r="L11" s="43">
        <v>44200.42986111111</v>
      </c>
      <c r="N11" s="43">
        <v>44051.87013888889</v>
      </c>
    </row>
    <row r="12">
      <c r="A12" s="39" t="s">
        <v>832</v>
      </c>
      <c r="B12" s="39" t="s">
        <v>2176</v>
      </c>
      <c r="C12" s="39" t="s">
        <v>16</v>
      </c>
      <c r="D12" s="39">
        <v>62615.0</v>
      </c>
      <c r="F12" s="39" t="s">
        <v>2177</v>
      </c>
      <c r="I12" s="39" t="s">
        <v>724</v>
      </c>
      <c r="J12" s="39" t="s">
        <v>872</v>
      </c>
      <c r="K12" s="39" t="s">
        <v>2161</v>
      </c>
      <c r="L12" s="43">
        <v>44200.42986111111</v>
      </c>
      <c r="N12" s="43">
        <v>44081.74930555555</v>
      </c>
    </row>
    <row r="13">
      <c r="A13" s="39" t="s">
        <v>832</v>
      </c>
      <c r="B13" s="39" t="s">
        <v>2178</v>
      </c>
      <c r="C13" s="39" t="s">
        <v>16</v>
      </c>
      <c r="D13" s="39">
        <v>61889.0</v>
      </c>
      <c r="F13" s="39" t="s">
        <v>2179</v>
      </c>
      <c r="I13" s="39" t="s">
        <v>724</v>
      </c>
      <c r="J13" s="39" t="s">
        <v>872</v>
      </c>
      <c r="K13" s="39" t="s">
        <v>2161</v>
      </c>
      <c r="L13" s="43">
        <v>44200.42986111111</v>
      </c>
      <c r="N13" s="43">
        <v>44051.870833333334</v>
      </c>
    </row>
    <row r="14">
      <c r="A14" s="39" t="s">
        <v>832</v>
      </c>
      <c r="B14" s="39" t="s">
        <v>2180</v>
      </c>
      <c r="C14" s="39" t="s">
        <v>16</v>
      </c>
      <c r="D14" s="39">
        <v>62612.0</v>
      </c>
      <c r="F14" s="39" t="s">
        <v>2181</v>
      </c>
      <c r="I14" s="39" t="s">
        <v>724</v>
      </c>
      <c r="J14" s="39" t="s">
        <v>872</v>
      </c>
      <c r="K14" s="39" t="s">
        <v>2161</v>
      </c>
      <c r="L14" s="43">
        <v>44200.42986111111</v>
      </c>
      <c r="N14" s="43">
        <v>44081.74930555555</v>
      </c>
    </row>
    <row r="15">
      <c r="A15" s="39" t="s">
        <v>832</v>
      </c>
      <c r="B15" s="39" t="s">
        <v>2182</v>
      </c>
      <c r="C15" s="39" t="s">
        <v>16</v>
      </c>
      <c r="D15" s="39">
        <v>62613.0</v>
      </c>
      <c r="F15" s="39" t="s">
        <v>2183</v>
      </c>
      <c r="I15" s="39" t="s">
        <v>724</v>
      </c>
      <c r="J15" s="39" t="s">
        <v>872</v>
      </c>
      <c r="K15" s="39" t="s">
        <v>2161</v>
      </c>
      <c r="L15" s="43">
        <v>44200.42986111111</v>
      </c>
      <c r="N15" s="43">
        <v>44081.74930555555</v>
      </c>
    </row>
    <row r="16">
      <c r="A16" s="39" t="s">
        <v>832</v>
      </c>
      <c r="B16" s="39" t="s">
        <v>2184</v>
      </c>
      <c r="C16" s="39" t="s">
        <v>16</v>
      </c>
      <c r="D16" s="39">
        <v>62610.0</v>
      </c>
      <c r="F16" s="39" t="s">
        <v>2185</v>
      </c>
      <c r="I16" s="39" t="s">
        <v>724</v>
      </c>
      <c r="J16" s="39" t="s">
        <v>872</v>
      </c>
      <c r="K16" s="39" t="s">
        <v>2161</v>
      </c>
      <c r="L16" s="43">
        <v>44200.42986111111</v>
      </c>
      <c r="N16" s="43">
        <v>44081.74722222222</v>
      </c>
    </row>
    <row r="17">
      <c r="A17" s="39" t="s">
        <v>72</v>
      </c>
      <c r="B17" s="39" t="s">
        <v>2186</v>
      </c>
      <c r="C17" s="39" t="s">
        <v>16</v>
      </c>
      <c r="D17" s="39">
        <v>61462.0</v>
      </c>
      <c r="F17" s="39" t="s">
        <v>2187</v>
      </c>
      <c r="I17" s="39" t="s">
        <v>724</v>
      </c>
      <c r="J17" s="39" t="s">
        <v>872</v>
      </c>
      <c r="K17" s="39" t="s">
        <v>2161</v>
      </c>
      <c r="L17" s="43">
        <v>44200.42986111111</v>
      </c>
      <c r="N17" s="44">
        <v>44040.589583333334</v>
      </c>
    </row>
    <row r="18">
      <c r="A18" s="39" t="s">
        <v>832</v>
      </c>
      <c r="B18" s="39" t="s">
        <v>1225</v>
      </c>
      <c r="C18" s="39" t="s">
        <v>16</v>
      </c>
      <c r="D18" s="39">
        <v>60792.0</v>
      </c>
      <c r="F18" s="39" t="s">
        <v>1226</v>
      </c>
      <c r="G18" s="39" t="s">
        <v>829</v>
      </c>
      <c r="H18" s="39" t="s">
        <v>828</v>
      </c>
      <c r="I18" s="39" t="s">
        <v>724</v>
      </c>
      <c r="J18" s="39" t="s">
        <v>872</v>
      </c>
      <c r="K18" s="39" t="s">
        <v>2161</v>
      </c>
      <c r="L18" s="43">
        <v>44200.42986111111</v>
      </c>
      <c r="M18" s="39">
        <v>780.0</v>
      </c>
      <c r="N18" s="43">
        <v>44021.525</v>
      </c>
    </row>
    <row r="19">
      <c r="A19" s="39" t="s">
        <v>72</v>
      </c>
      <c r="B19" s="39" t="s">
        <v>1188</v>
      </c>
      <c r="C19" s="39" t="s">
        <v>16</v>
      </c>
      <c r="D19" s="39">
        <v>60791.0</v>
      </c>
      <c r="F19" s="39" t="s">
        <v>1794</v>
      </c>
      <c r="G19" s="39" t="s">
        <v>724</v>
      </c>
      <c r="H19" s="39" t="s">
        <v>872</v>
      </c>
      <c r="I19" s="39" t="s">
        <v>724</v>
      </c>
      <c r="J19" s="39" t="s">
        <v>872</v>
      </c>
      <c r="K19" s="39" t="s">
        <v>2188</v>
      </c>
      <c r="L19" s="43">
        <v>44200.42986111111</v>
      </c>
      <c r="M19" s="39">
        <v>40560.0</v>
      </c>
      <c r="N19" s="43">
        <v>44021.52291666667</v>
      </c>
    </row>
    <row r="20">
      <c r="A20" s="39" t="s">
        <v>832</v>
      </c>
      <c r="B20" s="39" t="s">
        <v>1183</v>
      </c>
      <c r="C20" s="39" t="s">
        <v>16</v>
      </c>
      <c r="D20" s="39">
        <v>60790.0</v>
      </c>
      <c r="F20" s="39" t="s">
        <v>1184</v>
      </c>
      <c r="G20" s="39" t="s">
        <v>829</v>
      </c>
      <c r="H20" s="39" t="s">
        <v>828</v>
      </c>
      <c r="I20" s="39" t="s">
        <v>724</v>
      </c>
      <c r="J20" s="39" t="s">
        <v>872</v>
      </c>
      <c r="K20" s="39" t="s">
        <v>2188</v>
      </c>
      <c r="L20" s="43">
        <v>44200.42986111111</v>
      </c>
      <c r="M20" s="39">
        <v>31920.0</v>
      </c>
      <c r="N20" s="43">
        <v>44021.521527777775</v>
      </c>
    </row>
    <row r="21">
      <c r="A21" s="39" t="s">
        <v>72</v>
      </c>
      <c r="B21" s="39" t="s">
        <v>2189</v>
      </c>
      <c r="C21" s="39" t="s">
        <v>16</v>
      </c>
      <c r="D21" s="39">
        <v>61461.0</v>
      </c>
      <c r="F21" s="39" t="s">
        <v>2190</v>
      </c>
      <c r="I21" s="39" t="s">
        <v>724</v>
      </c>
      <c r="J21" s="39" t="s">
        <v>872</v>
      </c>
      <c r="K21" s="39" t="s">
        <v>2161</v>
      </c>
      <c r="L21" s="43">
        <v>44200.42986111111</v>
      </c>
      <c r="N21" s="44">
        <v>44040.58888888889</v>
      </c>
    </row>
    <row r="22">
      <c r="A22" s="39" t="s">
        <v>832</v>
      </c>
      <c r="B22" s="39" t="s">
        <v>2191</v>
      </c>
      <c r="C22" s="39" t="s">
        <v>16</v>
      </c>
      <c r="D22" s="39">
        <v>60828.0</v>
      </c>
      <c r="F22" s="39" t="s">
        <v>2192</v>
      </c>
      <c r="G22" s="39" t="s">
        <v>724</v>
      </c>
      <c r="H22" s="39" t="s">
        <v>872</v>
      </c>
      <c r="I22" s="39" t="s">
        <v>724</v>
      </c>
      <c r="J22" s="39" t="s">
        <v>872</v>
      </c>
      <c r="K22" s="39" t="s">
        <v>2161</v>
      </c>
      <c r="L22" s="43">
        <v>44200.42986111111</v>
      </c>
      <c r="N22" s="44">
        <v>44025.50486111111</v>
      </c>
    </row>
    <row r="23">
      <c r="A23" s="39" t="s">
        <v>832</v>
      </c>
      <c r="B23" s="39" t="s">
        <v>2193</v>
      </c>
      <c r="C23" s="39" t="s">
        <v>16</v>
      </c>
      <c r="D23" s="39">
        <v>62609.0</v>
      </c>
      <c r="F23" s="39" t="s">
        <v>2194</v>
      </c>
      <c r="I23" s="39" t="s">
        <v>724</v>
      </c>
      <c r="J23" s="39" t="s">
        <v>872</v>
      </c>
      <c r="K23" s="39" t="s">
        <v>2161</v>
      </c>
      <c r="L23" s="43">
        <v>44200.42986111111</v>
      </c>
      <c r="N23" s="43">
        <v>44081.74722222222</v>
      </c>
    </row>
    <row r="24">
      <c r="A24" s="39" t="s">
        <v>832</v>
      </c>
      <c r="B24" s="39" t="s">
        <v>2195</v>
      </c>
      <c r="C24" s="39" t="s">
        <v>19</v>
      </c>
      <c r="D24" s="39">
        <v>61837.0</v>
      </c>
      <c r="F24" s="39" t="s">
        <v>2196</v>
      </c>
      <c r="G24" s="39" t="s">
        <v>2197</v>
      </c>
      <c r="H24" s="39" t="s">
        <v>2198</v>
      </c>
      <c r="I24" s="39" t="s">
        <v>724</v>
      </c>
      <c r="J24" s="39" t="s">
        <v>872</v>
      </c>
      <c r="K24" s="39" t="s">
        <v>2199</v>
      </c>
      <c r="L24" s="43">
        <v>44200.42986111111</v>
      </c>
      <c r="N24" s="43">
        <v>44045.48125</v>
      </c>
    </row>
    <row r="25">
      <c r="A25" s="39" t="s">
        <v>832</v>
      </c>
      <c r="B25" s="39" t="s">
        <v>2200</v>
      </c>
      <c r="C25" s="39" t="s">
        <v>19</v>
      </c>
      <c r="D25" s="39">
        <v>61838.0</v>
      </c>
      <c r="F25" s="39" t="s">
        <v>2201</v>
      </c>
      <c r="G25" s="39" t="s">
        <v>2197</v>
      </c>
      <c r="H25" s="39" t="s">
        <v>2198</v>
      </c>
      <c r="I25" s="39" t="s">
        <v>724</v>
      </c>
      <c r="J25" s="39" t="s">
        <v>872</v>
      </c>
      <c r="K25" s="39" t="s">
        <v>2199</v>
      </c>
      <c r="L25" s="43">
        <v>44200.42986111111</v>
      </c>
      <c r="N25" s="43">
        <v>44045.51388888889</v>
      </c>
    </row>
    <row r="26">
      <c r="A26" s="39" t="s">
        <v>957</v>
      </c>
      <c r="B26" s="39" t="s">
        <v>2202</v>
      </c>
      <c r="C26" s="39" t="s">
        <v>19</v>
      </c>
      <c r="D26" s="39">
        <v>60868.0</v>
      </c>
      <c r="F26" s="39" t="s">
        <v>2203</v>
      </c>
      <c r="G26" s="39" t="s">
        <v>724</v>
      </c>
      <c r="H26" s="39" t="s">
        <v>872</v>
      </c>
      <c r="I26" s="39" t="s">
        <v>1060</v>
      </c>
      <c r="J26" s="39" t="s">
        <v>1059</v>
      </c>
      <c r="K26" s="39" t="s">
        <v>2158</v>
      </c>
      <c r="L26" s="43">
        <v>44200.42986111111</v>
      </c>
      <c r="N26" s="44">
        <v>44026.53888888889</v>
      </c>
    </row>
    <row r="27">
      <c r="A27" s="39" t="s">
        <v>957</v>
      </c>
      <c r="B27" s="39" t="s">
        <v>2204</v>
      </c>
      <c r="C27" s="39" t="s">
        <v>19</v>
      </c>
      <c r="D27" s="39">
        <v>60989.0</v>
      </c>
      <c r="F27" s="39" t="s">
        <v>2205</v>
      </c>
      <c r="G27" s="39" t="s">
        <v>1060</v>
      </c>
      <c r="H27" s="39" t="s">
        <v>1059</v>
      </c>
      <c r="I27" s="39" t="s">
        <v>1060</v>
      </c>
      <c r="J27" s="39" t="s">
        <v>1059</v>
      </c>
      <c r="K27" s="39" t="s">
        <v>2158</v>
      </c>
      <c r="L27" s="43">
        <v>44200.42986111111</v>
      </c>
      <c r="N27" s="44">
        <v>44029.532638888886</v>
      </c>
    </row>
    <row r="28">
      <c r="A28" s="39" t="s">
        <v>832</v>
      </c>
      <c r="B28" s="39" t="s">
        <v>2206</v>
      </c>
      <c r="C28" s="39" t="s">
        <v>19</v>
      </c>
      <c r="D28" s="39">
        <v>61835.0</v>
      </c>
      <c r="F28" s="39" t="s">
        <v>2207</v>
      </c>
      <c r="G28" s="39" t="s">
        <v>2197</v>
      </c>
      <c r="H28" s="39" t="s">
        <v>2198</v>
      </c>
      <c r="I28" s="39" t="s">
        <v>724</v>
      </c>
      <c r="J28" s="39" t="s">
        <v>872</v>
      </c>
      <c r="K28" s="39" t="s">
        <v>2199</v>
      </c>
      <c r="L28" s="43">
        <v>44200.42986111111</v>
      </c>
      <c r="N28" s="43">
        <v>44045.47986111111</v>
      </c>
    </row>
    <row r="29">
      <c r="A29" s="39" t="s">
        <v>832</v>
      </c>
      <c r="B29" s="39" t="s">
        <v>1132</v>
      </c>
      <c r="C29" s="39" t="s">
        <v>19</v>
      </c>
      <c r="D29" s="39">
        <v>60505.0</v>
      </c>
      <c r="F29" s="39" t="s">
        <v>1133</v>
      </c>
      <c r="G29" s="39" t="s">
        <v>724</v>
      </c>
      <c r="H29" s="39" t="s">
        <v>872</v>
      </c>
      <c r="I29" s="39" t="s">
        <v>724</v>
      </c>
      <c r="J29" s="39" t="s">
        <v>872</v>
      </c>
      <c r="K29" s="39" t="s">
        <v>2188</v>
      </c>
      <c r="L29" s="43">
        <v>44200.42986111111</v>
      </c>
      <c r="M29" s="39">
        <v>212400.0</v>
      </c>
      <c r="N29" s="44">
        <v>44005.75625</v>
      </c>
    </row>
    <row r="30">
      <c r="A30" s="39" t="s">
        <v>957</v>
      </c>
      <c r="B30" s="39" t="s">
        <v>2208</v>
      </c>
      <c r="C30" s="39" t="s">
        <v>19</v>
      </c>
      <c r="D30" s="39">
        <v>60867.0</v>
      </c>
      <c r="F30" s="39" t="s">
        <v>2209</v>
      </c>
      <c r="I30" s="39" t="s">
        <v>1060</v>
      </c>
      <c r="J30" s="39" t="s">
        <v>1059</v>
      </c>
      <c r="K30" s="39" t="s">
        <v>2158</v>
      </c>
      <c r="L30" s="43">
        <v>44200.42986111111</v>
      </c>
      <c r="N30" s="44">
        <v>44026.53472222222</v>
      </c>
    </row>
    <row r="31">
      <c r="A31" s="39" t="s">
        <v>957</v>
      </c>
      <c r="B31" s="39" t="s">
        <v>2210</v>
      </c>
      <c r="C31" s="39" t="s">
        <v>19</v>
      </c>
      <c r="D31" s="39">
        <v>60988.0</v>
      </c>
      <c r="F31" s="39" t="s">
        <v>2211</v>
      </c>
      <c r="G31" s="39" t="s">
        <v>1060</v>
      </c>
      <c r="H31" s="39" t="s">
        <v>1059</v>
      </c>
      <c r="I31" s="39" t="s">
        <v>1060</v>
      </c>
      <c r="J31" s="39" t="s">
        <v>1059</v>
      </c>
      <c r="K31" s="39" t="s">
        <v>2158</v>
      </c>
      <c r="L31" s="43">
        <v>44200.42986111111</v>
      </c>
      <c r="N31" s="44">
        <v>44029.52638888889</v>
      </c>
    </row>
    <row r="32">
      <c r="A32" s="39" t="s">
        <v>832</v>
      </c>
      <c r="B32" s="39" t="s">
        <v>1124</v>
      </c>
      <c r="C32" s="39" t="s">
        <v>19</v>
      </c>
      <c r="D32" s="39">
        <v>60504.0</v>
      </c>
      <c r="F32" s="39" t="s">
        <v>1125</v>
      </c>
      <c r="G32" s="39" t="s">
        <v>724</v>
      </c>
      <c r="H32" s="39" t="s">
        <v>872</v>
      </c>
      <c r="I32" s="39" t="s">
        <v>724</v>
      </c>
      <c r="J32" s="39" t="s">
        <v>872</v>
      </c>
      <c r="K32" s="39" t="s">
        <v>2188</v>
      </c>
      <c r="L32" s="43">
        <v>44200.42986111111</v>
      </c>
      <c r="M32" s="39">
        <v>219600.0</v>
      </c>
      <c r="N32" s="44">
        <v>44005.75625</v>
      </c>
    </row>
    <row r="33">
      <c r="A33" s="39" t="s">
        <v>832</v>
      </c>
      <c r="B33" s="39" t="s">
        <v>2212</v>
      </c>
      <c r="C33" s="39" t="s">
        <v>19</v>
      </c>
      <c r="D33" s="39">
        <v>61836.0</v>
      </c>
      <c r="F33" s="39" t="s">
        <v>2213</v>
      </c>
      <c r="G33" s="39" t="s">
        <v>2197</v>
      </c>
      <c r="H33" s="39" t="s">
        <v>2198</v>
      </c>
      <c r="I33" s="39" t="s">
        <v>724</v>
      </c>
      <c r="J33" s="39" t="s">
        <v>872</v>
      </c>
      <c r="K33" s="39" t="s">
        <v>2199</v>
      </c>
      <c r="L33" s="43">
        <v>44200.42986111111</v>
      </c>
      <c r="N33" s="43">
        <v>44045.47986111111</v>
      </c>
    </row>
    <row r="34">
      <c r="A34" s="39" t="s">
        <v>832</v>
      </c>
      <c r="B34" s="39" t="s">
        <v>1211</v>
      </c>
      <c r="C34" s="39" t="s">
        <v>19</v>
      </c>
      <c r="D34" s="39">
        <v>60987.0</v>
      </c>
      <c r="F34" s="39" t="s">
        <v>1222</v>
      </c>
      <c r="G34" s="39" t="s">
        <v>724</v>
      </c>
      <c r="H34" s="39" t="s">
        <v>872</v>
      </c>
      <c r="I34" s="39" t="s">
        <v>724</v>
      </c>
      <c r="J34" s="39" t="s">
        <v>872</v>
      </c>
      <c r="K34" s="39" t="s">
        <v>2158</v>
      </c>
      <c r="L34" s="43">
        <v>44200.42986111111</v>
      </c>
      <c r="M34" s="39">
        <v>100800.0</v>
      </c>
      <c r="N34" s="44">
        <v>44029.40277777778</v>
      </c>
    </row>
    <row r="35">
      <c r="A35" s="39" t="s">
        <v>957</v>
      </c>
      <c r="B35" s="39" t="s">
        <v>2214</v>
      </c>
      <c r="C35" s="39" t="s">
        <v>19</v>
      </c>
      <c r="D35" s="39">
        <v>60865.0</v>
      </c>
      <c r="F35" s="39" t="s">
        <v>2215</v>
      </c>
      <c r="I35" s="39" t="s">
        <v>1060</v>
      </c>
      <c r="J35" s="39" t="s">
        <v>1059</v>
      </c>
      <c r="K35" s="39" t="s">
        <v>2158</v>
      </c>
      <c r="L35" s="43">
        <v>44200.42986111111</v>
      </c>
      <c r="N35" s="44">
        <v>44026.53333333333</v>
      </c>
    </row>
    <row r="36">
      <c r="A36" s="39" t="s">
        <v>957</v>
      </c>
      <c r="B36" s="39" t="s">
        <v>1208</v>
      </c>
      <c r="C36" s="39" t="s">
        <v>19</v>
      </c>
      <c r="D36" s="39">
        <v>60986.0</v>
      </c>
      <c r="F36" s="39" t="s">
        <v>1209</v>
      </c>
      <c r="G36" s="39" t="s">
        <v>724</v>
      </c>
      <c r="H36" s="39" t="s">
        <v>872</v>
      </c>
      <c r="I36" s="39" t="s">
        <v>724</v>
      </c>
      <c r="J36" s="39" t="s">
        <v>872</v>
      </c>
      <c r="K36" s="39" t="s">
        <v>2158</v>
      </c>
      <c r="L36" s="43">
        <v>44200.42986111111</v>
      </c>
      <c r="M36" s="39">
        <v>25200.0</v>
      </c>
      <c r="N36" s="44">
        <v>44029.40069444444</v>
      </c>
    </row>
    <row r="37">
      <c r="A37" s="39" t="s">
        <v>72</v>
      </c>
      <c r="B37" s="39" t="s">
        <v>1386</v>
      </c>
      <c r="C37" s="39" t="s">
        <v>19</v>
      </c>
      <c r="D37" s="39">
        <v>60501.0</v>
      </c>
      <c r="F37" s="39" t="s">
        <v>1403</v>
      </c>
      <c r="G37" s="39" t="s">
        <v>724</v>
      </c>
      <c r="H37" s="39" t="s">
        <v>872</v>
      </c>
      <c r="I37" s="39" t="s">
        <v>724</v>
      </c>
      <c r="J37" s="39" t="s">
        <v>872</v>
      </c>
      <c r="K37" s="39" t="s">
        <v>2161</v>
      </c>
      <c r="L37" s="43">
        <v>44200.42986111111</v>
      </c>
      <c r="M37" s="39">
        <v>188100.0</v>
      </c>
      <c r="N37" s="44">
        <v>44005.66805555556</v>
      </c>
    </row>
    <row r="38">
      <c r="A38" s="39" t="s">
        <v>957</v>
      </c>
      <c r="B38" s="39" t="s">
        <v>2216</v>
      </c>
      <c r="C38" s="39" t="s">
        <v>19</v>
      </c>
      <c r="D38" s="39">
        <v>60864.0</v>
      </c>
      <c r="F38" s="39" t="s">
        <v>2217</v>
      </c>
      <c r="I38" s="39" t="s">
        <v>1060</v>
      </c>
      <c r="J38" s="39" t="s">
        <v>1059</v>
      </c>
      <c r="K38" s="39" t="s">
        <v>2158</v>
      </c>
      <c r="L38" s="43">
        <v>44200.42986111111</v>
      </c>
      <c r="N38" s="44">
        <v>44026.524305555555</v>
      </c>
    </row>
    <row r="39">
      <c r="A39" s="39" t="s">
        <v>957</v>
      </c>
      <c r="B39" s="39" t="s">
        <v>2218</v>
      </c>
      <c r="C39" s="39" t="s">
        <v>19</v>
      </c>
      <c r="D39" s="39">
        <v>60984.0</v>
      </c>
      <c r="F39" s="39" t="s">
        <v>2219</v>
      </c>
      <c r="G39" s="39" t="s">
        <v>724</v>
      </c>
      <c r="H39" s="39" t="s">
        <v>872</v>
      </c>
      <c r="I39" s="39" t="s">
        <v>1049</v>
      </c>
      <c r="J39" s="39" t="s">
        <v>1048</v>
      </c>
      <c r="K39" s="39" t="s">
        <v>2158</v>
      </c>
      <c r="L39" s="43">
        <v>44200.42986111111</v>
      </c>
      <c r="N39" s="44">
        <v>44028.6875</v>
      </c>
    </row>
    <row r="40">
      <c r="A40" s="39" t="s">
        <v>957</v>
      </c>
      <c r="B40" s="39" t="s">
        <v>2220</v>
      </c>
      <c r="C40" s="39" t="s">
        <v>19</v>
      </c>
      <c r="D40" s="39">
        <v>60863.0</v>
      </c>
      <c r="F40" s="39" t="s">
        <v>2221</v>
      </c>
      <c r="I40" s="39" t="s">
        <v>1060</v>
      </c>
      <c r="J40" s="39" t="s">
        <v>1059</v>
      </c>
      <c r="K40" s="39" t="s">
        <v>2158</v>
      </c>
      <c r="L40" s="43">
        <v>44200.42986111111</v>
      </c>
      <c r="N40" s="44">
        <v>44026.518055555556</v>
      </c>
    </row>
    <row r="41">
      <c r="A41" s="39" t="s">
        <v>72</v>
      </c>
      <c r="B41" s="39" t="s">
        <v>1127</v>
      </c>
      <c r="C41" s="39" t="s">
        <v>19</v>
      </c>
      <c r="D41" s="39">
        <v>60500.0</v>
      </c>
      <c r="F41" s="39" t="s">
        <v>1254</v>
      </c>
      <c r="G41" s="39" t="s">
        <v>724</v>
      </c>
      <c r="H41" s="39" t="s">
        <v>872</v>
      </c>
      <c r="I41" s="39" t="s">
        <v>724</v>
      </c>
      <c r="J41" s="39" t="s">
        <v>872</v>
      </c>
      <c r="K41" s="39" t="s">
        <v>2161</v>
      </c>
      <c r="L41" s="43">
        <v>44200.42986111111</v>
      </c>
      <c r="M41" s="39">
        <v>789300.0</v>
      </c>
      <c r="N41" s="44">
        <v>44005.66805555556</v>
      </c>
    </row>
    <row r="42">
      <c r="A42" s="39" t="s">
        <v>957</v>
      </c>
      <c r="B42" s="39" t="s">
        <v>2222</v>
      </c>
      <c r="C42" s="39" t="s">
        <v>19</v>
      </c>
      <c r="D42" s="39">
        <v>60983.0</v>
      </c>
      <c r="F42" s="39" t="s">
        <v>2223</v>
      </c>
      <c r="G42" s="39" t="s">
        <v>724</v>
      </c>
      <c r="H42" s="39" t="s">
        <v>872</v>
      </c>
      <c r="I42" s="39" t="s">
        <v>1049</v>
      </c>
      <c r="J42" s="39" t="s">
        <v>1048</v>
      </c>
      <c r="K42" s="39" t="s">
        <v>2188</v>
      </c>
      <c r="L42" s="43">
        <v>44200.42986111111</v>
      </c>
      <c r="N42" s="44">
        <v>44028.68680555555</v>
      </c>
    </row>
    <row r="43">
      <c r="A43" s="39" t="s">
        <v>957</v>
      </c>
      <c r="B43" s="39" t="s">
        <v>2224</v>
      </c>
      <c r="C43" s="39" t="s">
        <v>19</v>
      </c>
      <c r="D43" s="39">
        <v>60862.0</v>
      </c>
      <c r="F43" s="39" t="s">
        <v>2225</v>
      </c>
      <c r="G43" s="39" t="s">
        <v>1060</v>
      </c>
      <c r="H43" s="39" t="s">
        <v>1059</v>
      </c>
      <c r="I43" s="39" t="s">
        <v>1060</v>
      </c>
      <c r="J43" s="39" t="s">
        <v>1059</v>
      </c>
      <c r="K43" s="39" t="s">
        <v>2158</v>
      </c>
      <c r="L43" s="43">
        <v>44200.42986111111</v>
      </c>
      <c r="N43" s="44">
        <v>44026.51597222222</v>
      </c>
    </row>
    <row r="44">
      <c r="A44" s="39" t="s">
        <v>957</v>
      </c>
      <c r="B44" s="39" t="s">
        <v>2226</v>
      </c>
      <c r="C44" s="39" t="s">
        <v>19</v>
      </c>
      <c r="D44" s="39">
        <v>60861.0</v>
      </c>
      <c r="F44" s="39" t="s">
        <v>2227</v>
      </c>
      <c r="G44" s="39" t="s">
        <v>1060</v>
      </c>
      <c r="H44" s="39" t="s">
        <v>1059</v>
      </c>
      <c r="I44" s="39" t="s">
        <v>1060</v>
      </c>
      <c r="J44" s="39" t="s">
        <v>1059</v>
      </c>
      <c r="K44" s="39" t="s">
        <v>2158</v>
      </c>
      <c r="L44" s="43">
        <v>44200.42986111111</v>
      </c>
      <c r="N44" s="44">
        <v>44026.509722222225</v>
      </c>
    </row>
    <row r="45">
      <c r="A45" s="39" t="s">
        <v>957</v>
      </c>
      <c r="B45" s="39" t="s">
        <v>2228</v>
      </c>
      <c r="C45" s="39" t="s">
        <v>19</v>
      </c>
      <c r="D45" s="39">
        <v>60982.0</v>
      </c>
      <c r="F45" s="39" t="s">
        <v>2223</v>
      </c>
      <c r="G45" s="39" t="s">
        <v>1049</v>
      </c>
      <c r="H45" s="39" t="s">
        <v>1048</v>
      </c>
      <c r="I45" s="39" t="s">
        <v>1049</v>
      </c>
      <c r="J45" s="39" t="s">
        <v>1048</v>
      </c>
      <c r="K45" s="39" t="s">
        <v>2188</v>
      </c>
      <c r="L45" s="43">
        <v>44200.42986111111</v>
      </c>
      <c r="N45" s="44">
        <v>44028.68680555555</v>
      </c>
    </row>
    <row r="46">
      <c r="A46" s="39" t="s">
        <v>957</v>
      </c>
      <c r="B46" s="39" t="s">
        <v>2229</v>
      </c>
      <c r="C46" s="39" t="s">
        <v>19</v>
      </c>
      <c r="D46" s="39">
        <v>60981.0</v>
      </c>
      <c r="F46" s="39" t="s">
        <v>2230</v>
      </c>
      <c r="I46" s="39" t="s">
        <v>1049</v>
      </c>
      <c r="J46" s="39" t="s">
        <v>1048</v>
      </c>
      <c r="K46" s="39" t="s">
        <v>2158</v>
      </c>
      <c r="L46" s="43">
        <v>44200.42986111111</v>
      </c>
      <c r="N46" s="44">
        <v>44028.68472222222</v>
      </c>
    </row>
    <row r="47">
      <c r="A47" s="39" t="s">
        <v>957</v>
      </c>
      <c r="B47" s="39" t="s">
        <v>2231</v>
      </c>
      <c r="C47" s="39" t="s">
        <v>19</v>
      </c>
      <c r="D47" s="39">
        <v>60860.0</v>
      </c>
      <c r="F47" s="39" t="s">
        <v>2232</v>
      </c>
      <c r="G47" s="39" t="s">
        <v>1060</v>
      </c>
      <c r="H47" s="39" t="s">
        <v>1059</v>
      </c>
      <c r="I47" s="39" t="s">
        <v>1060</v>
      </c>
      <c r="J47" s="39" t="s">
        <v>1059</v>
      </c>
      <c r="K47" s="39" t="s">
        <v>2158</v>
      </c>
      <c r="L47" s="43">
        <v>44200.42986111111</v>
      </c>
      <c r="N47" s="44">
        <v>44026.506944444445</v>
      </c>
    </row>
    <row r="48">
      <c r="A48" s="39" t="s">
        <v>957</v>
      </c>
      <c r="B48" s="39" t="s">
        <v>2233</v>
      </c>
      <c r="C48" s="39" t="s">
        <v>19</v>
      </c>
      <c r="D48" s="39">
        <v>60980.0</v>
      </c>
      <c r="F48" s="39" t="s">
        <v>2234</v>
      </c>
      <c r="G48" s="39" t="s">
        <v>724</v>
      </c>
      <c r="H48" s="39" t="s">
        <v>872</v>
      </c>
      <c r="I48" s="39" t="s">
        <v>1049</v>
      </c>
      <c r="J48" s="39" t="s">
        <v>1048</v>
      </c>
      <c r="K48" s="39" t="s">
        <v>2158</v>
      </c>
      <c r="L48" s="43">
        <v>44200.42916666667</v>
      </c>
      <c r="N48" s="44">
        <v>44028.68194444444</v>
      </c>
    </row>
    <row r="49">
      <c r="A49" s="39" t="s">
        <v>957</v>
      </c>
      <c r="B49" s="39" t="s">
        <v>1950</v>
      </c>
      <c r="C49" s="39" t="s">
        <v>19</v>
      </c>
      <c r="D49" s="39">
        <v>65076.0</v>
      </c>
      <c r="F49" s="39" t="s">
        <v>1951</v>
      </c>
      <c r="G49" s="39" t="s">
        <v>724</v>
      </c>
      <c r="H49" s="39" t="s">
        <v>872</v>
      </c>
      <c r="I49" s="39" t="s">
        <v>724</v>
      </c>
      <c r="J49" s="39" t="s">
        <v>872</v>
      </c>
      <c r="K49" s="39" t="s">
        <v>2158</v>
      </c>
      <c r="L49" s="43">
        <v>44200.42916666667</v>
      </c>
      <c r="M49" s="39">
        <v>900.0</v>
      </c>
      <c r="N49" s="44">
        <v>44130.50277777778</v>
      </c>
    </row>
    <row r="50">
      <c r="A50" s="39" t="s">
        <v>957</v>
      </c>
      <c r="B50" s="39" t="s">
        <v>2235</v>
      </c>
      <c r="C50" s="39" t="s">
        <v>19</v>
      </c>
      <c r="D50" s="39">
        <v>65199.0</v>
      </c>
      <c r="F50" s="39" t="s">
        <v>2236</v>
      </c>
      <c r="G50" s="39" t="s">
        <v>724</v>
      </c>
      <c r="H50" s="39" t="s">
        <v>872</v>
      </c>
      <c r="I50" s="39" t="s">
        <v>724</v>
      </c>
      <c r="J50" s="39" t="s">
        <v>872</v>
      </c>
      <c r="K50" s="39" t="s">
        <v>2158</v>
      </c>
      <c r="L50" s="43">
        <v>44200.42916666667</v>
      </c>
      <c r="N50" s="44">
        <v>44131.44930555556</v>
      </c>
    </row>
    <row r="51">
      <c r="A51" s="39" t="s">
        <v>957</v>
      </c>
      <c r="B51" s="39" t="s">
        <v>1876</v>
      </c>
      <c r="C51" s="39" t="s">
        <v>19</v>
      </c>
      <c r="D51" s="39">
        <v>65072.0</v>
      </c>
      <c r="F51" s="39" t="s">
        <v>1877</v>
      </c>
      <c r="G51" s="39" t="s">
        <v>1060</v>
      </c>
      <c r="H51" s="39" t="s">
        <v>1059</v>
      </c>
      <c r="I51" s="39" t="s">
        <v>724</v>
      </c>
      <c r="J51" s="39" t="s">
        <v>872</v>
      </c>
      <c r="K51" s="39" t="s">
        <v>2158</v>
      </c>
      <c r="L51" s="43">
        <v>44200.42916666667</v>
      </c>
      <c r="M51" s="39">
        <v>10800.0</v>
      </c>
      <c r="N51" s="44">
        <v>44130.46944444445</v>
      </c>
    </row>
    <row r="52">
      <c r="A52" s="39" t="s">
        <v>957</v>
      </c>
      <c r="B52" s="39" t="s">
        <v>1889</v>
      </c>
      <c r="C52" s="39" t="s">
        <v>19</v>
      </c>
      <c r="D52" s="39">
        <v>65074.0</v>
      </c>
      <c r="F52" s="39" t="s">
        <v>1890</v>
      </c>
      <c r="G52" s="39" t="s">
        <v>724</v>
      </c>
      <c r="H52" s="39" t="s">
        <v>872</v>
      </c>
      <c r="I52" s="39" t="s">
        <v>724</v>
      </c>
      <c r="J52" s="39" t="s">
        <v>872</v>
      </c>
      <c r="K52" s="39" t="s">
        <v>2158</v>
      </c>
      <c r="L52" s="43">
        <v>44200.42916666667</v>
      </c>
      <c r="M52" s="39">
        <v>900.0</v>
      </c>
      <c r="N52" s="44">
        <v>44130.49652777778</v>
      </c>
    </row>
    <row r="53">
      <c r="A53" s="39" t="s">
        <v>832</v>
      </c>
      <c r="B53" s="39" t="s">
        <v>2237</v>
      </c>
      <c r="C53" s="39" t="s">
        <v>19</v>
      </c>
      <c r="D53" s="39">
        <v>57228.0</v>
      </c>
      <c r="F53" s="39" t="s">
        <v>2238</v>
      </c>
      <c r="I53" s="39" t="s">
        <v>724</v>
      </c>
      <c r="J53" s="39" t="s">
        <v>872</v>
      </c>
      <c r="K53" s="39" t="s">
        <v>2161</v>
      </c>
      <c r="L53" s="43">
        <v>44200.42916666667</v>
      </c>
      <c r="N53" s="44">
        <v>43934.74791666667</v>
      </c>
    </row>
    <row r="54">
      <c r="A54" s="39" t="s">
        <v>957</v>
      </c>
      <c r="B54" s="39" t="s">
        <v>2239</v>
      </c>
      <c r="C54" s="39" t="s">
        <v>19</v>
      </c>
      <c r="D54" s="39">
        <v>61849.0</v>
      </c>
      <c r="F54" s="39" t="s">
        <v>2240</v>
      </c>
      <c r="G54" s="39" t="s">
        <v>1060</v>
      </c>
      <c r="H54" s="39" t="s">
        <v>1059</v>
      </c>
      <c r="I54" s="39" t="s">
        <v>1060</v>
      </c>
      <c r="J54" s="39" t="s">
        <v>1059</v>
      </c>
      <c r="K54" s="39" t="s">
        <v>2158</v>
      </c>
      <c r="L54" s="43">
        <v>44200.42916666667</v>
      </c>
      <c r="N54" s="43">
        <v>44047.54305555556</v>
      </c>
    </row>
    <row r="55">
      <c r="A55" s="39" t="s">
        <v>957</v>
      </c>
      <c r="B55" s="39" t="s">
        <v>2241</v>
      </c>
      <c r="C55" s="39" t="s">
        <v>19</v>
      </c>
      <c r="D55" s="39">
        <v>60998.0</v>
      </c>
      <c r="F55" s="39" t="s">
        <v>2242</v>
      </c>
      <c r="G55" s="39" t="s">
        <v>1060</v>
      </c>
      <c r="H55" s="39" t="s">
        <v>1059</v>
      </c>
      <c r="I55" s="39" t="s">
        <v>724</v>
      </c>
      <c r="J55" s="39" t="s">
        <v>872</v>
      </c>
      <c r="K55" s="39" t="s">
        <v>2158</v>
      </c>
      <c r="L55" s="43">
        <v>44200.42916666667</v>
      </c>
      <c r="N55" s="44">
        <v>44029.57361111111</v>
      </c>
    </row>
    <row r="56">
      <c r="A56" s="39" t="s">
        <v>832</v>
      </c>
      <c r="B56" s="39" t="s">
        <v>2243</v>
      </c>
      <c r="C56" s="39" t="s">
        <v>19</v>
      </c>
      <c r="D56" s="39">
        <v>61842.0</v>
      </c>
      <c r="F56" s="39" t="s">
        <v>2244</v>
      </c>
      <c r="I56" s="39" t="s">
        <v>724</v>
      </c>
      <c r="J56" s="39" t="s">
        <v>872</v>
      </c>
      <c r="K56" s="39" t="s">
        <v>2161</v>
      </c>
      <c r="L56" s="43">
        <v>44200.42916666667</v>
      </c>
      <c r="N56" s="43">
        <v>44045.595138888886</v>
      </c>
    </row>
    <row r="57">
      <c r="A57" s="39" t="s">
        <v>957</v>
      </c>
      <c r="B57" s="39" t="s">
        <v>2245</v>
      </c>
      <c r="C57" s="39" t="s">
        <v>19</v>
      </c>
      <c r="D57" s="39">
        <v>60996.0</v>
      </c>
      <c r="F57" s="39" t="s">
        <v>2246</v>
      </c>
      <c r="G57" s="39" t="s">
        <v>1060</v>
      </c>
      <c r="H57" s="39" t="s">
        <v>1059</v>
      </c>
      <c r="I57" s="39" t="s">
        <v>724</v>
      </c>
      <c r="J57" s="39" t="s">
        <v>872</v>
      </c>
      <c r="K57" s="39" t="s">
        <v>2158</v>
      </c>
      <c r="L57" s="43">
        <v>44200.42916666667</v>
      </c>
      <c r="N57" s="44">
        <v>44029.57152777778</v>
      </c>
    </row>
    <row r="58">
      <c r="A58" s="39" t="s">
        <v>957</v>
      </c>
      <c r="B58" s="39" t="s">
        <v>2247</v>
      </c>
      <c r="C58" s="39" t="s">
        <v>19</v>
      </c>
      <c r="D58" s="39">
        <v>60994.0</v>
      </c>
      <c r="F58" s="39" t="s">
        <v>2248</v>
      </c>
      <c r="G58" s="39" t="s">
        <v>1060</v>
      </c>
      <c r="H58" s="39" t="s">
        <v>1059</v>
      </c>
      <c r="I58" s="39" t="s">
        <v>724</v>
      </c>
      <c r="J58" s="39" t="s">
        <v>872</v>
      </c>
      <c r="K58" s="39" t="s">
        <v>2158</v>
      </c>
      <c r="L58" s="43">
        <v>44200.42916666667</v>
      </c>
      <c r="N58" s="44">
        <v>44029.56597222222</v>
      </c>
    </row>
    <row r="59">
      <c r="A59" s="39" t="s">
        <v>832</v>
      </c>
      <c r="B59" s="39" t="s">
        <v>2249</v>
      </c>
      <c r="C59" s="39" t="s">
        <v>19</v>
      </c>
      <c r="D59" s="39">
        <v>61840.0</v>
      </c>
      <c r="F59" s="39" t="s">
        <v>2250</v>
      </c>
      <c r="I59" s="39" t="s">
        <v>724</v>
      </c>
      <c r="J59" s="39" t="s">
        <v>872</v>
      </c>
      <c r="K59" s="39" t="s">
        <v>2161</v>
      </c>
      <c r="L59" s="43">
        <v>44200.42916666667</v>
      </c>
      <c r="N59" s="43">
        <v>44045.575694444444</v>
      </c>
    </row>
    <row r="60">
      <c r="A60" s="39" t="s">
        <v>957</v>
      </c>
      <c r="B60" s="39" t="s">
        <v>2251</v>
      </c>
      <c r="C60" s="39" t="s">
        <v>19</v>
      </c>
      <c r="D60" s="39">
        <v>60993.0</v>
      </c>
      <c r="F60" s="39" t="s">
        <v>2252</v>
      </c>
      <c r="G60" s="39" t="s">
        <v>1049</v>
      </c>
      <c r="H60" s="39" t="s">
        <v>1048</v>
      </c>
      <c r="I60" s="39" t="s">
        <v>1049</v>
      </c>
      <c r="J60" s="39" t="s">
        <v>1048</v>
      </c>
      <c r="K60" s="39" t="s">
        <v>2158</v>
      </c>
      <c r="L60" s="43">
        <v>44200.42916666667</v>
      </c>
      <c r="N60" s="44">
        <v>44029.552777777775</v>
      </c>
    </row>
    <row r="61">
      <c r="A61" s="39" t="s">
        <v>832</v>
      </c>
      <c r="B61" s="39" t="s">
        <v>2253</v>
      </c>
      <c r="C61" s="39" t="s">
        <v>19</v>
      </c>
      <c r="D61" s="39">
        <v>61841.0</v>
      </c>
      <c r="F61" s="39" t="s">
        <v>2254</v>
      </c>
      <c r="I61" s="39" t="s">
        <v>724</v>
      </c>
      <c r="J61" s="39" t="s">
        <v>872</v>
      </c>
      <c r="K61" s="39" t="s">
        <v>2161</v>
      </c>
      <c r="L61" s="43">
        <v>44200.42916666667</v>
      </c>
      <c r="N61" s="43">
        <v>44045.575694444444</v>
      </c>
    </row>
    <row r="62">
      <c r="A62" s="39" t="s">
        <v>957</v>
      </c>
      <c r="B62" s="39" t="s">
        <v>2255</v>
      </c>
      <c r="C62" s="39" t="s">
        <v>19</v>
      </c>
      <c r="D62" s="39">
        <v>60992.0</v>
      </c>
      <c r="F62" s="39" t="s">
        <v>2256</v>
      </c>
      <c r="G62" s="39" t="s">
        <v>724</v>
      </c>
      <c r="H62" s="39" t="s">
        <v>872</v>
      </c>
      <c r="I62" s="39" t="s">
        <v>1049</v>
      </c>
      <c r="J62" s="39" t="s">
        <v>1048</v>
      </c>
      <c r="K62" s="39" t="s">
        <v>2158</v>
      </c>
      <c r="L62" s="43">
        <v>44200.42916666667</v>
      </c>
      <c r="N62" s="44">
        <v>44029.54583333333</v>
      </c>
    </row>
    <row r="63">
      <c r="A63" s="39" t="s">
        <v>957</v>
      </c>
      <c r="B63" s="39" t="s">
        <v>2257</v>
      </c>
      <c r="C63" s="39" t="s">
        <v>19</v>
      </c>
      <c r="D63" s="39">
        <v>60991.0</v>
      </c>
      <c r="F63" s="39" t="s">
        <v>2258</v>
      </c>
      <c r="G63" s="39" t="s">
        <v>724</v>
      </c>
      <c r="H63" s="39" t="s">
        <v>872</v>
      </c>
      <c r="I63" s="39" t="s">
        <v>1049</v>
      </c>
      <c r="J63" s="39" t="s">
        <v>1048</v>
      </c>
      <c r="K63" s="39" t="s">
        <v>2158</v>
      </c>
      <c r="L63" s="43">
        <v>44200.42916666667</v>
      </c>
      <c r="N63" s="44">
        <v>44029.54305555556</v>
      </c>
    </row>
    <row r="64">
      <c r="A64" s="39" t="s">
        <v>957</v>
      </c>
      <c r="B64" s="39" t="s">
        <v>2259</v>
      </c>
      <c r="C64" s="39" t="s">
        <v>19</v>
      </c>
      <c r="D64" s="39">
        <v>60990.0</v>
      </c>
      <c r="F64" s="39" t="s">
        <v>2260</v>
      </c>
      <c r="G64" s="39" t="s">
        <v>724</v>
      </c>
      <c r="H64" s="39" t="s">
        <v>872</v>
      </c>
      <c r="I64" s="39" t="s">
        <v>1060</v>
      </c>
      <c r="J64" s="39" t="s">
        <v>1059</v>
      </c>
      <c r="K64" s="39" t="s">
        <v>2158</v>
      </c>
      <c r="L64" s="43">
        <v>44200.42916666667</v>
      </c>
      <c r="N64" s="44">
        <v>44029.54027777778</v>
      </c>
    </row>
    <row r="65">
      <c r="A65" s="39" t="s">
        <v>957</v>
      </c>
      <c r="B65" s="39" t="s">
        <v>2037</v>
      </c>
      <c r="C65" s="39" t="s">
        <v>19</v>
      </c>
      <c r="D65" s="39">
        <v>66059.0</v>
      </c>
      <c r="F65" s="39" t="s">
        <v>2038</v>
      </c>
      <c r="G65" s="39" t="s">
        <v>724</v>
      </c>
      <c r="H65" s="39" t="s">
        <v>872</v>
      </c>
      <c r="I65" s="39" t="s">
        <v>724</v>
      </c>
      <c r="J65" s="39" t="s">
        <v>872</v>
      </c>
      <c r="K65" s="39" t="s">
        <v>2158</v>
      </c>
      <c r="L65" s="43">
        <v>44200.42916666667</v>
      </c>
      <c r="M65" s="39">
        <v>2700.0</v>
      </c>
      <c r="N65" s="44">
        <v>44160.555555555555</v>
      </c>
    </row>
    <row r="66">
      <c r="A66" s="39" t="s">
        <v>957</v>
      </c>
      <c r="B66" s="39" t="s">
        <v>2261</v>
      </c>
      <c r="C66" s="39" t="s">
        <v>19</v>
      </c>
      <c r="D66" s="39">
        <v>65086.0</v>
      </c>
      <c r="F66" s="39" t="s">
        <v>2262</v>
      </c>
      <c r="G66" s="39" t="s">
        <v>2197</v>
      </c>
      <c r="H66" s="39" t="s">
        <v>2198</v>
      </c>
      <c r="I66" s="39" t="s">
        <v>724</v>
      </c>
      <c r="J66" s="39" t="s">
        <v>872</v>
      </c>
      <c r="K66" s="39" t="s">
        <v>2158</v>
      </c>
      <c r="L66" s="43">
        <v>44200.42916666667</v>
      </c>
      <c r="N66" s="44">
        <v>44130.51111111111</v>
      </c>
    </row>
    <row r="67">
      <c r="A67" s="39" t="s">
        <v>957</v>
      </c>
      <c r="B67" s="39" t="s">
        <v>2263</v>
      </c>
      <c r="C67" s="39" t="s">
        <v>19</v>
      </c>
      <c r="D67" s="39">
        <v>65089.0</v>
      </c>
      <c r="F67" s="39" t="s">
        <v>2264</v>
      </c>
      <c r="G67" s="39" t="s">
        <v>724</v>
      </c>
      <c r="H67" s="39" t="s">
        <v>872</v>
      </c>
      <c r="I67" s="39" t="s">
        <v>724</v>
      </c>
      <c r="J67" s="39" t="s">
        <v>872</v>
      </c>
      <c r="K67" s="39" t="s">
        <v>2158</v>
      </c>
      <c r="L67" s="43">
        <v>44200.42916666667</v>
      </c>
      <c r="N67" s="44">
        <v>44130.53958333333</v>
      </c>
    </row>
    <row r="68">
      <c r="A68" s="39" t="s">
        <v>832</v>
      </c>
      <c r="B68" s="39" t="s">
        <v>2265</v>
      </c>
      <c r="C68" s="39" t="s">
        <v>19</v>
      </c>
      <c r="D68" s="39">
        <v>61839.0</v>
      </c>
      <c r="F68" s="39" t="s">
        <v>2266</v>
      </c>
      <c r="G68" s="39" t="s">
        <v>724</v>
      </c>
      <c r="H68" s="39" t="s">
        <v>872</v>
      </c>
      <c r="I68" s="39" t="s">
        <v>724</v>
      </c>
      <c r="J68" s="39" t="s">
        <v>872</v>
      </c>
      <c r="K68" s="39" t="s">
        <v>2158</v>
      </c>
      <c r="L68" s="43">
        <v>44200.42916666667</v>
      </c>
      <c r="N68" s="43">
        <v>44045.558333333334</v>
      </c>
    </row>
    <row r="69">
      <c r="A69" s="39" t="s">
        <v>832</v>
      </c>
      <c r="B69" s="39" t="s">
        <v>1400</v>
      </c>
      <c r="C69" s="39" t="s">
        <v>19</v>
      </c>
      <c r="D69" s="39">
        <v>61859.0</v>
      </c>
      <c r="F69" s="39" t="s">
        <v>2267</v>
      </c>
      <c r="G69" s="39" t="s">
        <v>724</v>
      </c>
      <c r="H69" s="39" t="s">
        <v>872</v>
      </c>
      <c r="I69" s="39" t="s">
        <v>724</v>
      </c>
      <c r="J69" s="39" t="s">
        <v>872</v>
      </c>
      <c r="K69" s="39" t="s">
        <v>2188</v>
      </c>
      <c r="L69" s="43">
        <v>44200.42916666667</v>
      </c>
      <c r="M69" s="39">
        <v>75600.0</v>
      </c>
      <c r="N69" s="43">
        <v>44048.069444444445</v>
      </c>
    </row>
    <row r="70">
      <c r="A70" s="39" t="s">
        <v>957</v>
      </c>
      <c r="B70" s="39" t="s">
        <v>2268</v>
      </c>
      <c r="C70" s="39" t="s">
        <v>19</v>
      </c>
      <c r="D70" s="39">
        <v>61857.0</v>
      </c>
      <c r="F70" s="39" t="s">
        <v>2269</v>
      </c>
      <c r="G70" s="39" t="s">
        <v>724</v>
      </c>
      <c r="H70" s="39" t="s">
        <v>872</v>
      </c>
      <c r="I70" s="39" t="s">
        <v>724</v>
      </c>
      <c r="J70" s="39" t="s">
        <v>872</v>
      </c>
      <c r="K70" s="39" t="s">
        <v>2158</v>
      </c>
      <c r="L70" s="43">
        <v>44200.42916666667</v>
      </c>
      <c r="N70" s="43">
        <v>44047.95277777778</v>
      </c>
    </row>
    <row r="71">
      <c r="A71" s="39" t="s">
        <v>957</v>
      </c>
      <c r="B71" s="39" t="s">
        <v>1549</v>
      </c>
      <c r="C71" s="39" t="s">
        <v>19</v>
      </c>
      <c r="D71" s="39">
        <v>62825.0</v>
      </c>
      <c r="F71" s="39" t="s">
        <v>1550</v>
      </c>
      <c r="G71" s="39" t="s">
        <v>724</v>
      </c>
      <c r="H71" s="39" t="s">
        <v>872</v>
      </c>
      <c r="I71" s="39" t="s">
        <v>724</v>
      </c>
      <c r="J71" s="39" t="s">
        <v>872</v>
      </c>
      <c r="K71" s="39" t="s">
        <v>2158</v>
      </c>
      <c r="L71" s="43">
        <v>44200.42916666667</v>
      </c>
      <c r="M71" s="39">
        <v>52200.0</v>
      </c>
      <c r="N71" s="44">
        <v>44085.754166666666</v>
      </c>
    </row>
    <row r="72">
      <c r="A72" s="39" t="s">
        <v>957</v>
      </c>
      <c r="B72" s="39" t="s">
        <v>1307</v>
      </c>
      <c r="C72" s="39" t="s">
        <v>19</v>
      </c>
      <c r="D72" s="39">
        <v>61858.0</v>
      </c>
      <c r="F72" s="39" t="s">
        <v>1308</v>
      </c>
      <c r="G72" s="39" t="s">
        <v>724</v>
      </c>
      <c r="H72" s="39" t="s">
        <v>872</v>
      </c>
      <c r="I72" s="39" t="s">
        <v>724</v>
      </c>
      <c r="J72" s="39" t="s">
        <v>872</v>
      </c>
      <c r="K72" s="39" t="s">
        <v>2158</v>
      </c>
      <c r="L72" s="43">
        <v>44200.42916666667</v>
      </c>
      <c r="M72" s="39">
        <v>28800.0</v>
      </c>
      <c r="N72" s="43">
        <v>44048.06736111111</v>
      </c>
    </row>
    <row r="73">
      <c r="A73" s="39" t="s">
        <v>832</v>
      </c>
      <c r="B73" s="39" t="s">
        <v>2270</v>
      </c>
      <c r="C73" s="39" t="s">
        <v>19</v>
      </c>
      <c r="D73" s="39">
        <v>61855.0</v>
      </c>
      <c r="F73" s="39" t="s">
        <v>2271</v>
      </c>
      <c r="I73" s="39" t="s">
        <v>724</v>
      </c>
      <c r="J73" s="39" t="s">
        <v>872</v>
      </c>
      <c r="K73" s="39" t="s">
        <v>2161</v>
      </c>
      <c r="L73" s="43">
        <v>44200.42916666667</v>
      </c>
      <c r="N73" s="43">
        <v>44047.92916666667</v>
      </c>
    </row>
    <row r="74">
      <c r="A74" s="39" t="s">
        <v>957</v>
      </c>
      <c r="B74" s="39" t="s">
        <v>2272</v>
      </c>
      <c r="C74" s="39" t="s">
        <v>19</v>
      </c>
      <c r="D74" s="39">
        <v>62823.0</v>
      </c>
      <c r="F74" s="39" t="s">
        <v>2273</v>
      </c>
      <c r="G74" s="39" t="s">
        <v>1060</v>
      </c>
      <c r="H74" s="39" t="s">
        <v>1059</v>
      </c>
      <c r="I74" s="39" t="s">
        <v>724</v>
      </c>
      <c r="J74" s="39" t="s">
        <v>872</v>
      </c>
      <c r="K74" s="39" t="s">
        <v>2158</v>
      </c>
      <c r="L74" s="43">
        <v>44200.42916666667</v>
      </c>
      <c r="N74" s="44">
        <v>44085.75</v>
      </c>
    </row>
    <row r="75">
      <c r="A75" s="39" t="s">
        <v>957</v>
      </c>
      <c r="B75" s="39" t="s">
        <v>2274</v>
      </c>
      <c r="C75" s="39" t="s">
        <v>19</v>
      </c>
      <c r="D75" s="39">
        <v>61856.0</v>
      </c>
      <c r="F75" s="39" t="s">
        <v>2275</v>
      </c>
      <c r="G75" s="39" t="s">
        <v>724</v>
      </c>
      <c r="H75" s="39" t="s">
        <v>872</v>
      </c>
      <c r="I75" s="39" t="s">
        <v>724</v>
      </c>
      <c r="J75" s="39" t="s">
        <v>872</v>
      </c>
      <c r="K75" s="39" t="s">
        <v>2158</v>
      </c>
      <c r="L75" s="43">
        <v>44200.42916666667</v>
      </c>
      <c r="N75" s="43">
        <v>44047.94027777778</v>
      </c>
    </row>
    <row r="76">
      <c r="A76" s="39" t="s">
        <v>957</v>
      </c>
      <c r="B76" s="39" t="s">
        <v>2276</v>
      </c>
      <c r="C76" s="39" t="s">
        <v>19</v>
      </c>
      <c r="D76" s="39">
        <v>62824.0</v>
      </c>
      <c r="F76" s="39" t="s">
        <v>2277</v>
      </c>
      <c r="G76" s="39" t="s">
        <v>724</v>
      </c>
      <c r="H76" s="39" t="s">
        <v>872</v>
      </c>
      <c r="I76" s="39" t="s">
        <v>724</v>
      </c>
      <c r="J76" s="39" t="s">
        <v>872</v>
      </c>
      <c r="K76" s="39" t="s">
        <v>2158</v>
      </c>
      <c r="L76" s="43">
        <v>44200.42916666667</v>
      </c>
      <c r="N76" s="44">
        <v>44085.75208333333</v>
      </c>
    </row>
    <row r="77">
      <c r="A77" s="39" t="s">
        <v>957</v>
      </c>
      <c r="B77" s="39" t="s">
        <v>2278</v>
      </c>
      <c r="C77" s="39" t="s">
        <v>19</v>
      </c>
      <c r="D77" s="39">
        <v>61853.0</v>
      </c>
      <c r="F77" s="39" t="s">
        <v>2279</v>
      </c>
      <c r="I77" s="39" t="s">
        <v>1049</v>
      </c>
      <c r="J77" s="39" t="s">
        <v>1048</v>
      </c>
      <c r="K77" s="39" t="s">
        <v>2199</v>
      </c>
      <c r="L77" s="43">
        <v>44200.42916666667</v>
      </c>
      <c r="N77" s="43">
        <v>44047.71597222222</v>
      </c>
    </row>
    <row r="78">
      <c r="A78" s="39" t="s">
        <v>957</v>
      </c>
      <c r="B78" s="39" t="s">
        <v>2280</v>
      </c>
      <c r="C78" s="39" t="s">
        <v>19</v>
      </c>
      <c r="D78" s="39">
        <v>61854.0</v>
      </c>
      <c r="F78" s="39" t="s">
        <v>2281</v>
      </c>
      <c r="I78" s="39" t="s">
        <v>1049</v>
      </c>
      <c r="J78" s="39" t="s">
        <v>1048</v>
      </c>
      <c r="K78" s="39" t="s">
        <v>2199</v>
      </c>
      <c r="L78" s="43">
        <v>44200.42916666667</v>
      </c>
      <c r="N78" s="43">
        <v>44047.71597222222</v>
      </c>
    </row>
    <row r="79">
      <c r="A79" s="39" t="s">
        <v>957</v>
      </c>
      <c r="B79" s="39" t="s">
        <v>2282</v>
      </c>
      <c r="C79" s="39" t="s">
        <v>19</v>
      </c>
      <c r="D79" s="39">
        <v>61851.0</v>
      </c>
      <c r="F79" s="39" t="s">
        <v>2283</v>
      </c>
      <c r="I79" s="39" t="s">
        <v>1049</v>
      </c>
      <c r="J79" s="39" t="s">
        <v>1048</v>
      </c>
      <c r="K79" s="39" t="s">
        <v>2158</v>
      </c>
      <c r="L79" s="43">
        <v>44200.42916666667</v>
      </c>
      <c r="N79" s="43">
        <v>44047.67847222222</v>
      </c>
    </row>
    <row r="80">
      <c r="A80" s="39" t="s">
        <v>957</v>
      </c>
      <c r="B80" s="39" t="s">
        <v>2284</v>
      </c>
      <c r="C80" s="39" t="s">
        <v>19</v>
      </c>
      <c r="D80" s="39">
        <v>61852.0</v>
      </c>
      <c r="F80" s="39" t="s">
        <v>2285</v>
      </c>
      <c r="I80" s="39" t="s">
        <v>1049</v>
      </c>
      <c r="J80" s="39" t="s">
        <v>1048</v>
      </c>
      <c r="K80" s="39" t="s">
        <v>2158</v>
      </c>
      <c r="L80" s="43">
        <v>44200.42916666667</v>
      </c>
      <c r="N80" s="43">
        <v>44047.6875</v>
      </c>
    </row>
    <row r="81">
      <c r="A81" s="39" t="s">
        <v>957</v>
      </c>
      <c r="B81" s="39" t="s">
        <v>2286</v>
      </c>
      <c r="C81" s="39" t="s">
        <v>19</v>
      </c>
      <c r="D81" s="39">
        <v>60883.0</v>
      </c>
      <c r="F81" s="39" t="s">
        <v>2287</v>
      </c>
      <c r="I81" s="39" t="s">
        <v>1060</v>
      </c>
      <c r="J81" s="39" t="s">
        <v>1059</v>
      </c>
      <c r="K81" s="39" t="s">
        <v>2158</v>
      </c>
      <c r="L81" s="43">
        <v>44200.42916666667</v>
      </c>
      <c r="N81" s="44">
        <v>44026.54236111111</v>
      </c>
    </row>
    <row r="82">
      <c r="A82" s="39" t="s">
        <v>957</v>
      </c>
      <c r="B82" s="39" t="s">
        <v>2288</v>
      </c>
      <c r="C82" s="39" t="s">
        <v>19</v>
      </c>
      <c r="D82" s="39">
        <v>67033.0</v>
      </c>
      <c r="F82" s="39" t="s">
        <v>2289</v>
      </c>
      <c r="G82" s="39" t="s">
        <v>2197</v>
      </c>
      <c r="H82" s="39" t="s">
        <v>2198</v>
      </c>
      <c r="I82" s="39" t="s">
        <v>1060</v>
      </c>
      <c r="J82" s="39" t="s">
        <v>1059</v>
      </c>
      <c r="K82" s="39" t="s">
        <v>2158</v>
      </c>
      <c r="L82" s="43">
        <v>44200.42916666667</v>
      </c>
      <c r="N82" s="44">
        <v>44182.74236111111</v>
      </c>
    </row>
    <row r="83">
      <c r="A83" s="39" t="s">
        <v>832</v>
      </c>
      <c r="B83" s="39" t="s">
        <v>2030</v>
      </c>
      <c r="C83" s="39" t="s">
        <v>19</v>
      </c>
      <c r="D83" s="39">
        <v>57230.0</v>
      </c>
      <c r="F83" s="39" t="s">
        <v>2031</v>
      </c>
      <c r="G83" s="39" t="s">
        <v>1049</v>
      </c>
      <c r="H83" s="39" t="s">
        <v>1048</v>
      </c>
      <c r="I83" s="39" t="s">
        <v>724</v>
      </c>
      <c r="J83" s="39" t="s">
        <v>872</v>
      </c>
      <c r="K83" s="39" t="s">
        <v>2188</v>
      </c>
      <c r="L83" s="43">
        <v>44200.42916666667</v>
      </c>
      <c r="M83" s="39">
        <v>215100.0</v>
      </c>
      <c r="N83" s="44">
        <v>43934.74930555555</v>
      </c>
    </row>
    <row r="84">
      <c r="A84" s="39" t="s">
        <v>832</v>
      </c>
      <c r="B84" s="39" t="s">
        <v>1105</v>
      </c>
      <c r="C84" s="39" t="s">
        <v>19</v>
      </c>
      <c r="D84" s="39">
        <v>60419.0</v>
      </c>
      <c r="F84" s="39" t="s">
        <v>1106</v>
      </c>
      <c r="G84" s="39" t="s">
        <v>724</v>
      </c>
      <c r="H84" s="39" t="s">
        <v>872</v>
      </c>
      <c r="I84" s="39" t="s">
        <v>724</v>
      </c>
      <c r="J84" s="39" t="s">
        <v>872</v>
      </c>
      <c r="K84" s="39" t="s">
        <v>2158</v>
      </c>
      <c r="L84" s="43">
        <v>44200.42916666667</v>
      </c>
      <c r="M84" s="39">
        <v>10800.0</v>
      </c>
      <c r="N84" s="44">
        <v>43999.75555555556</v>
      </c>
    </row>
    <row r="85">
      <c r="A85" s="39" t="s">
        <v>957</v>
      </c>
      <c r="B85" s="39" t="s">
        <v>2290</v>
      </c>
      <c r="C85" s="39" t="s">
        <v>19</v>
      </c>
      <c r="D85" s="39">
        <v>61508.0</v>
      </c>
      <c r="F85" s="39" t="s">
        <v>2291</v>
      </c>
      <c r="G85" s="39" t="s">
        <v>1060</v>
      </c>
      <c r="H85" s="39" t="s">
        <v>1059</v>
      </c>
      <c r="I85" s="39" t="s">
        <v>1060</v>
      </c>
      <c r="J85" s="39" t="s">
        <v>1059</v>
      </c>
      <c r="K85" s="39" t="s">
        <v>2158</v>
      </c>
      <c r="L85" s="43">
        <v>44200.42916666667</v>
      </c>
      <c r="N85" s="44">
        <v>44042.529861111114</v>
      </c>
    </row>
    <row r="86">
      <c r="A86" s="39" t="s">
        <v>957</v>
      </c>
      <c r="B86" s="39" t="s">
        <v>2292</v>
      </c>
      <c r="C86" s="39" t="s">
        <v>19</v>
      </c>
      <c r="D86" s="39">
        <v>61868.0</v>
      </c>
      <c r="F86" s="39" t="s">
        <v>2293</v>
      </c>
      <c r="G86" s="39" t="s">
        <v>724</v>
      </c>
      <c r="H86" s="39" t="s">
        <v>872</v>
      </c>
      <c r="I86" s="39" t="s">
        <v>1049</v>
      </c>
      <c r="J86" s="39" t="s">
        <v>1048</v>
      </c>
      <c r="K86" s="39" t="s">
        <v>2158</v>
      </c>
      <c r="L86" s="43">
        <v>44200.42916666667</v>
      </c>
      <c r="N86" s="43">
        <v>44048.575694444444</v>
      </c>
    </row>
    <row r="87">
      <c r="A87" s="39" t="s">
        <v>832</v>
      </c>
      <c r="B87" s="39" t="s">
        <v>1313</v>
      </c>
      <c r="C87" s="39" t="s">
        <v>19</v>
      </c>
      <c r="D87" s="39">
        <v>61869.0</v>
      </c>
      <c r="F87" s="39" t="s">
        <v>1325</v>
      </c>
      <c r="G87" s="39" t="s">
        <v>724</v>
      </c>
      <c r="H87" s="39" t="s">
        <v>872</v>
      </c>
      <c r="I87" s="39" t="s">
        <v>1049</v>
      </c>
      <c r="J87" s="39" t="s">
        <v>1048</v>
      </c>
      <c r="K87" s="39" t="s">
        <v>2199</v>
      </c>
      <c r="L87" s="43">
        <v>44200.42916666667</v>
      </c>
      <c r="M87" s="39">
        <v>187200.0</v>
      </c>
      <c r="N87" s="43">
        <v>44048.57847222222</v>
      </c>
    </row>
    <row r="88">
      <c r="A88" s="39" t="s">
        <v>957</v>
      </c>
      <c r="B88" s="39" t="s">
        <v>2294</v>
      </c>
      <c r="C88" s="39" t="s">
        <v>19</v>
      </c>
      <c r="D88" s="39">
        <v>60657.0</v>
      </c>
      <c r="F88" s="39" t="s">
        <v>2295</v>
      </c>
      <c r="G88" s="39" t="s">
        <v>1049</v>
      </c>
      <c r="H88" s="39" t="s">
        <v>1048</v>
      </c>
      <c r="I88" s="39" t="s">
        <v>724</v>
      </c>
      <c r="J88" s="39" t="s">
        <v>872</v>
      </c>
      <c r="K88" s="39" t="s">
        <v>2158</v>
      </c>
      <c r="L88" s="43">
        <v>44200.42916666667</v>
      </c>
      <c r="N88" s="43">
        <v>44020.7125</v>
      </c>
    </row>
    <row r="89">
      <c r="A89" s="39" t="s">
        <v>957</v>
      </c>
      <c r="B89" s="39" t="s">
        <v>2296</v>
      </c>
      <c r="C89" s="39" t="s">
        <v>19</v>
      </c>
      <c r="D89" s="39">
        <v>61866.0</v>
      </c>
      <c r="F89" s="39" t="s">
        <v>2297</v>
      </c>
      <c r="G89" s="39" t="s">
        <v>1060</v>
      </c>
      <c r="H89" s="39" t="s">
        <v>1059</v>
      </c>
      <c r="I89" s="39" t="s">
        <v>1060</v>
      </c>
      <c r="J89" s="39" t="s">
        <v>1059</v>
      </c>
      <c r="K89" s="39" t="s">
        <v>2158</v>
      </c>
      <c r="L89" s="43">
        <v>44200.42916666667</v>
      </c>
      <c r="N89" s="43">
        <v>44048.572916666664</v>
      </c>
    </row>
    <row r="90">
      <c r="A90" s="39" t="s">
        <v>957</v>
      </c>
      <c r="B90" s="39" t="s">
        <v>2298</v>
      </c>
      <c r="C90" s="39" t="s">
        <v>19</v>
      </c>
      <c r="D90" s="39">
        <v>61503.0</v>
      </c>
      <c r="F90" s="39" t="s">
        <v>2299</v>
      </c>
      <c r="G90" s="39" t="s">
        <v>1049</v>
      </c>
      <c r="H90" s="39" t="s">
        <v>1048</v>
      </c>
      <c r="I90" s="39" t="s">
        <v>724</v>
      </c>
      <c r="J90" s="39" t="s">
        <v>872</v>
      </c>
      <c r="K90" s="39" t="s">
        <v>2158</v>
      </c>
      <c r="L90" s="43">
        <v>44200.42916666667</v>
      </c>
      <c r="N90" s="44">
        <v>44042.399305555555</v>
      </c>
    </row>
    <row r="91">
      <c r="A91" s="39" t="s">
        <v>957</v>
      </c>
      <c r="B91" s="39" t="s">
        <v>2300</v>
      </c>
      <c r="C91" s="39" t="s">
        <v>19</v>
      </c>
      <c r="D91" s="39">
        <v>61867.0</v>
      </c>
      <c r="F91" s="39" t="s">
        <v>2301</v>
      </c>
      <c r="G91" s="39" t="s">
        <v>1060</v>
      </c>
      <c r="H91" s="39" t="s">
        <v>1059</v>
      </c>
      <c r="I91" s="39" t="s">
        <v>1060</v>
      </c>
      <c r="J91" s="39" t="s">
        <v>1059</v>
      </c>
      <c r="K91" s="39" t="s">
        <v>2158</v>
      </c>
      <c r="L91" s="43">
        <v>44200.42916666667</v>
      </c>
      <c r="N91" s="43">
        <v>44048.57361111111</v>
      </c>
    </row>
    <row r="92">
      <c r="A92" s="39" t="s">
        <v>957</v>
      </c>
      <c r="B92" s="39" t="s">
        <v>2302</v>
      </c>
      <c r="C92" s="39" t="s">
        <v>19</v>
      </c>
      <c r="D92" s="39">
        <v>61504.0</v>
      </c>
      <c r="F92" s="39" t="s">
        <v>2303</v>
      </c>
      <c r="G92" s="39" t="s">
        <v>1049</v>
      </c>
      <c r="H92" s="39" t="s">
        <v>1048</v>
      </c>
      <c r="I92" s="39" t="s">
        <v>724</v>
      </c>
      <c r="J92" s="39" t="s">
        <v>872</v>
      </c>
      <c r="K92" s="39" t="s">
        <v>2158</v>
      </c>
      <c r="L92" s="43">
        <v>44200.42916666667</v>
      </c>
      <c r="N92" s="44">
        <v>44042.40555555555</v>
      </c>
    </row>
    <row r="93">
      <c r="A93" s="39" t="s">
        <v>957</v>
      </c>
      <c r="B93" s="39" t="s">
        <v>2304</v>
      </c>
      <c r="C93" s="39" t="s">
        <v>19</v>
      </c>
      <c r="D93" s="39">
        <v>61501.0</v>
      </c>
      <c r="F93" s="39" t="s">
        <v>2305</v>
      </c>
      <c r="G93" s="39" t="s">
        <v>1049</v>
      </c>
      <c r="H93" s="39" t="s">
        <v>1048</v>
      </c>
      <c r="I93" s="39" t="s">
        <v>724</v>
      </c>
      <c r="J93" s="39" t="s">
        <v>872</v>
      </c>
      <c r="K93" s="39" t="s">
        <v>2158</v>
      </c>
      <c r="L93" s="43">
        <v>44200.42916666667</v>
      </c>
      <c r="N93" s="44">
        <v>44041.78125</v>
      </c>
    </row>
    <row r="94">
      <c r="A94" s="39" t="s">
        <v>957</v>
      </c>
      <c r="B94" s="39" t="s">
        <v>2306</v>
      </c>
      <c r="C94" s="39" t="s">
        <v>19</v>
      </c>
      <c r="D94" s="39">
        <v>61500.0</v>
      </c>
      <c r="F94" s="39" t="s">
        <v>2307</v>
      </c>
      <c r="I94" s="39" t="s">
        <v>1049</v>
      </c>
      <c r="J94" s="39" t="s">
        <v>1048</v>
      </c>
      <c r="K94" s="39" t="s">
        <v>2158</v>
      </c>
      <c r="L94" s="43">
        <v>44200.42916666667</v>
      </c>
      <c r="N94" s="44">
        <v>44041.739583333336</v>
      </c>
    </row>
    <row r="95">
      <c r="A95" s="39" t="s">
        <v>957</v>
      </c>
      <c r="B95" s="39" t="s">
        <v>2308</v>
      </c>
      <c r="C95" s="39" t="s">
        <v>19</v>
      </c>
      <c r="D95" s="39">
        <v>61860.0</v>
      </c>
      <c r="F95" s="39" t="s">
        <v>2309</v>
      </c>
      <c r="G95" s="39" t="s">
        <v>724</v>
      </c>
      <c r="H95" s="39" t="s">
        <v>872</v>
      </c>
      <c r="I95" s="39" t="s">
        <v>724</v>
      </c>
      <c r="J95" s="39" t="s">
        <v>872</v>
      </c>
      <c r="K95" s="39" t="s">
        <v>2158</v>
      </c>
      <c r="L95" s="43">
        <v>44200.42916666667</v>
      </c>
      <c r="N95" s="43">
        <v>44048.07708333333</v>
      </c>
    </row>
    <row r="96">
      <c r="A96" s="39" t="s">
        <v>832</v>
      </c>
      <c r="B96" s="39" t="s">
        <v>1668</v>
      </c>
      <c r="C96" s="39" t="s">
        <v>19</v>
      </c>
      <c r="D96" s="39">
        <v>63919.0</v>
      </c>
      <c r="F96" s="39" t="s">
        <v>1669</v>
      </c>
      <c r="G96" s="39" t="s">
        <v>724</v>
      </c>
      <c r="H96" s="39" t="s">
        <v>872</v>
      </c>
      <c r="I96" s="39" t="s">
        <v>724</v>
      </c>
      <c r="J96" s="39" t="s">
        <v>872</v>
      </c>
      <c r="K96" s="39" t="s">
        <v>2161</v>
      </c>
      <c r="L96" s="43">
        <v>44200.42916666667</v>
      </c>
      <c r="M96" s="39">
        <v>900.0</v>
      </c>
      <c r="N96" s="44">
        <v>44104.01736111111</v>
      </c>
    </row>
    <row r="97">
      <c r="A97" s="39" t="s">
        <v>957</v>
      </c>
      <c r="B97" s="39" t="s">
        <v>2310</v>
      </c>
      <c r="C97" s="39" t="s">
        <v>19</v>
      </c>
      <c r="D97" s="39">
        <v>62729.0</v>
      </c>
      <c r="F97" s="39" t="s">
        <v>2311</v>
      </c>
      <c r="G97" s="39" t="s">
        <v>724</v>
      </c>
      <c r="H97" s="39" t="s">
        <v>872</v>
      </c>
      <c r="I97" s="39" t="s">
        <v>724</v>
      </c>
      <c r="J97" s="39" t="s">
        <v>872</v>
      </c>
      <c r="K97" s="39" t="s">
        <v>2158</v>
      </c>
      <c r="L97" s="43">
        <v>44200.42916666667</v>
      </c>
      <c r="N97" s="43">
        <v>44082.93402777778</v>
      </c>
    </row>
    <row r="98">
      <c r="A98" s="39" t="s">
        <v>832</v>
      </c>
      <c r="B98" s="39" t="s">
        <v>2312</v>
      </c>
      <c r="C98" s="39" t="s">
        <v>19</v>
      </c>
      <c r="D98" s="39">
        <v>61516.0</v>
      </c>
      <c r="F98" s="39" t="s">
        <v>2313</v>
      </c>
      <c r="G98" s="39" t="s">
        <v>724</v>
      </c>
      <c r="H98" s="39" t="s">
        <v>872</v>
      </c>
      <c r="I98" s="39" t="s">
        <v>724</v>
      </c>
      <c r="J98" s="39" t="s">
        <v>872</v>
      </c>
      <c r="K98" s="39" t="s">
        <v>2188</v>
      </c>
      <c r="L98" s="43">
        <v>44200.42916666667</v>
      </c>
      <c r="N98" s="44">
        <v>44042.78402777778</v>
      </c>
    </row>
    <row r="99">
      <c r="A99" s="39" t="s">
        <v>957</v>
      </c>
      <c r="B99" s="39" t="s">
        <v>1314</v>
      </c>
      <c r="C99" s="39" t="s">
        <v>19</v>
      </c>
      <c r="D99" s="39">
        <v>61877.0</v>
      </c>
      <c r="F99" s="39" t="s">
        <v>1315</v>
      </c>
      <c r="G99" s="39" t="s">
        <v>1049</v>
      </c>
      <c r="H99" s="39" t="s">
        <v>1048</v>
      </c>
      <c r="I99" s="39" t="s">
        <v>1049</v>
      </c>
      <c r="J99" s="39" t="s">
        <v>1048</v>
      </c>
      <c r="K99" s="39" t="s">
        <v>2199</v>
      </c>
      <c r="L99" s="43">
        <v>44200.42916666667</v>
      </c>
      <c r="M99" s="39">
        <v>7200.0</v>
      </c>
      <c r="N99" s="43">
        <v>44049.56736111111</v>
      </c>
    </row>
    <row r="100">
      <c r="A100" s="39" t="s">
        <v>957</v>
      </c>
      <c r="B100" s="39" t="s">
        <v>2314</v>
      </c>
      <c r="C100" s="39" t="s">
        <v>19</v>
      </c>
      <c r="D100" s="39">
        <v>61514.0</v>
      </c>
      <c r="F100" s="39" t="s">
        <v>2315</v>
      </c>
      <c r="I100" s="39" t="s">
        <v>1049</v>
      </c>
      <c r="J100" s="39" t="s">
        <v>1048</v>
      </c>
      <c r="K100" s="39" t="s">
        <v>2158</v>
      </c>
      <c r="L100" s="43">
        <v>44200.42916666667</v>
      </c>
      <c r="N100" s="44">
        <v>44042.60208333333</v>
      </c>
    </row>
    <row r="101">
      <c r="A101" s="39" t="s">
        <v>957</v>
      </c>
      <c r="B101" s="39" t="s">
        <v>2316</v>
      </c>
      <c r="C101" s="39" t="s">
        <v>19</v>
      </c>
      <c r="D101" s="39">
        <v>60789.0</v>
      </c>
      <c r="F101" s="39" t="s">
        <v>2317</v>
      </c>
      <c r="G101" s="39" t="s">
        <v>1049</v>
      </c>
      <c r="H101" s="39" t="s">
        <v>1048</v>
      </c>
      <c r="I101" s="39" t="s">
        <v>724</v>
      </c>
      <c r="J101" s="39" t="s">
        <v>872</v>
      </c>
      <c r="K101" s="39" t="s">
        <v>2158</v>
      </c>
      <c r="L101" s="43">
        <v>44200.42916666667</v>
      </c>
      <c r="N101" s="43">
        <v>44021.47083333333</v>
      </c>
    </row>
    <row r="102">
      <c r="A102" s="39" t="s">
        <v>72</v>
      </c>
      <c r="B102" s="39" t="s">
        <v>1390</v>
      </c>
      <c r="C102" s="39" t="s">
        <v>19</v>
      </c>
      <c r="D102" s="39">
        <v>61515.0</v>
      </c>
      <c r="F102" s="39" t="s">
        <v>2318</v>
      </c>
      <c r="G102" s="39" t="s">
        <v>724</v>
      </c>
      <c r="H102" s="39" t="s">
        <v>872</v>
      </c>
      <c r="I102" s="39" t="s">
        <v>724</v>
      </c>
      <c r="J102" s="39" t="s">
        <v>872</v>
      </c>
      <c r="K102" s="39" t="s">
        <v>2161</v>
      </c>
      <c r="L102" s="43">
        <v>44200.42916666667</v>
      </c>
      <c r="M102" s="39">
        <v>25200.0</v>
      </c>
      <c r="N102" s="44">
        <v>44042.75763888889</v>
      </c>
    </row>
    <row r="103">
      <c r="A103" s="39" t="s">
        <v>957</v>
      </c>
      <c r="B103" s="39" t="s">
        <v>2319</v>
      </c>
      <c r="C103" s="39" t="s">
        <v>19</v>
      </c>
      <c r="D103" s="39">
        <v>61875.0</v>
      </c>
      <c r="F103" s="39" t="s">
        <v>2320</v>
      </c>
      <c r="I103" s="39" t="s">
        <v>1049</v>
      </c>
      <c r="J103" s="39" t="s">
        <v>1048</v>
      </c>
      <c r="K103" s="39" t="s">
        <v>2199</v>
      </c>
      <c r="L103" s="43">
        <v>44200.42916666667</v>
      </c>
      <c r="N103" s="43">
        <v>44049.55763888889</v>
      </c>
    </row>
    <row r="104">
      <c r="A104" s="39" t="s">
        <v>957</v>
      </c>
      <c r="B104" s="39" t="s">
        <v>2321</v>
      </c>
      <c r="C104" s="39" t="s">
        <v>19</v>
      </c>
      <c r="D104" s="39">
        <v>61512.0</v>
      </c>
      <c r="F104" s="39" t="s">
        <v>2322</v>
      </c>
      <c r="I104" s="39" t="s">
        <v>1049</v>
      </c>
      <c r="J104" s="39" t="s">
        <v>1048</v>
      </c>
      <c r="K104" s="39" t="s">
        <v>2199</v>
      </c>
      <c r="L104" s="43">
        <v>44200.42916666667</v>
      </c>
      <c r="N104" s="44">
        <v>44042.59305555555</v>
      </c>
    </row>
    <row r="105">
      <c r="A105" s="39" t="s">
        <v>957</v>
      </c>
      <c r="B105" s="39" t="s">
        <v>2323</v>
      </c>
      <c r="C105" s="39" t="s">
        <v>19</v>
      </c>
      <c r="D105" s="39">
        <v>61513.0</v>
      </c>
      <c r="F105" s="39" t="s">
        <v>2324</v>
      </c>
      <c r="I105" s="39" t="s">
        <v>1049</v>
      </c>
      <c r="J105" s="39" t="s">
        <v>1048</v>
      </c>
      <c r="K105" s="39" t="s">
        <v>2199</v>
      </c>
      <c r="L105" s="43">
        <v>44200.42916666667</v>
      </c>
      <c r="N105" s="44">
        <v>44042.59861111111</v>
      </c>
    </row>
    <row r="106">
      <c r="A106" s="39" t="s">
        <v>957</v>
      </c>
      <c r="B106" s="39" t="s">
        <v>1320</v>
      </c>
      <c r="C106" s="39" t="s">
        <v>19</v>
      </c>
      <c r="D106" s="39">
        <v>61876.0</v>
      </c>
      <c r="F106" s="39" t="s">
        <v>2325</v>
      </c>
      <c r="I106" s="39" t="s">
        <v>1049</v>
      </c>
      <c r="J106" s="39" t="s">
        <v>1048</v>
      </c>
      <c r="K106" s="39" t="s">
        <v>2199</v>
      </c>
      <c r="L106" s="43">
        <v>44200.42916666667</v>
      </c>
      <c r="M106" s="39">
        <v>18000.0</v>
      </c>
      <c r="N106" s="43">
        <v>44049.55763888889</v>
      </c>
    </row>
    <row r="107">
      <c r="A107" s="39" t="s">
        <v>957</v>
      </c>
      <c r="B107" s="39" t="s">
        <v>1297</v>
      </c>
      <c r="C107" s="39" t="s">
        <v>19</v>
      </c>
      <c r="D107" s="39">
        <v>61510.0</v>
      </c>
      <c r="F107" s="39" t="s">
        <v>1298</v>
      </c>
      <c r="G107" s="39" t="s">
        <v>724</v>
      </c>
      <c r="H107" s="39" t="s">
        <v>872</v>
      </c>
      <c r="I107" s="39" t="s">
        <v>724</v>
      </c>
      <c r="J107" s="39" t="s">
        <v>872</v>
      </c>
      <c r="K107" s="39" t="s">
        <v>2158</v>
      </c>
      <c r="L107" s="43">
        <v>44200.42916666667</v>
      </c>
      <c r="M107" s="39">
        <v>25200.0</v>
      </c>
      <c r="N107" s="44">
        <v>44042.55972222222</v>
      </c>
    </row>
    <row r="108">
      <c r="A108" s="39" t="s">
        <v>957</v>
      </c>
      <c r="B108" s="39" t="s">
        <v>1310</v>
      </c>
      <c r="C108" s="39" t="s">
        <v>19</v>
      </c>
      <c r="D108" s="39">
        <v>61874.0</v>
      </c>
      <c r="F108" s="39" t="s">
        <v>1311</v>
      </c>
      <c r="G108" s="39" t="s">
        <v>724</v>
      </c>
      <c r="H108" s="39" t="s">
        <v>872</v>
      </c>
      <c r="I108" s="39" t="s">
        <v>1049</v>
      </c>
      <c r="J108" s="39" t="s">
        <v>1048</v>
      </c>
      <c r="K108" s="39" t="s">
        <v>2199</v>
      </c>
      <c r="L108" s="43">
        <v>44200.42916666667</v>
      </c>
      <c r="M108" s="39">
        <v>25200.0</v>
      </c>
      <c r="N108" s="43">
        <v>44049.55625</v>
      </c>
    </row>
    <row r="109">
      <c r="A109" s="39" t="s">
        <v>957</v>
      </c>
      <c r="B109" s="39" t="s">
        <v>2326</v>
      </c>
      <c r="C109" s="39" t="s">
        <v>19</v>
      </c>
      <c r="D109" s="39">
        <v>61511.0</v>
      </c>
      <c r="F109" s="39" t="s">
        <v>2327</v>
      </c>
      <c r="I109" s="39" t="s">
        <v>1049</v>
      </c>
      <c r="J109" s="39" t="s">
        <v>1048</v>
      </c>
      <c r="K109" s="39" t="s">
        <v>2158</v>
      </c>
      <c r="L109" s="43">
        <v>44200.42916666667</v>
      </c>
      <c r="N109" s="44">
        <v>44042.584027777775</v>
      </c>
    </row>
    <row r="110">
      <c r="A110" s="39" t="s">
        <v>957</v>
      </c>
      <c r="B110" s="39" t="s">
        <v>2328</v>
      </c>
      <c r="C110" s="39" t="s">
        <v>19</v>
      </c>
      <c r="D110" s="39">
        <v>61871.0</v>
      </c>
      <c r="F110" s="39" t="s">
        <v>2329</v>
      </c>
      <c r="G110" s="39" t="s">
        <v>1060</v>
      </c>
      <c r="H110" s="39" t="s">
        <v>1059</v>
      </c>
      <c r="I110" s="39" t="s">
        <v>1060</v>
      </c>
      <c r="J110" s="39" t="s">
        <v>1059</v>
      </c>
      <c r="K110" s="39" t="s">
        <v>2158</v>
      </c>
      <c r="L110" s="43">
        <v>44200.42916666667</v>
      </c>
      <c r="N110" s="43">
        <v>44048.71527777778</v>
      </c>
    </row>
    <row r="111">
      <c r="A111" s="39" t="s">
        <v>957</v>
      </c>
      <c r="B111" s="39" t="s">
        <v>2330</v>
      </c>
      <c r="C111" s="39" t="s">
        <v>19</v>
      </c>
      <c r="D111" s="39">
        <v>61872.0</v>
      </c>
      <c r="F111" s="39" t="s">
        <v>2331</v>
      </c>
      <c r="G111" s="39" t="s">
        <v>724</v>
      </c>
      <c r="H111" s="39" t="s">
        <v>872</v>
      </c>
      <c r="I111" s="39" t="s">
        <v>1060</v>
      </c>
      <c r="J111" s="39" t="s">
        <v>1059</v>
      </c>
      <c r="K111" s="39" t="s">
        <v>2158</v>
      </c>
      <c r="L111" s="43">
        <v>44200.42916666667</v>
      </c>
      <c r="N111" s="43">
        <v>44048.72361111111</v>
      </c>
    </row>
    <row r="112">
      <c r="A112" s="39" t="s">
        <v>832</v>
      </c>
      <c r="B112" s="39" t="s">
        <v>2051</v>
      </c>
      <c r="C112" s="39" t="s">
        <v>19</v>
      </c>
      <c r="D112" s="39">
        <v>66088.0</v>
      </c>
      <c r="F112" s="39" t="s">
        <v>2052</v>
      </c>
      <c r="G112" s="39" t="s">
        <v>1060</v>
      </c>
      <c r="H112" s="39" t="s">
        <v>1059</v>
      </c>
      <c r="I112" s="39" t="s">
        <v>724</v>
      </c>
      <c r="J112" s="39" t="s">
        <v>872</v>
      </c>
      <c r="K112" s="39" t="s">
        <v>2188</v>
      </c>
      <c r="L112" s="43">
        <v>44200.42916666667</v>
      </c>
      <c r="M112" s="39">
        <v>180900.0</v>
      </c>
      <c r="N112" s="44">
        <v>44162.611805555556</v>
      </c>
    </row>
    <row r="113">
      <c r="A113" s="39" t="s">
        <v>957</v>
      </c>
      <c r="B113" s="39" t="s">
        <v>2054</v>
      </c>
      <c r="C113" s="39" t="s">
        <v>19</v>
      </c>
      <c r="D113" s="39">
        <v>66089.0</v>
      </c>
      <c r="F113" s="39" t="s">
        <v>2055</v>
      </c>
      <c r="G113" s="39" t="s">
        <v>1060</v>
      </c>
      <c r="H113" s="39" t="s">
        <v>1059</v>
      </c>
      <c r="I113" s="39" t="s">
        <v>724</v>
      </c>
      <c r="J113" s="39" t="s">
        <v>872</v>
      </c>
      <c r="K113" s="39" t="s">
        <v>2161</v>
      </c>
      <c r="L113" s="43">
        <v>44200.42916666667</v>
      </c>
      <c r="M113" s="39">
        <v>900.0</v>
      </c>
      <c r="N113" s="44">
        <v>44162.61666666667</v>
      </c>
    </row>
    <row r="114">
      <c r="A114" s="39" t="s">
        <v>832</v>
      </c>
      <c r="B114" s="39" t="s">
        <v>2043</v>
      </c>
      <c r="C114" s="39" t="s">
        <v>19</v>
      </c>
      <c r="D114" s="39">
        <v>66082.0</v>
      </c>
      <c r="F114" s="39" t="s">
        <v>2044</v>
      </c>
      <c r="G114" s="39" t="s">
        <v>724</v>
      </c>
      <c r="H114" s="39" t="s">
        <v>872</v>
      </c>
      <c r="I114" s="39" t="s">
        <v>724</v>
      </c>
      <c r="J114" s="39" t="s">
        <v>872</v>
      </c>
      <c r="K114" s="39" t="s">
        <v>2158</v>
      </c>
      <c r="L114" s="43">
        <v>44200.42916666667</v>
      </c>
      <c r="M114" s="39">
        <v>44100.0</v>
      </c>
      <c r="N114" s="44">
        <v>44161.68402777778</v>
      </c>
    </row>
    <row r="115">
      <c r="A115" s="39" t="s">
        <v>832</v>
      </c>
      <c r="B115" s="39" t="s">
        <v>2332</v>
      </c>
      <c r="C115" s="39" t="s">
        <v>19</v>
      </c>
      <c r="D115" s="39">
        <v>61509.0</v>
      </c>
      <c r="F115" s="39" t="s">
        <v>2333</v>
      </c>
      <c r="G115" s="39" t="s">
        <v>724</v>
      </c>
      <c r="H115" s="39" t="s">
        <v>872</v>
      </c>
      <c r="I115" s="39" t="s">
        <v>724</v>
      </c>
      <c r="J115" s="39" t="s">
        <v>872</v>
      </c>
      <c r="K115" s="39" t="s">
        <v>2199</v>
      </c>
      <c r="L115" s="43">
        <v>44200.42916666667</v>
      </c>
      <c r="N115" s="44">
        <v>44042.55694444444</v>
      </c>
    </row>
    <row r="116">
      <c r="A116" s="39" t="s">
        <v>957</v>
      </c>
      <c r="B116" s="39" t="s">
        <v>2334</v>
      </c>
      <c r="C116" s="39" t="s">
        <v>19</v>
      </c>
      <c r="D116" s="39">
        <v>60559.0</v>
      </c>
      <c r="F116" s="39" t="s">
        <v>2335</v>
      </c>
      <c r="G116" s="39" t="s">
        <v>724</v>
      </c>
      <c r="H116" s="39" t="s">
        <v>872</v>
      </c>
      <c r="I116" s="39" t="s">
        <v>1060</v>
      </c>
      <c r="J116" s="39" t="s">
        <v>1059</v>
      </c>
      <c r="K116" s="39" t="s">
        <v>2158</v>
      </c>
      <c r="L116" s="43">
        <v>44200.42916666667</v>
      </c>
      <c r="N116" s="44">
        <v>44011.615277777775</v>
      </c>
    </row>
    <row r="117">
      <c r="A117" s="39" t="s">
        <v>957</v>
      </c>
      <c r="B117" s="39" t="s">
        <v>2336</v>
      </c>
      <c r="C117" s="39" t="s">
        <v>19</v>
      </c>
      <c r="D117" s="39">
        <v>60558.0</v>
      </c>
      <c r="F117" s="39" t="s">
        <v>2337</v>
      </c>
      <c r="G117" s="39" t="s">
        <v>724</v>
      </c>
      <c r="H117" s="39" t="s">
        <v>872</v>
      </c>
      <c r="I117" s="39" t="s">
        <v>1060</v>
      </c>
      <c r="J117" s="39" t="s">
        <v>1059</v>
      </c>
      <c r="K117" s="39" t="s">
        <v>2158</v>
      </c>
      <c r="L117" s="43">
        <v>44200.42916666667</v>
      </c>
      <c r="N117" s="44">
        <v>44011.614583333336</v>
      </c>
    </row>
    <row r="118">
      <c r="A118" s="39" t="s">
        <v>957</v>
      </c>
      <c r="B118" s="39" t="s">
        <v>2338</v>
      </c>
      <c r="C118" s="39" t="s">
        <v>19</v>
      </c>
      <c r="D118" s="39">
        <v>60557.0</v>
      </c>
      <c r="F118" s="39" t="s">
        <v>2339</v>
      </c>
      <c r="I118" s="39" t="s">
        <v>1060</v>
      </c>
      <c r="J118" s="39" t="s">
        <v>1059</v>
      </c>
      <c r="K118" s="39" t="s">
        <v>2158</v>
      </c>
      <c r="L118" s="43">
        <v>44200.42916666667</v>
      </c>
      <c r="N118" s="44">
        <v>44011.6125</v>
      </c>
    </row>
    <row r="119">
      <c r="A119" s="39" t="s">
        <v>957</v>
      </c>
      <c r="B119" s="39" t="s">
        <v>1631</v>
      </c>
      <c r="C119" s="39" t="s">
        <v>19</v>
      </c>
      <c r="D119" s="39">
        <v>62736.0</v>
      </c>
      <c r="F119" s="39" t="s">
        <v>1632</v>
      </c>
      <c r="G119" s="39" t="s">
        <v>2197</v>
      </c>
      <c r="H119" s="39" t="s">
        <v>2198</v>
      </c>
      <c r="I119" s="39" t="s">
        <v>724</v>
      </c>
      <c r="J119" s="39" t="s">
        <v>872</v>
      </c>
      <c r="K119" s="39" t="s">
        <v>2158</v>
      </c>
      <c r="L119" s="43">
        <v>44200.42916666667</v>
      </c>
      <c r="M119" s="39">
        <v>29700.0</v>
      </c>
      <c r="N119" s="43">
        <v>44083.495833333334</v>
      </c>
    </row>
    <row r="120">
      <c r="A120" s="39" t="s">
        <v>832</v>
      </c>
      <c r="B120" s="39" t="s">
        <v>1102</v>
      </c>
      <c r="C120" s="39" t="s">
        <v>19</v>
      </c>
      <c r="D120" s="39">
        <v>60436.0</v>
      </c>
      <c r="F120" s="39" t="s">
        <v>1103</v>
      </c>
      <c r="G120" s="39" t="s">
        <v>724</v>
      </c>
      <c r="H120" s="39" t="s">
        <v>872</v>
      </c>
      <c r="I120" s="39" t="s">
        <v>724</v>
      </c>
      <c r="J120" s="39" t="s">
        <v>872</v>
      </c>
      <c r="K120" s="39" t="s">
        <v>2158</v>
      </c>
      <c r="L120" s="43">
        <v>44200.42916666667</v>
      </c>
      <c r="M120" s="39">
        <v>3600.0</v>
      </c>
      <c r="N120" s="44">
        <v>44000.50208333333</v>
      </c>
    </row>
    <row r="121">
      <c r="A121" s="39" t="s">
        <v>957</v>
      </c>
      <c r="B121" s="39" t="s">
        <v>2340</v>
      </c>
      <c r="C121" s="39" t="s">
        <v>19</v>
      </c>
      <c r="D121" s="39">
        <v>60799.0</v>
      </c>
      <c r="F121" s="39" t="s">
        <v>2341</v>
      </c>
      <c r="G121" s="39" t="s">
        <v>724</v>
      </c>
      <c r="H121" s="39" t="s">
        <v>872</v>
      </c>
      <c r="I121" s="39" t="s">
        <v>1060</v>
      </c>
      <c r="J121" s="39" t="s">
        <v>1059</v>
      </c>
      <c r="K121" s="39" t="s">
        <v>2158</v>
      </c>
      <c r="L121" s="43">
        <v>44200.42916666667</v>
      </c>
      <c r="N121" s="43">
        <v>44021.70416666667</v>
      </c>
    </row>
    <row r="122">
      <c r="A122" s="39" t="s">
        <v>832</v>
      </c>
      <c r="B122" s="39" t="s">
        <v>2089</v>
      </c>
      <c r="C122" s="39" t="s">
        <v>19</v>
      </c>
      <c r="D122" s="39">
        <v>62733.0</v>
      </c>
      <c r="F122" s="39" t="s">
        <v>2090</v>
      </c>
      <c r="I122" s="39" t="s">
        <v>724</v>
      </c>
      <c r="J122" s="39" t="s">
        <v>872</v>
      </c>
      <c r="K122" s="39" t="s">
        <v>2161</v>
      </c>
      <c r="L122" s="43">
        <v>44200.42916666667</v>
      </c>
      <c r="M122" s="39">
        <v>900.0</v>
      </c>
      <c r="N122" s="43">
        <v>44083.37222222222</v>
      </c>
    </row>
    <row r="123">
      <c r="A123" s="39" t="s">
        <v>957</v>
      </c>
      <c r="B123" s="39" t="s">
        <v>2342</v>
      </c>
      <c r="C123" s="39" t="s">
        <v>19</v>
      </c>
      <c r="D123" s="39">
        <v>60798.0</v>
      </c>
      <c r="F123" s="39" t="s">
        <v>2343</v>
      </c>
      <c r="G123" s="39" t="s">
        <v>724</v>
      </c>
      <c r="H123" s="39" t="s">
        <v>872</v>
      </c>
      <c r="I123" s="39" t="s">
        <v>1060</v>
      </c>
      <c r="J123" s="39" t="s">
        <v>1059</v>
      </c>
      <c r="K123" s="39" t="s">
        <v>2158</v>
      </c>
      <c r="L123" s="43">
        <v>44200.42916666667</v>
      </c>
      <c r="N123" s="43">
        <v>44021.70416666667</v>
      </c>
    </row>
    <row r="124">
      <c r="A124" s="39" t="s">
        <v>957</v>
      </c>
      <c r="B124" s="39" t="s">
        <v>2344</v>
      </c>
      <c r="C124" s="39" t="s">
        <v>19</v>
      </c>
      <c r="D124" s="39">
        <v>60555.0</v>
      </c>
      <c r="F124" s="39" t="s">
        <v>2345</v>
      </c>
      <c r="G124" s="39" t="s">
        <v>724</v>
      </c>
      <c r="H124" s="39" t="s">
        <v>872</v>
      </c>
      <c r="I124" s="39" t="s">
        <v>1060</v>
      </c>
      <c r="J124" s="39" t="s">
        <v>1059</v>
      </c>
      <c r="K124" s="39" t="s">
        <v>2158</v>
      </c>
      <c r="L124" s="43">
        <v>44200.42916666667</v>
      </c>
      <c r="N124" s="44">
        <v>44011.60625</v>
      </c>
    </row>
    <row r="125">
      <c r="A125" s="39" t="s">
        <v>957</v>
      </c>
      <c r="B125" s="39" t="s">
        <v>2346</v>
      </c>
      <c r="C125" s="39" t="s">
        <v>19</v>
      </c>
      <c r="D125" s="39">
        <v>60797.0</v>
      </c>
      <c r="F125" s="39" t="s">
        <v>2347</v>
      </c>
      <c r="G125" s="39" t="s">
        <v>724</v>
      </c>
      <c r="H125" s="39" t="s">
        <v>872</v>
      </c>
      <c r="I125" s="39" t="s">
        <v>1060</v>
      </c>
      <c r="J125" s="39" t="s">
        <v>1059</v>
      </c>
      <c r="K125" s="39" t="s">
        <v>2158</v>
      </c>
      <c r="L125" s="43">
        <v>44200.42916666667</v>
      </c>
      <c r="N125" s="43">
        <v>44021.70347222222</v>
      </c>
    </row>
    <row r="126">
      <c r="A126" s="39" t="s">
        <v>957</v>
      </c>
      <c r="B126" s="39" t="s">
        <v>2348</v>
      </c>
      <c r="C126" s="39" t="s">
        <v>19</v>
      </c>
      <c r="D126" s="39">
        <v>60554.0</v>
      </c>
      <c r="F126" s="39" t="s">
        <v>2349</v>
      </c>
      <c r="G126" s="39" t="s">
        <v>724</v>
      </c>
      <c r="H126" s="39" t="s">
        <v>872</v>
      </c>
      <c r="I126" s="39" t="s">
        <v>1049</v>
      </c>
      <c r="J126" s="39" t="s">
        <v>1048</v>
      </c>
      <c r="K126" s="39" t="s">
        <v>2158</v>
      </c>
      <c r="L126" s="43">
        <v>44200.42916666667</v>
      </c>
      <c r="N126" s="44">
        <v>44011.54027777778</v>
      </c>
    </row>
    <row r="127">
      <c r="A127" s="39" t="s">
        <v>957</v>
      </c>
      <c r="B127" s="39" t="s">
        <v>1906</v>
      </c>
      <c r="C127" s="39" t="s">
        <v>19</v>
      </c>
      <c r="D127" s="39">
        <v>62731.0</v>
      </c>
      <c r="F127" s="39" t="s">
        <v>1907</v>
      </c>
      <c r="G127" s="39" t="s">
        <v>2197</v>
      </c>
      <c r="H127" s="39" t="s">
        <v>2198</v>
      </c>
      <c r="I127" s="39" t="s">
        <v>724</v>
      </c>
      <c r="J127" s="39" t="s">
        <v>872</v>
      </c>
      <c r="K127" s="39" t="s">
        <v>2158</v>
      </c>
      <c r="L127" s="43">
        <v>44200.42916666667</v>
      </c>
      <c r="M127" s="39">
        <v>6300.0</v>
      </c>
      <c r="N127" s="43">
        <v>44082.93472222222</v>
      </c>
    </row>
    <row r="128">
      <c r="A128" s="39" t="s">
        <v>957</v>
      </c>
      <c r="B128" s="39" t="s">
        <v>2350</v>
      </c>
      <c r="C128" s="39" t="s">
        <v>19</v>
      </c>
      <c r="D128" s="39">
        <v>60796.0</v>
      </c>
      <c r="F128" s="39" t="s">
        <v>2351</v>
      </c>
      <c r="G128" s="39" t="s">
        <v>724</v>
      </c>
      <c r="H128" s="39" t="s">
        <v>872</v>
      </c>
      <c r="I128" s="39" t="s">
        <v>1060</v>
      </c>
      <c r="J128" s="39" t="s">
        <v>1059</v>
      </c>
      <c r="K128" s="39" t="s">
        <v>2158</v>
      </c>
      <c r="L128" s="43">
        <v>44200.42916666667</v>
      </c>
      <c r="N128" s="43">
        <v>44021.70347222222</v>
      </c>
    </row>
    <row r="129">
      <c r="A129" s="39" t="s">
        <v>957</v>
      </c>
      <c r="B129" s="39" t="s">
        <v>2352</v>
      </c>
      <c r="C129" s="39" t="s">
        <v>19</v>
      </c>
      <c r="D129" s="39">
        <v>60795.0</v>
      </c>
      <c r="F129" s="39" t="s">
        <v>2353</v>
      </c>
      <c r="G129" s="39" t="s">
        <v>724</v>
      </c>
      <c r="H129" s="39" t="s">
        <v>872</v>
      </c>
      <c r="I129" s="39" t="s">
        <v>1060</v>
      </c>
      <c r="J129" s="39" t="s">
        <v>1059</v>
      </c>
      <c r="K129" s="39" t="s">
        <v>2158</v>
      </c>
      <c r="L129" s="43">
        <v>44200.42916666667</v>
      </c>
      <c r="N129" s="43">
        <v>44021.70347222222</v>
      </c>
    </row>
    <row r="130">
      <c r="A130" s="39" t="s">
        <v>957</v>
      </c>
      <c r="B130" s="39" t="s">
        <v>2354</v>
      </c>
      <c r="C130" s="39" t="s">
        <v>19</v>
      </c>
      <c r="D130" s="39">
        <v>62732.0</v>
      </c>
      <c r="F130" s="39" t="s">
        <v>2355</v>
      </c>
      <c r="I130" s="39" t="s">
        <v>724</v>
      </c>
      <c r="J130" s="39" t="s">
        <v>872</v>
      </c>
      <c r="K130" s="39" t="s">
        <v>2161</v>
      </c>
      <c r="L130" s="43">
        <v>44200.42916666667</v>
      </c>
      <c r="N130" s="43">
        <v>44082.93541666667</v>
      </c>
    </row>
    <row r="131">
      <c r="A131" s="39" t="s">
        <v>957</v>
      </c>
      <c r="B131" s="39" t="s">
        <v>2356</v>
      </c>
      <c r="C131" s="39" t="s">
        <v>19</v>
      </c>
      <c r="D131" s="39">
        <v>60553.0</v>
      </c>
      <c r="F131" s="39" t="s">
        <v>2357</v>
      </c>
      <c r="G131" s="39" t="s">
        <v>724</v>
      </c>
      <c r="H131" s="39" t="s">
        <v>872</v>
      </c>
      <c r="I131" s="39" t="s">
        <v>1049</v>
      </c>
      <c r="J131" s="39" t="s">
        <v>1048</v>
      </c>
      <c r="K131" s="39" t="s">
        <v>2158</v>
      </c>
      <c r="L131" s="43">
        <v>44200.42916666667</v>
      </c>
      <c r="N131" s="44">
        <v>44011.53888888889</v>
      </c>
    </row>
    <row r="132">
      <c r="A132" s="39" t="s">
        <v>957</v>
      </c>
      <c r="B132" s="39" t="s">
        <v>2358</v>
      </c>
      <c r="C132" s="39" t="s">
        <v>19</v>
      </c>
      <c r="D132" s="39">
        <v>60552.0</v>
      </c>
      <c r="F132" s="39" t="s">
        <v>2359</v>
      </c>
      <c r="G132" s="39" t="s">
        <v>724</v>
      </c>
      <c r="H132" s="39" t="s">
        <v>872</v>
      </c>
      <c r="I132" s="39" t="s">
        <v>1049</v>
      </c>
      <c r="J132" s="39" t="s">
        <v>1048</v>
      </c>
      <c r="K132" s="39" t="s">
        <v>2158</v>
      </c>
      <c r="L132" s="43">
        <v>44200.42916666667</v>
      </c>
      <c r="N132" s="44">
        <v>44011.5375</v>
      </c>
    </row>
    <row r="133">
      <c r="A133" s="39" t="s">
        <v>832</v>
      </c>
      <c r="B133" s="39" t="s">
        <v>2360</v>
      </c>
      <c r="C133" s="39" t="s">
        <v>19</v>
      </c>
      <c r="D133" s="39">
        <v>60794.0</v>
      </c>
      <c r="F133" s="39" t="s">
        <v>2361</v>
      </c>
      <c r="G133" s="39" t="s">
        <v>724</v>
      </c>
      <c r="H133" s="39" t="s">
        <v>872</v>
      </c>
      <c r="I133" s="39" t="s">
        <v>1060</v>
      </c>
      <c r="J133" s="39" t="s">
        <v>1059</v>
      </c>
      <c r="K133" s="39" t="s">
        <v>2161</v>
      </c>
      <c r="L133" s="43">
        <v>44200.42916666667</v>
      </c>
      <c r="N133" s="43">
        <v>44021.652083333334</v>
      </c>
    </row>
    <row r="134">
      <c r="A134" s="39" t="s">
        <v>957</v>
      </c>
      <c r="B134" s="39" t="s">
        <v>2362</v>
      </c>
      <c r="C134" s="39" t="s">
        <v>19</v>
      </c>
      <c r="D134" s="39">
        <v>60551.0</v>
      </c>
      <c r="F134" s="39" t="s">
        <v>2363</v>
      </c>
      <c r="G134" s="39" t="s">
        <v>724</v>
      </c>
      <c r="H134" s="39" t="s">
        <v>872</v>
      </c>
      <c r="I134" s="39" t="s">
        <v>1049</v>
      </c>
      <c r="J134" s="39" t="s">
        <v>1048</v>
      </c>
      <c r="K134" s="39" t="s">
        <v>2158</v>
      </c>
      <c r="L134" s="43">
        <v>44200.42916666667</v>
      </c>
      <c r="N134" s="44">
        <v>44011.53680555556</v>
      </c>
    </row>
    <row r="135">
      <c r="A135" s="39" t="s">
        <v>957</v>
      </c>
      <c r="B135" s="39" t="s">
        <v>1731</v>
      </c>
      <c r="C135" s="39" t="s">
        <v>19</v>
      </c>
      <c r="D135" s="39">
        <v>62730.0</v>
      </c>
      <c r="F135" s="39" t="s">
        <v>1732</v>
      </c>
      <c r="G135" s="39" t="s">
        <v>724</v>
      </c>
      <c r="H135" s="39" t="s">
        <v>872</v>
      </c>
      <c r="I135" s="39" t="s">
        <v>724</v>
      </c>
      <c r="J135" s="39" t="s">
        <v>872</v>
      </c>
      <c r="K135" s="39" t="s">
        <v>2158</v>
      </c>
      <c r="L135" s="43">
        <v>44200.42916666667</v>
      </c>
      <c r="M135" s="39">
        <v>1200.0</v>
      </c>
      <c r="N135" s="43">
        <v>44082.93402777778</v>
      </c>
    </row>
    <row r="136">
      <c r="A136" s="39" t="s">
        <v>957</v>
      </c>
      <c r="B136" s="39" t="s">
        <v>2364</v>
      </c>
      <c r="C136" s="39" t="s">
        <v>19</v>
      </c>
      <c r="D136" s="39">
        <v>60550.0</v>
      </c>
      <c r="F136" s="39" t="s">
        <v>2365</v>
      </c>
      <c r="G136" s="39" t="s">
        <v>724</v>
      </c>
      <c r="H136" s="39" t="s">
        <v>872</v>
      </c>
      <c r="I136" s="39" t="s">
        <v>1049</v>
      </c>
      <c r="J136" s="39" t="s">
        <v>1048</v>
      </c>
      <c r="K136" s="39" t="s">
        <v>2158</v>
      </c>
      <c r="L136" s="43">
        <v>44200.42916666667</v>
      </c>
      <c r="N136" s="44">
        <v>44011.53125</v>
      </c>
    </row>
    <row r="137">
      <c r="A137" s="39" t="s">
        <v>957</v>
      </c>
      <c r="B137" s="39" t="s">
        <v>2366</v>
      </c>
      <c r="C137" s="39" t="s">
        <v>19</v>
      </c>
      <c r="D137" s="39">
        <v>66094.0</v>
      </c>
      <c r="F137" s="39" t="s">
        <v>2367</v>
      </c>
      <c r="G137" s="39" t="s">
        <v>1060</v>
      </c>
      <c r="H137" s="39" t="s">
        <v>1059</v>
      </c>
      <c r="I137" s="39" t="s">
        <v>724</v>
      </c>
      <c r="J137" s="39" t="s">
        <v>872</v>
      </c>
      <c r="K137" s="39" t="s">
        <v>2188</v>
      </c>
      <c r="L137" s="43">
        <v>44200.42916666667</v>
      </c>
      <c r="N137" s="44">
        <v>44162.631944444445</v>
      </c>
    </row>
    <row r="138">
      <c r="A138" s="39" t="s">
        <v>957</v>
      </c>
      <c r="B138" s="39" t="s">
        <v>2073</v>
      </c>
      <c r="C138" s="39" t="s">
        <v>19</v>
      </c>
      <c r="D138" s="39">
        <v>66095.0</v>
      </c>
      <c r="F138" s="39" t="s">
        <v>2074</v>
      </c>
      <c r="G138" s="39" t="s">
        <v>1060</v>
      </c>
      <c r="H138" s="39" t="s">
        <v>1059</v>
      </c>
      <c r="I138" s="39" t="s">
        <v>724</v>
      </c>
      <c r="J138" s="39" t="s">
        <v>872</v>
      </c>
      <c r="K138" s="39" t="s">
        <v>2188</v>
      </c>
      <c r="L138" s="43">
        <v>44200.42916666667</v>
      </c>
      <c r="M138" s="39">
        <v>3600.0</v>
      </c>
      <c r="N138" s="44">
        <v>44162.63333333333</v>
      </c>
    </row>
    <row r="139">
      <c r="A139" s="39" t="s">
        <v>957</v>
      </c>
      <c r="B139" s="39" t="s">
        <v>2059</v>
      </c>
      <c r="C139" s="39" t="s">
        <v>19</v>
      </c>
      <c r="D139" s="39">
        <v>66090.0</v>
      </c>
      <c r="F139" s="39" t="s">
        <v>2060</v>
      </c>
      <c r="G139" s="39" t="s">
        <v>901</v>
      </c>
      <c r="H139" s="39" t="s">
        <v>900</v>
      </c>
      <c r="I139" s="39" t="s">
        <v>724</v>
      </c>
      <c r="J139" s="39" t="s">
        <v>872</v>
      </c>
      <c r="K139" s="39" t="s">
        <v>2188</v>
      </c>
      <c r="L139" s="43">
        <v>44200.42916666667</v>
      </c>
      <c r="M139" s="39">
        <v>150300.0</v>
      </c>
      <c r="N139" s="44">
        <v>44162.62152777778</v>
      </c>
    </row>
    <row r="140">
      <c r="A140" s="39" t="s">
        <v>957</v>
      </c>
      <c r="B140" s="39" t="s">
        <v>2368</v>
      </c>
      <c r="C140" s="39" t="s">
        <v>19</v>
      </c>
      <c r="D140" s="39">
        <v>66092.0</v>
      </c>
      <c r="F140" s="39" t="s">
        <v>2369</v>
      </c>
      <c r="G140" s="39" t="s">
        <v>1060</v>
      </c>
      <c r="H140" s="39" t="s">
        <v>1059</v>
      </c>
      <c r="I140" s="39" t="s">
        <v>724</v>
      </c>
      <c r="J140" s="39" t="s">
        <v>872</v>
      </c>
      <c r="K140" s="39" t="s">
        <v>2161</v>
      </c>
      <c r="L140" s="43">
        <v>44200.42916666667</v>
      </c>
      <c r="N140" s="44">
        <v>44162.63125</v>
      </c>
    </row>
    <row r="141">
      <c r="A141" s="39" t="s">
        <v>832</v>
      </c>
      <c r="B141" s="39" t="s">
        <v>2370</v>
      </c>
      <c r="C141" s="39" t="s">
        <v>19</v>
      </c>
      <c r="D141" s="39">
        <v>56196.0</v>
      </c>
      <c r="F141" s="39" t="s">
        <v>2371</v>
      </c>
      <c r="I141" s="39" t="s">
        <v>724</v>
      </c>
      <c r="J141" s="39" t="s">
        <v>872</v>
      </c>
      <c r="K141" s="39" t="s">
        <v>2161</v>
      </c>
      <c r="L141" s="43">
        <v>44200.42916666667</v>
      </c>
      <c r="N141" s="44">
        <v>43886.44513888889</v>
      </c>
    </row>
    <row r="142">
      <c r="A142" s="39" t="s">
        <v>832</v>
      </c>
      <c r="B142" s="39" t="s">
        <v>2112</v>
      </c>
      <c r="C142" s="39" t="s">
        <v>19</v>
      </c>
      <c r="D142" s="39">
        <v>56197.0</v>
      </c>
      <c r="F142" s="39" t="s">
        <v>2113</v>
      </c>
      <c r="G142" s="39" t="s">
        <v>1049</v>
      </c>
      <c r="H142" s="39" t="s">
        <v>1048</v>
      </c>
      <c r="I142" s="39" t="s">
        <v>724</v>
      </c>
      <c r="J142" s="39" t="s">
        <v>872</v>
      </c>
      <c r="K142" s="39" t="s">
        <v>2188</v>
      </c>
      <c r="L142" s="43">
        <v>44200.42916666667</v>
      </c>
      <c r="M142" s="39">
        <v>119700.0</v>
      </c>
      <c r="N142" s="44">
        <v>43886.44652777778</v>
      </c>
    </row>
    <row r="143">
      <c r="A143" s="39" t="s">
        <v>832</v>
      </c>
      <c r="B143" s="39" t="s">
        <v>1317</v>
      </c>
      <c r="C143" s="39" t="s">
        <v>19</v>
      </c>
      <c r="D143" s="39">
        <v>61899.0</v>
      </c>
      <c r="F143" s="39" t="s">
        <v>1318</v>
      </c>
      <c r="G143" s="39" t="s">
        <v>1060</v>
      </c>
      <c r="H143" s="39" t="s">
        <v>1059</v>
      </c>
      <c r="I143" s="39" t="s">
        <v>724</v>
      </c>
      <c r="J143" s="39" t="s">
        <v>872</v>
      </c>
      <c r="K143" s="39" t="s">
        <v>2158</v>
      </c>
      <c r="L143" s="43">
        <v>44200.42916666667</v>
      </c>
      <c r="M143" s="39">
        <v>79200.0</v>
      </c>
      <c r="N143" s="43">
        <v>44052.89513888889</v>
      </c>
    </row>
    <row r="144">
      <c r="A144" s="39" t="s">
        <v>957</v>
      </c>
      <c r="B144" s="39" t="s">
        <v>2372</v>
      </c>
      <c r="C144" s="39" t="s">
        <v>19</v>
      </c>
      <c r="D144" s="39">
        <v>62746.0</v>
      </c>
      <c r="F144" s="39" t="s">
        <v>2373</v>
      </c>
      <c r="G144" s="39" t="s">
        <v>1060</v>
      </c>
      <c r="H144" s="39" t="s">
        <v>1059</v>
      </c>
      <c r="I144" s="39" t="s">
        <v>724</v>
      </c>
      <c r="J144" s="39" t="s">
        <v>872</v>
      </c>
      <c r="K144" s="39" t="s">
        <v>2158</v>
      </c>
      <c r="L144" s="43">
        <v>44200.42916666667</v>
      </c>
      <c r="N144" s="43">
        <v>44083.62847222222</v>
      </c>
    </row>
    <row r="145">
      <c r="A145" s="39" t="s">
        <v>957</v>
      </c>
      <c r="B145" s="39" t="s">
        <v>2374</v>
      </c>
      <c r="C145" s="39" t="s">
        <v>19</v>
      </c>
      <c r="D145" s="39">
        <v>61897.0</v>
      </c>
      <c r="F145" s="39" t="s">
        <v>2375</v>
      </c>
      <c r="G145" s="39" t="s">
        <v>724</v>
      </c>
      <c r="H145" s="39" t="s">
        <v>872</v>
      </c>
      <c r="I145" s="39" t="s">
        <v>724</v>
      </c>
      <c r="J145" s="39" t="s">
        <v>872</v>
      </c>
      <c r="K145" s="39" t="s">
        <v>2158</v>
      </c>
      <c r="L145" s="43">
        <v>44200.42916666667</v>
      </c>
      <c r="N145" s="43">
        <v>44052.88888888889</v>
      </c>
    </row>
    <row r="146">
      <c r="A146" s="39" t="s">
        <v>957</v>
      </c>
      <c r="B146" s="39" t="s">
        <v>2376</v>
      </c>
      <c r="C146" s="39" t="s">
        <v>19</v>
      </c>
      <c r="D146" s="39">
        <v>61898.0</v>
      </c>
      <c r="F146" s="39" t="s">
        <v>2377</v>
      </c>
      <c r="G146" s="39" t="s">
        <v>724</v>
      </c>
      <c r="H146" s="39" t="s">
        <v>872</v>
      </c>
      <c r="I146" s="39" t="s">
        <v>724</v>
      </c>
      <c r="J146" s="39" t="s">
        <v>872</v>
      </c>
      <c r="K146" s="39" t="s">
        <v>2158</v>
      </c>
      <c r="L146" s="43">
        <v>44200.42916666667</v>
      </c>
      <c r="N146" s="43">
        <v>44052.88958333333</v>
      </c>
    </row>
    <row r="147">
      <c r="A147" s="39" t="s">
        <v>957</v>
      </c>
      <c r="B147" s="39" t="s">
        <v>2378</v>
      </c>
      <c r="C147" s="39" t="s">
        <v>19</v>
      </c>
      <c r="D147" s="39">
        <v>60564.0</v>
      </c>
      <c r="F147" s="39" t="s">
        <v>2379</v>
      </c>
      <c r="G147" s="39" t="s">
        <v>724</v>
      </c>
      <c r="H147" s="39" t="s">
        <v>872</v>
      </c>
      <c r="I147" s="39" t="s">
        <v>724</v>
      </c>
      <c r="J147" s="39" t="s">
        <v>872</v>
      </c>
      <c r="K147" s="39" t="s">
        <v>2158</v>
      </c>
      <c r="L147" s="43">
        <v>44200.42916666667</v>
      </c>
      <c r="N147" s="44">
        <v>44011.654861111114</v>
      </c>
    </row>
    <row r="148">
      <c r="A148" s="39" t="s">
        <v>957</v>
      </c>
      <c r="B148" s="39" t="s">
        <v>2380</v>
      </c>
      <c r="C148" s="39" t="s">
        <v>19</v>
      </c>
      <c r="D148" s="39">
        <v>60563.0</v>
      </c>
      <c r="F148" s="39" t="s">
        <v>2381</v>
      </c>
      <c r="G148" s="39" t="s">
        <v>724</v>
      </c>
      <c r="H148" s="39" t="s">
        <v>872</v>
      </c>
      <c r="I148" s="39" t="s">
        <v>1060</v>
      </c>
      <c r="J148" s="39" t="s">
        <v>1059</v>
      </c>
      <c r="K148" s="39" t="s">
        <v>2158</v>
      </c>
      <c r="L148" s="43">
        <v>44200.42916666667</v>
      </c>
      <c r="N148" s="44">
        <v>44011.62152777778</v>
      </c>
    </row>
    <row r="149">
      <c r="A149" s="39" t="s">
        <v>957</v>
      </c>
      <c r="B149" s="39" t="s">
        <v>2382</v>
      </c>
      <c r="C149" s="39" t="s">
        <v>19</v>
      </c>
      <c r="D149" s="39">
        <v>60562.0</v>
      </c>
      <c r="F149" s="39" t="s">
        <v>2383</v>
      </c>
      <c r="G149" s="39" t="s">
        <v>724</v>
      </c>
      <c r="H149" s="39" t="s">
        <v>872</v>
      </c>
      <c r="I149" s="39" t="s">
        <v>1060</v>
      </c>
      <c r="J149" s="39" t="s">
        <v>1059</v>
      </c>
      <c r="K149" s="39" t="s">
        <v>2158</v>
      </c>
      <c r="L149" s="43">
        <v>44200.42916666667</v>
      </c>
      <c r="N149" s="44">
        <v>44011.62013888889</v>
      </c>
    </row>
    <row r="150">
      <c r="A150" s="39" t="s">
        <v>957</v>
      </c>
      <c r="B150" s="39" t="s">
        <v>2384</v>
      </c>
      <c r="C150" s="39" t="s">
        <v>19</v>
      </c>
      <c r="D150" s="39">
        <v>60561.0</v>
      </c>
      <c r="F150" s="39" t="s">
        <v>2385</v>
      </c>
      <c r="G150" s="39" t="s">
        <v>724</v>
      </c>
      <c r="H150" s="39" t="s">
        <v>872</v>
      </c>
      <c r="I150" s="39" t="s">
        <v>1060</v>
      </c>
      <c r="J150" s="39" t="s">
        <v>1059</v>
      </c>
      <c r="K150" s="39" t="s">
        <v>2158</v>
      </c>
      <c r="L150" s="43">
        <v>44200.42916666667</v>
      </c>
      <c r="N150" s="44">
        <v>44011.62013888889</v>
      </c>
    </row>
    <row r="151">
      <c r="A151" s="39" t="s">
        <v>957</v>
      </c>
      <c r="B151" s="39" t="s">
        <v>2386</v>
      </c>
      <c r="C151" s="39" t="s">
        <v>19</v>
      </c>
      <c r="D151" s="39">
        <v>60560.0</v>
      </c>
      <c r="F151" s="39" t="s">
        <v>2387</v>
      </c>
      <c r="G151" s="39" t="s">
        <v>724</v>
      </c>
      <c r="H151" s="39" t="s">
        <v>872</v>
      </c>
      <c r="I151" s="39" t="s">
        <v>1060</v>
      </c>
      <c r="J151" s="39" t="s">
        <v>1059</v>
      </c>
      <c r="K151" s="39" t="s">
        <v>2158</v>
      </c>
      <c r="L151" s="43">
        <v>44200.42916666667</v>
      </c>
      <c r="N151" s="44">
        <v>44011.618055555555</v>
      </c>
    </row>
    <row r="152">
      <c r="A152" s="39" t="s">
        <v>957</v>
      </c>
      <c r="B152" s="39" t="s">
        <v>1348</v>
      </c>
      <c r="C152" s="39" t="s">
        <v>19</v>
      </c>
      <c r="D152" s="39">
        <v>61892.0</v>
      </c>
      <c r="F152" s="39" t="s">
        <v>1349</v>
      </c>
      <c r="G152" s="39" t="s">
        <v>1060</v>
      </c>
      <c r="H152" s="39" t="s">
        <v>1059</v>
      </c>
      <c r="I152" s="39" t="s">
        <v>724</v>
      </c>
      <c r="J152" s="39" t="s">
        <v>872</v>
      </c>
      <c r="K152" s="39" t="s">
        <v>2158</v>
      </c>
      <c r="L152" s="43">
        <v>44200.42916666667</v>
      </c>
      <c r="M152" s="39">
        <v>28800.0</v>
      </c>
      <c r="N152" s="43">
        <v>44052.68472222222</v>
      </c>
    </row>
    <row r="153">
      <c r="A153" s="39" t="s">
        <v>957</v>
      </c>
      <c r="B153" s="39" t="s">
        <v>1587</v>
      </c>
      <c r="C153" s="39" t="s">
        <v>19</v>
      </c>
      <c r="D153" s="39">
        <v>62639.0</v>
      </c>
      <c r="F153" s="39" t="s">
        <v>1588</v>
      </c>
      <c r="G153" s="39" t="s">
        <v>724</v>
      </c>
      <c r="H153" s="39" t="s">
        <v>872</v>
      </c>
      <c r="I153" s="39" t="s">
        <v>724</v>
      </c>
      <c r="J153" s="39" t="s">
        <v>872</v>
      </c>
      <c r="K153" s="39" t="s">
        <v>2188</v>
      </c>
      <c r="L153" s="43">
        <v>44200.42916666667</v>
      </c>
      <c r="M153" s="39">
        <v>54000.0</v>
      </c>
      <c r="N153" s="43">
        <v>44082.65555555555</v>
      </c>
    </row>
    <row r="154">
      <c r="A154" s="39" t="s">
        <v>957</v>
      </c>
      <c r="B154" s="39" t="s">
        <v>1987</v>
      </c>
      <c r="C154" s="39" t="s">
        <v>19</v>
      </c>
      <c r="D154" s="39">
        <v>65908.0</v>
      </c>
      <c r="F154" s="39" t="s">
        <v>1988</v>
      </c>
      <c r="G154" s="39" t="s">
        <v>1049</v>
      </c>
      <c r="H154" s="39" t="s">
        <v>1048</v>
      </c>
      <c r="I154" s="39" t="s">
        <v>724</v>
      </c>
      <c r="J154" s="39" t="s">
        <v>872</v>
      </c>
      <c r="K154" s="39" t="s">
        <v>2158</v>
      </c>
      <c r="L154" s="43">
        <v>44200.42916666667</v>
      </c>
      <c r="M154" s="39">
        <v>36000.0</v>
      </c>
      <c r="N154" s="44">
        <v>44152.7625</v>
      </c>
    </row>
    <row r="155">
      <c r="A155" s="39" t="s">
        <v>832</v>
      </c>
      <c r="B155" s="39" t="s">
        <v>2388</v>
      </c>
      <c r="C155" s="39" t="s">
        <v>19</v>
      </c>
      <c r="D155" s="39">
        <v>57036.0</v>
      </c>
      <c r="F155" s="39" t="s">
        <v>2389</v>
      </c>
      <c r="G155" s="39" t="s">
        <v>724</v>
      </c>
      <c r="H155" s="39" t="s">
        <v>872</v>
      </c>
      <c r="I155" s="39" t="s">
        <v>724</v>
      </c>
      <c r="J155" s="39" t="s">
        <v>872</v>
      </c>
      <c r="K155" s="39" t="s">
        <v>2158</v>
      </c>
      <c r="L155" s="43">
        <v>44200.42916666667</v>
      </c>
      <c r="N155" s="43">
        <v>43927.86041666667</v>
      </c>
    </row>
    <row r="156">
      <c r="A156" s="39" t="s">
        <v>957</v>
      </c>
      <c r="B156" s="39" t="s">
        <v>2390</v>
      </c>
      <c r="C156" s="39" t="s">
        <v>19</v>
      </c>
      <c r="D156" s="39">
        <v>62753.0</v>
      </c>
      <c r="F156" s="39" t="s">
        <v>2391</v>
      </c>
      <c r="G156" s="39" t="s">
        <v>1049</v>
      </c>
      <c r="H156" s="39" t="s">
        <v>1048</v>
      </c>
      <c r="I156" s="39" t="s">
        <v>1154</v>
      </c>
      <c r="J156" s="39" t="s">
        <v>1153</v>
      </c>
      <c r="K156" s="39" t="s">
        <v>2161</v>
      </c>
      <c r="L156" s="43">
        <v>44200.42916666667</v>
      </c>
      <c r="N156" s="43">
        <v>44083.83263888889</v>
      </c>
    </row>
    <row r="157">
      <c r="A157" s="39" t="s">
        <v>832</v>
      </c>
      <c r="B157" s="39" t="s">
        <v>1151</v>
      </c>
      <c r="C157" s="39" t="s">
        <v>19</v>
      </c>
      <c r="D157" s="39">
        <v>60576.0</v>
      </c>
      <c r="F157" s="39" t="s">
        <v>1152</v>
      </c>
      <c r="I157" s="39" t="s">
        <v>1154</v>
      </c>
      <c r="J157" s="39" t="s">
        <v>1153</v>
      </c>
      <c r="K157" s="39" t="s">
        <v>2158</v>
      </c>
      <c r="L157" s="43">
        <v>44200.42916666667</v>
      </c>
      <c r="M157" s="39">
        <v>12900.0</v>
      </c>
      <c r="N157" s="43">
        <v>44013.82430555556</v>
      </c>
    </row>
    <row r="158">
      <c r="A158" s="39" t="s">
        <v>957</v>
      </c>
      <c r="B158" s="39" t="s">
        <v>2392</v>
      </c>
      <c r="C158" s="39" t="s">
        <v>19</v>
      </c>
      <c r="D158" s="39">
        <v>62754.0</v>
      </c>
      <c r="F158" s="39" t="s">
        <v>2393</v>
      </c>
      <c r="G158" s="39" t="s">
        <v>1154</v>
      </c>
      <c r="H158" s="39" t="s">
        <v>1153</v>
      </c>
      <c r="I158" s="39" t="s">
        <v>1154</v>
      </c>
      <c r="J158" s="39" t="s">
        <v>1153</v>
      </c>
      <c r="K158" s="39" t="s">
        <v>2158</v>
      </c>
      <c r="L158" s="43">
        <v>44200.42916666667</v>
      </c>
      <c r="N158" s="43">
        <v>44083.99791666667</v>
      </c>
    </row>
    <row r="159">
      <c r="A159" s="39" t="s">
        <v>957</v>
      </c>
      <c r="B159" s="39" t="s">
        <v>2394</v>
      </c>
      <c r="C159" s="39" t="s">
        <v>19</v>
      </c>
      <c r="D159" s="39">
        <v>60575.0</v>
      </c>
      <c r="F159" s="39" t="s">
        <v>2395</v>
      </c>
      <c r="I159" s="39" t="s">
        <v>1154</v>
      </c>
      <c r="J159" s="39" t="s">
        <v>1153</v>
      </c>
      <c r="K159" s="39" t="s">
        <v>2158</v>
      </c>
      <c r="L159" s="43">
        <v>44200.42916666667</v>
      </c>
      <c r="N159" s="44">
        <v>44012.57361111111</v>
      </c>
    </row>
    <row r="160">
      <c r="A160" s="39" t="s">
        <v>957</v>
      </c>
      <c r="B160" s="39" t="s">
        <v>2396</v>
      </c>
      <c r="C160" s="39" t="s">
        <v>19</v>
      </c>
      <c r="D160" s="39">
        <v>60574.0</v>
      </c>
      <c r="F160" s="39" t="s">
        <v>2397</v>
      </c>
      <c r="G160" s="39" t="s">
        <v>724</v>
      </c>
      <c r="H160" s="39" t="s">
        <v>872</v>
      </c>
      <c r="I160" s="39" t="s">
        <v>1154</v>
      </c>
      <c r="J160" s="39" t="s">
        <v>1153</v>
      </c>
      <c r="K160" s="39" t="s">
        <v>2158</v>
      </c>
      <c r="L160" s="43">
        <v>44200.42916666667</v>
      </c>
      <c r="N160" s="44">
        <v>44012.572222222225</v>
      </c>
    </row>
    <row r="161">
      <c r="A161" s="39" t="s">
        <v>957</v>
      </c>
      <c r="B161" s="39" t="s">
        <v>2398</v>
      </c>
      <c r="C161" s="39" t="s">
        <v>19</v>
      </c>
      <c r="D161" s="39">
        <v>60573.0</v>
      </c>
      <c r="F161" s="39" t="s">
        <v>2399</v>
      </c>
      <c r="G161" s="39" t="s">
        <v>724</v>
      </c>
      <c r="H161" s="39" t="s">
        <v>872</v>
      </c>
      <c r="I161" s="39" t="s">
        <v>1060</v>
      </c>
      <c r="J161" s="39" t="s">
        <v>1059</v>
      </c>
      <c r="K161" s="39" t="s">
        <v>2158</v>
      </c>
      <c r="L161" s="43">
        <v>44200.42916666667</v>
      </c>
      <c r="N161" s="44">
        <v>44012.53472222222</v>
      </c>
    </row>
    <row r="162">
      <c r="A162" s="39" t="s">
        <v>957</v>
      </c>
      <c r="B162" s="39" t="s">
        <v>2400</v>
      </c>
      <c r="C162" s="39" t="s">
        <v>19</v>
      </c>
      <c r="D162" s="39">
        <v>62752.0</v>
      </c>
      <c r="F162" s="39" t="s">
        <v>2401</v>
      </c>
      <c r="G162" s="39" t="s">
        <v>1049</v>
      </c>
      <c r="H162" s="39" t="s">
        <v>1048</v>
      </c>
      <c r="I162" s="39" t="s">
        <v>1154</v>
      </c>
      <c r="J162" s="39" t="s">
        <v>1153</v>
      </c>
      <c r="K162" s="39" t="s">
        <v>2161</v>
      </c>
      <c r="L162" s="43">
        <v>44200.42916666667</v>
      </c>
      <c r="N162" s="43">
        <v>44083.82986111111</v>
      </c>
    </row>
    <row r="163">
      <c r="A163" s="39" t="s">
        <v>832</v>
      </c>
      <c r="B163" s="39" t="s">
        <v>1094</v>
      </c>
      <c r="C163" s="39" t="s">
        <v>19</v>
      </c>
      <c r="D163" s="39">
        <v>60452.0</v>
      </c>
      <c r="F163" s="39" t="s">
        <v>1095</v>
      </c>
      <c r="G163" s="39" t="s">
        <v>724</v>
      </c>
      <c r="H163" s="39" t="s">
        <v>872</v>
      </c>
      <c r="I163" s="39" t="s">
        <v>724</v>
      </c>
      <c r="J163" s="39" t="s">
        <v>872</v>
      </c>
      <c r="K163" s="39" t="s">
        <v>2158</v>
      </c>
      <c r="L163" s="43">
        <v>44200.42916666667</v>
      </c>
      <c r="M163" s="39">
        <v>108000.0</v>
      </c>
      <c r="N163" s="44">
        <v>44000.52013888889</v>
      </c>
    </row>
    <row r="164">
      <c r="A164" s="39" t="s">
        <v>957</v>
      </c>
      <c r="B164" s="39" t="s">
        <v>2402</v>
      </c>
      <c r="C164" s="39" t="s">
        <v>19</v>
      </c>
      <c r="D164" s="39">
        <v>60571.0</v>
      </c>
      <c r="F164" s="39" t="s">
        <v>2403</v>
      </c>
      <c r="G164" s="39" t="s">
        <v>724</v>
      </c>
      <c r="H164" s="39" t="s">
        <v>872</v>
      </c>
      <c r="I164" s="39" t="s">
        <v>724</v>
      </c>
      <c r="J164" s="39" t="s">
        <v>872</v>
      </c>
      <c r="K164" s="39" t="s">
        <v>2158</v>
      </c>
      <c r="L164" s="43">
        <v>44200.42916666667</v>
      </c>
      <c r="N164" s="44">
        <v>44012.48333333333</v>
      </c>
    </row>
    <row r="165">
      <c r="A165" s="39" t="s">
        <v>832</v>
      </c>
      <c r="B165" s="39" t="s">
        <v>2404</v>
      </c>
      <c r="C165" s="39" t="s">
        <v>19</v>
      </c>
      <c r="D165" s="39">
        <v>62649.0</v>
      </c>
      <c r="F165" s="39" t="s">
        <v>2405</v>
      </c>
      <c r="G165" s="39" t="s">
        <v>1154</v>
      </c>
      <c r="H165" s="39" t="s">
        <v>1153</v>
      </c>
      <c r="I165" s="39" t="s">
        <v>1154</v>
      </c>
      <c r="J165" s="39" t="s">
        <v>1153</v>
      </c>
      <c r="K165" s="39" t="s">
        <v>2199</v>
      </c>
      <c r="L165" s="43">
        <v>44200.42916666667</v>
      </c>
      <c r="N165" s="43">
        <v>44082.76388888889</v>
      </c>
    </row>
    <row r="166">
      <c r="A166" s="39" t="s">
        <v>832</v>
      </c>
      <c r="B166" s="39" t="s">
        <v>2406</v>
      </c>
      <c r="C166" s="39" t="s">
        <v>19</v>
      </c>
      <c r="D166" s="39">
        <v>62647.0</v>
      </c>
      <c r="F166" s="39" t="s">
        <v>2407</v>
      </c>
      <c r="G166" s="39" t="s">
        <v>1154</v>
      </c>
      <c r="H166" s="39" t="s">
        <v>1153</v>
      </c>
      <c r="I166" s="39" t="s">
        <v>1154</v>
      </c>
      <c r="J166" s="39" t="s">
        <v>1153</v>
      </c>
      <c r="K166" s="39" t="s">
        <v>2158</v>
      </c>
      <c r="L166" s="43">
        <v>44200.42916666667</v>
      </c>
      <c r="N166" s="43">
        <v>44082.76388888889</v>
      </c>
    </row>
    <row r="167">
      <c r="A167" s="39" t="s">
        <v>957</v>
      </c>
      <c r="B167" s="39" t="s">
        <v>2408</v>
      </c>
      <c r="C167" s="39" t="s">
        <v>19</v>
      </c>
      <c r="D167" s="39">
        <v>61437.0</v>
      </c>
      <c r="F167" s="39" t="s">
        <v>2409</v>
      </c>
      <c r="G167" s="39" t="s">
        <v>1060</v>
      </c>
      <c r="H167" s="39" t="s">
        <v>1059</v>
      </c>
      <c r="I167" s="39" t="s">
        <v>724</v>
      </c>
      <c r="J167" s="39" t="s">
        <v>872</v>
      </c>
      <c r="K167" s="39" t="s">
        <v>2158</v>
      </c>
      <c r="L167" s="43">
        <v>44200.42916666667</v>
      </c>
      <c r="N167" s="44">
        <v>44039.589583333334</v>
      </c>
    </row>
    <row r="168">
      <c r="A168" s="39" t="s">
        <v>957</v>
      </c>
      <c r="B168" s="39" t="s">
        <v>2000</v>
      </c>
      <c r="C168" s="39" t="s">
        <v>19</v>
      </c>
      <c r="D168" s="39">
        <v>65913.0</v>
      </c>
      <c r="F168" s="39" t="s">
        <v>2001</v>
      </c>
      <c r="G168" s="39" t="s">
        <v>724</v>
      </c>
      <c r="H168" s="39" t="s">
        <v>872</v>
      </c>
      <c r="I168" s="39" t="s">
        <v>724</v>
      </c>
      <c r="J168" s="39" t="s">
        <v>872</v>
      </c>
      <c r="K168" s="39" t="s">
        <v>2158</v>
      </c>
      <c r="L168" s="43">
        <v>44200.42916666667</v>
      </c>
      <c r="M168" s="39">
        <v>4500.0</v>
      </c>
      <c r="N168" s="44">
        <v>44153.42083333333</v>
      </c>
    </row>
    <row r="169">
      <c r="A169" s="39" t="s">
        <v>957</v>
      </c>
      <c r="B169" s="39" t="s">
        <v>2410</v>
      </c>
      <c r="C169" s="39" t="s">
        <v>19</v>
      </c>
      <c r="D169" s="39">
        <v>61438.0</v>
      </c>
      <c r="F169" s="39" t="s">
        <v>2411</v>
      </c>
      <c r="G169" s="39" t="s">
        <v>1060</v>
      </c>
      <c r="H169" s="39" t="s">
        <v>1059</v>
      </c>
      <c r="I169" s="39" t="s">
        <v>724</v>
      </c>
      <c r="J169" s="39" t="s">
        <v>872</v>
      </c>
      <c r="K169" s="39" t="s">
        <v>2158</v>
      </c>
      <c r="L169" s="43">
        <v>44200.42916666667</v>
      </c>
      <c r="N169" s="44">
        <v>44039.59166666667</v>
      </c>
    </row>
    <row r="170">
      <c r="A170" s="39" t="s">
        <v>832</v>
      </c>
      <c r="B170" s="39" t="s">
        <v>2412</v>
      </c>
      <c r="C170" s="39" t="s">
        <v>19</v>
      </c>
      <c r="D170" s="39">
        <v>62648.0</v>
      </c>
      <c r="F170" s="39" t="s">
        <v>2413</v>
      </c>
      <c r="G170" s="39" t="s">
        <v>1154</v>
      </c>
      <c r="H170" s="39" t="s">
        <v>1153</v>
      </c>
      <c r="I170" s="39" t="s">
        <v>1154</v>
      </c>
      <c r="J170" s="39" t="s">
        <v>1153</v>
      </c>
      <c r="K170" s="39" t="s">
        <v>2158</v>
      </c>
      <c r="L170" s="43">
        <v>44200.42916666667</v>
      </c>
      <c r="N170" s="43">
        <v>44082.76388888889</v>
      </c>
    </row>
    <row r="171">
      <c r="A171" s="39" t="s">
        <v>832</v>
      </c>
      <c r="B171" s="39" t="s">
        <v>2414</v>
      </c>
      <c r="C171" s="39" t="s">
        <v>19</v>
      </c>
      <c r="D171" s="39">
        <v>62645.0</v>
      </c>
      <c r="F171" s="39" t="s">
        <v>2415</v>
      </c>
      <c r="G171" s="39" t="s">
        <v>1154</v>
      </c>
      <c r="H171" s="39" t="s">
        <v>1153</v>
      </c>
      <c r="I171" s="39" t="s">
        <v>1154</v>
      </c>
      <c r="J171" s="39" t="s">
        <v>1153</v>
      </c>
      <c r="K171" s="39" t="s">
        <v>2199</v>
      </c>
      <c r="L171" s="43">
        <v>44200.42916666667</v>
      </c>
      <c r="N171" s="43">
        <v>44082.7625</v>
      </c>
    </row>
    <row r="172">
      <c r="A172" s="39" t="s">
        <v>832</v>
      </c>
      <c r="B172" s="39" t="s">
        <v>1831</v>
      </c>
      <c r="C172" s="39" t="s">
        <v>19</v>
      </c>
      <c r="D172" s="39">
        <v>64705.0</v>
      </c>
      <c r="F172" s="39" t="s">
        <v>1832</v>
      </c>
      <c r="G172" s="39" t="s">
        <v>1060</v>
      </c>
      <c r="H172" s="39" t="s">
        <v>1059</v>
      </c>
      <c r="I172" s="39" t="s">
        <v>724</v>
      </c>
      <c r="J172" s="39" t="s">
        <v>872</v>
      </c>
      <c r="K172" s="39" t="s">
        <v>2158</v>
      </c>
      <c r="L172" s="43">
        <v>44200.42916666667</v>
      </c>
      <c r="M172" s="39">
        <v>111600.0</v>
      </c>
      <c r="N172" s="44">
        <v>44121.50277777778</v>
      </c>
    </row>
    <row r="173">
      <c r="A173" s="39" t="s">
        <v>832</v>
      </c>
      <c r="B173" s="39" t="s">
        <v>1288</v>
      </c>
      <c r="C173" s="39" t="s">
        <v>19</v>
      </c>
      <c r="D173" s="39">
        <v>61435.0</v>
      </c>
      <c r="F173" s="39" t="s">
        <v>1289</v>
      </c>
      <c r="G173" s="39" t="s">
        <v>724</v>
      </c>
      <c r="H173" s="39" t="s">
        <v>872</v>
      </c>
      <c r="I173" s="39" t="s">
        <v>724</v>
      </c>
      <c r="J173" s="39" t="s">
        <v>872</v>
      </c>
      <c r="K173" s="39" t="s">
        <v>2158</v>
      </c>
      <c r="L173" s="43">
        <v>44200.42916666667</v>
      </c>
      <c r="M173" s="39">
        <v>121500.0</v>
      </c>
      <c r="N173" s="44">
        <v>44039.57083333333</v>
      </c>
    </row>
    <row r="174">
      <c r="A174" s="39" t="s">
        <v>957</v>
      </c>
      <c r="B174" s="39" t="s">
        <v>2416</v>
      </c>
      <c r="C174" s="39" t="s">
        <v>19</v>
      </c>
      <c r="D174" s="39">
        <v>64704.0</v>
      </c>
      <c r="F174" s="39" t="s">
        <v>2417</v>
      </c>
      <c r="I174" s="39" t="s">
        <v>724</v>
      </c>
      <c r="J174" s="39" t="s">
        <v>872</v>
      </c>
      <c r="K174" s="39" t="s">
        <v>2161</v>
      </c>
      <c r="L174" s="43">
        <v>44200.42916666667</v>
      </c>
      <c r="N174" s="44">
        <v>44121.45625</v>
      </c>
    </row>
    <row r="175">
      <c r="A175" s="39" t="s">
        <v>832</v>
      </c>
      <c r="B175" s="39" t="s">
        <v>2418</v>
      </c>
      <c r="C175" s="39" t="s">
        <v>19</v>
      </c>
      <c r="D175" s="39">
        <v>62646.0</v>
      </c>
      <c r="F175" s="39" t="s">
        <v>2419</v>
      </c>
      <c r="G175" s="39" t="s">
        <v>1154</v>
      </c>
      <c r="H175" s="39" t="s">
        <v>1153</v>
      </c>
      <c r="I175" s="39" t="s">
        <v>1154</v>
      </c>
      <c r="J175" s="39" t="s">
        <v>1153</v>
      </c>
      <c r="K175" s="39" t="s">
        <v>2199</v>
      </c>
      <c r="L175" s="43">
        <v>44200.42916666667</v>
      </c>
      <c r="N175" s="43">
        <v>44082.763194444444</v>
      </c>
    </row>
    <row r="176">
      <c r="A176" s="39" t="s">
        <v>957</v>
      </c>
      <c r="B176" s="39" t="s">
        <v>1684</v>
      </c>
      <c r="C176" s="39" t="s">
        <v>19</v>
      </c>
      <c r="D176" s="39">
        <v>62643.0</v>
      </c>
      <c r="F176" s="39" t="s">
        <v>1685</v>
      </c>
      <c r="G176" s="39" t="s">
        <v>724</v>
      </c>
      <c r="H176" s="39" t="s">
        <v>872</v>
      </c>
      <c r="I176" s="39" t="s">
        <v>724</v>
      </c>
      <c r="J176" s="39" t="s">
        <v>872</v>
      </c>
      <c r="K176" s="39" t="s">
        <v>2158</v>
      </c>
      <c r="L176" s="43">
        <v>44200.42916666667</v>
      </c>
      <c r="M176" s="39">
        <v>3600.0</v>
      </c>
      <c r="N176" s="43">
        <v>44082.73611111111</v>
      </c>
    </row>
    <row r="177">
      <c r="A177" s="39" t="s">
        <v>957</v>
      </c>
      <c r="B177" s="39" t="s">
        <v>2420</v>
      </c>
      <c r="C177" s="39" t="s">
        <v>19</v>
      </c>
      <c r="D177" s="39">
        <v>62644.0</v>
      </c>
      <c r="F177" s="39" t="s">
        <v>2421</v>
      </c>
      <c r="I177" s="39" t="s">
        <v>1154</v>
      </c>
      <c r="J177" s="39" t="s">
        <v>1153</v>
      </c>
      <c r="K177" s="39" t="s">
        <v>2158</v>
      </c>
      <c r="L177" s="43">
        <v>44200.42916666667</v>
      </c>
      <c r="N177" s="43">
        <v>44082.739583333336</v>
      </c>
    </row>
    <row r="178">
      <c r="A178" s="39" t="s">
        <v>957</v>
      </c>
      <c r="B178" s="39" t="s">
        <v>2422</v>
      </c>
      <c r="C178" s="39" t="s">
        <v>19</v>
      </c>
      <c r="D178" s="39">
        <v>62762.0</v>
      </c>
      <c r="F178" s="39" t="s">
        <v>2423</v>
      </c>
      <c r="G178" s="39" t="s">
        <v>1154</v>
      </c>
      <c r="H178" s="39" t="s">
        <v>1153</v>
      </c>
      <c r="I178" s="39" t="s">
        <v>724</v>
      </c>
      <c r="J178" s="39" t="s">
        <v>872</v>
      </c>
      <c r="K178" s="39" t="s">
        <v>2161</v>
      </c>
      <c r="L178" s="43">
        <v>44200.42916666667</v>
      </c>
      <c r="N178" s="44">
        <v>44084.600694444445</v>
      </c>
    </row>
    <row r="179">
      <c r="A179" s="39" t="s">
        <v>832</v>
      </c>
      <c r="B179" s="39" t="s">
        <v>2068</v>
      </c>
      <c r="C179" s="39" t="s">
        <v>19</v>
      </c>
      <c r="D179" s="39">
        <v>65910.0</v>
      </c>
      <c r="F179" s="39" t="s">
        <v>2069</v>
      </c>
      <c r="G179" s="39" t="s">
        <v>1049</v>
      </c>
      <c r="H179" s="39" t="s">
        <v>1048</v>
      </c>
      <c r="I179" s="39" t="s">
        <v>724</v>
      </c>
      <c r="J179" s="39" t="s">
        <v>872</v>
      </c>
      <c r="K179" s="39" t="s">
        <v>2161</v>
      </c>
      <c r="L179" s="43">
        <v>44200.42916666667</v>
      </c>
      <c r="M179" s="39">
        <v>1800.0</v>
      </c>
      <c r="N179" s="44">
        <v>44153.37986111111</v>
      </c>
    </row>
    <row r="180">
      <c r="A180" s="39" t="s">
        <v>957</v>
      </c>
      <c r="B180" s="39" t="s">
        <v>2424</v>
      </c>
      <c r="C180" s="39" t="s">
        <v>19</v>
      </c>
      <c r="D180" s="39">
        <v>62641.0</v>
      </c>
      <c r="F180" s="39" t="s">
        <v>2425</v>
      </c>
      <c r="G180" s="39" t="s">
        <v>724</v>
      </c>
      <c r="H180" s="39" t="s">
        <v>872</v>
      </c>
      <c r="I180" s="39" t="s">
        <v>724</v>
      </c>
      <c r="J180" s="39" t="s">
        <v>872</v>
      </c>
      <c r="K180" s="39" t="s">
        <v>2158</v>
      </c>
      <c r="L180" s="43">
        <v>44200.42916666667</v>
      </c>
      <c r="N180" s="43">
        <v>44082.68680555555</v>
      </c>
    </row>
    <row r="181">
      <c r="A181" s="39" t="s">
        <v>957</v>
      </c>
      <c r="B181" s="39" t="s">
        <v>1641</v>
      </c>
      <c r="C181" s="39" t="s">
        <v>19</v>
      </c>
      <c r="D181" s="39">
        <v>62642.0</v>
      </c>
      <c r="F181" s="39" t="s">
        <v>1642</v>
      </c>
      <c r="G181" s="39" t="s">
        <v>724</v>
      </c>
      <c r="H181" s="39" t="s">
        <v>872</v>
      </c>
      <c r="I181" s="39" t="s">
        <v>724</v>
      </c>
      <c r="J181" s="39" t="s">
        <v>872</v>
      </c>
      <c r="K181" s="39" t="s">
        <v>2158</v>
      </c>
      <c r="L181" s="43">
        <v>44200.42916666667</v>
      </c>
      <c r="M181" s="39">
        <v>7200.0</v>
      </c>
      <c r="N181" s="43">
        <v>44082.69305555556</v>
      </c>
    </row>
    <row r="182">
      <c r="A182" s="39" t="s">
        <v>957</v>
      </c>
      <c r="B182" s="39" t="s">
        <v>2426</v>
      </c>
      <c r="C182" s="39" t="s">
        <v>19</v>
      </c>
      <c r="D182" s="39">
        <v>62763.0</v>
      </c>
      <c r="F182" s="39" t="s">
        <v>2427</v>
      </c>
      <c r="G182" s="39" t="s">
        <v>1154</v>
      </c>
      <c r="H182" s="39" t="s">
        <v>1153</v>
      </c>
      <c r="I182" s="39" t="s">
        <v>724</v>
      </c>
      <c r="J182" s="39" t="s">
        <v>872</v>
      </c>
      <c r="K182" s="39" t="s">
        <v>2199</v>
      </c>
      <c r="L182" s="43">
        <v>44200.42916666667</v>
      </c>
      <c r="N182" s="44">
        <v>44084.603472222225</v>
      </c>
    </row>
    <row r="183">
      <c r="A183" s="39" t="s">
        <v>957</v>
      </c>
      <c r="B183" s="39" t="s">
        <v>2428</v>
      </c>
      <c r="C183" s="39" t="s">
        <v>19</v>
      </c>
      <c r="D183" s="39">
        <v>60461.0</v>
      </c>
      <c r="F183" s="39" t="s">
        <v>2429</v>
      </c>
      <c r="I183" s="39" t="s">
        <v>1060</v>
      </c>
      <c r="J183" s="39" t="s">
        <v>1059</v>
      </c>
      <c r="K183" s="39" t="s">
        <v>2158</v>
      </c>
      <c r="L183" s="43">
        <v>44200.42916666667</v>
      </c>
      <c r="N183" s="44">
        <v>44001.66458333333</v>
      </c>
    </row>
    <row r="184">
      <c r="A184" s="39" t="s">
        <v>832</v>
      </c>
      <c r="B184" s="39" t="s">
        <v>2430</v>
      </c>
      <c r="C184" s="39" t="s">
        <v>19</v>
      </c>
      <c r="D184" s="39">
        <v>65929.0</v>
      </c>
      <c r="F184" s="39" t="s">
        <v>2431</v>
      </c>
      <c r="I184" s="39" t="s">
        <v>724</v>
      </c>
      <c r="J184" s="39" t="s">
        <v>872</v>
      </c>
      <c r="K184" s="39" t="s">
        <v>2161</v>
      </c>
      <c r="L184" s="43">
        <v>44200.42916666667</v>
      </c>
      <c r="N184" s="44">
        <v>44153.555555555555</v>
      </c>
    </row>
    <row r="185">
      <c r="A185" s="39" t="s">
        <v>957</v>
      </c>
      <c r="B185" s="39" t="s">
        <v>2432</v>
      </c>
      <c r="C185" s="39" t="s">
        <v>19</v>
      </c>
      <c r="D185" s="39">
        <v>61448.0</v>
      </c>
      <c r="F185" s="39" t="s">
        <v>2433</v>
      </c>
      <c r="G185" s="39" t="s">
        <v>1060</v>
      </c>
      <c r="H185" s="39" t="s">
        <v>1059</v>
      </c>
      <c r="I185" s="39" t="s">
        <v>724</v>
      </c>
      <c r="J185" s="39" t="s">
        <v>872</v>
      </c>
      <c r="K185" s="39" t="s">
        <v>2158</v>
      </c>
      <c r="L185" s="43">
        <v>44200.42916666667</v>
      </c>
      <c r="N185" s="44">
        <v>44040.35833333333</v>
      </c>
    </row>
    <row r="186">
      <c r="A186" s="39" t="s">
        <v>957</v>
      </c>
      <c r="B186" s="39" t="s">
        <v>1272</v>
      </c>
      <c r="C186" s="39" t="s">
        <v>19</v>
      </c>
      <c r="D186" s="39">
        <v>61449.0</v>
      </c>
      <c r="F186" s="39" t="s">
        <v>1273</v>
      </c>
      <c r="G186" s="39" t="s">
        <v>724</v>
      </c>
      <c r="H186" s="39" t="s">
        <v>872</v>
      </c>
      <c r="I186" s="39" t="s">
        <v>724</v>
      </c>
      <c r="J186" s="39" t="s">
        <v>872</v>
      </c>
      <c r="K186" s="39" t="s">
        <v>2199</v>
      </c>
      <c r="L186" s="43">
        <v>44200.42916666667</v>
      </c>
      <c r="M186" s="39">
        <v>75600.0</v>
      </c>
      <c r="N186" s="44">
        <v>44040.35902777778</v>
      </c>
    </row>
    <row r="187">
      <c r="A187" s="39" t="s">
        <v>957</v>
      </c>
      <c r="B187" s="39" t="s">
        <v>2434</v>
      </c>
      <c r="C187" s="39" t="s">
        <v>19</v>
      </c>
      <c r="D187" s="39">
        <v>61446.0</v>
      </c>
      <c r="F187" s="39" t="s">
        <v>2435</v>
      </c>
      <c r="G187" s="39" t="s">
        <v>1049</v>
      </c>
      <c r="H187" s="39" t="s">
        <v>1048</v>
      </c>
      <c r="I187" s="39" t="s">
        <v>1049</v>
      </c>
      <c r="J187" s="39" t="s">
        <v>1048</v>
      </c>
      <c r="K187" s="39" t="s">
        <v>2158</v>
      </c>
      <c r="L187" s="43">
        <v>44200.42916666667</v>
      </c>
      <c r="N187" s="44">
        <v>44039.731944444444</v>
      </c>
    </row>
    <row r="188">
      <c r="A188" s="39" t="s">
        <v>957</v>
      </c>
      <c r="B188" s="39" t="s">
        <v>1365</v>
      </c>
      <c r="C188" s="39" t="s">
        <v>19</v>
      </c>
      <c r="D188" s="39">
        <v>61447.0</v>
      </c>
      <c r="F188" s="39" t="s">
        <v>1366</v>
      </c>
      <c r="G188" s="39" t="s">
        <v>724</v>
      </c>
      <c r="H188" s="39" t="s">
        <v>872</v>
      </c>
      <c r="I188" s="39" t="s">
        <v>724</v>
      </c>
      <c r="J188" s="39" t="s">
        <v>872</v>
      </c>
      <c r="K188" s="39" t="s">
        <v>2158</v>
      </c>
      <c r="L188" s="43">
        <v>44200.42916666667</v>
      </c>
      <c r="M188" s="39">
        <v>25200.0</v>
      </c>
      <c r="N188" s="44">
        <v>44040.35763888889</v>
      </c>
    </row>
    <row r="189">
      <c r="A189" s="39" t="s">
        <v>957</v>
      </c>
      <c r="B189" s="39" t="s">
        <v>2436</v>
      </c>
      <c r="C189" s="39" t="s">
        <v>19</v>
      </c>
      <c r="D189" s="39">
        <v>61444.0</v>
      </c>
      <c r="F189" s="39" t="s">
        <v>2437</v>
      </c>
      <c r="I189" s="39" t="s">
        <v>1049</v>
      </c>
      <c r="J189" s="39" t="s">
        <v>1048</v>
      </c>
      <c r="K189" s="39" t="s">
        <v>2158</v>
      </c>
      <c r="L189" s="43">
        <v>44200.42916666667</v>
      </c>
      <c r="N189" s="44">
        <v>44039.725</v>
      </c>
    </row>
    <row r="190">
      <c r="A190" s="39" t="s">
        <v>957</v>
      </c>
      <c r="B190" s="39" t="s">
        <v>2438</v>
      </c>
      <c r="C190" s="39" t="s">
        <v>19</v>
      </c>
      <c r="D190" s="39">
        <v>61445.0</v>
      </c>
      <c r="F190" s="39" t="s">
        <v>2439</v>
      </c>
      <c r="I190" s="39" t="s">
        <v>1049</v>
      </c>
      <c r="J190" s="39" t="s">
        <v>1048</v>
      </c>
      <c r="K190" s="39" t="s">
        <v>2158</v>
      </c>
      <c r="L190" s="43">
        <v>44200.42916666667</v>
      </c>
      <c r="N190" s="44">
        <v>44039.72638888889</v>
      </c>
    </row>
    <row r="191">
      <c r="A191" s="39" t="s">
        <v>832</v>
      </c>
      <c r="B191" s="39" t="s">
        <v>2440</v>
      </c>
      <c r="C191" s="39" t="s">
        <v>19</v>
      </c>
      <c r="D191" s="39">
        <v>60597.0</v>
      </c>
      <c r="F191" s="39" t="s">
        <v>2441</v>
      </c>
      <c r="G191" s="39" t="s">
        <v>724</v>
      </c>
      <c r="H191" s="39" t="s">
        <v>872</v>
      </c>
      <c r="I191" s="39" t="s">
        <v>1049</v>
      </c>
      <c r="J191" s="39" t="s">
        <v>1048</v>
      </c>
      <c r="K191" s="39" t="s">
        <v>2158</v>
      </c>
      <c r="L191" s="43">
        <v>44200.42916666667</v>
      </c>
      <c r="N191" s="43">
        <v>44018.70486111111</v>
      </c>
    </row>
    <row r="192">
      <c r="A192" s="39" t="s">
        <v>957</v>
      </c>
      <c r="B192" s="39" t="s">
        <v>2442</v>
      </c>
      <c r="C192" s="39" t="s">
        <v>19</v>
      </c>
      <c r="D192" s="39">
        <v>60596.0</v>
      </c>
      <c r="F192" s="39" t="s">
        <v>2443</v>
      </c>
      <c r="G192" s="39" t="s">
        <v>724</v>
      </c>
      <c r="H192" s="39" t="s">
        <v>872</v>
      </c>
      <c r="I192" s="39" t="s">
        <v>1060</v>
      </c>
      <c r="J192" s="39" t="s">
        <v>1059</v>
      </c>
      <c r="K192" s="39" t="s">
        <v>2158</v>
      </c>
      <c r="L192" s="43">
        <v>44200.42916666667</v>
      </c>
      <c r="N192" s="43">
        <v>44018.66388888889</v>
      </c>
    </row>
    <row r="193">
      <c r="A193" s="39" t="s">
        <v>957</v>
      </c>
      <c r="B193" s="39" t="s">
        <v>2444</v>
      </c>
      <c r="C193" s="39" t="s">
        <v>19</v>
      </c>
      <c r="D193" s="39">
        <v>64712.0</v>
      </c>
      <c r="F193" s="39" t="s">
        <v>2445</v>
      </c>
      <c r="G193" s="39" t="s">
        <v>724</v>
      </c>
      <c r="H193" s="39" t="s">
        <v>872</v>
      </c>
      <c r="I193" s="39" t="s">
        <v>724</v>
      </c>
      <c r="J193" s="39" t="s">
        <v>872</v>
      </c>
      <c r="K193" s="39" t="s">
        <v>2158</v>
      </c>
      <c r="L193" s="43">
        <v>44200.42916666667</v>
      </c>
      <c r="N193" s="44">
        <v>44122.697916666664</v>
      </c>
    </row>
    <row r="194">
      <c r="A194" s="39" t="s">
        <v>957</v>
      </c>
      <c r="B194" s="39" t="s">
        <v>2446</v>
      </c>
      <c r="C194" s="39" t="s">
        <v>19</v>
      </c>
      <c r="D194" s="39">
        <v>61443.0</v>
      </c>
      <c r="F194" s="39" t="s">
        <v>2447</v>
      </c>
      <c r="I194" s="39" t="s">
        <v>1049</v>
      </c>
      <c r="J194" s="39" t="s">
        <v>1048</v>
      </c>
      <c r="K194" s="39" t="s">
        <v>2158</v>
      </c>
      <c r="L194" s="43">
        <v>44200.42916666667</v>
      </c>
      <c r="N194" s="44">
        <v>44039.722916666666</v>
      </c>
    </row>
    <row r="195">
      <c r="A195" s="39" t="s">
        <v>957</v>
      </c>
      <c r="B195" s="39" t="s">
        <v>2448</v>
      </c>
      <c r="C195" s="39" t="s">
        <v>19</v>
      </c>
      <c r="D195" s="39">
        <v>60595.0</v>
      </c>
      <c r="F195" s="39" t="s">
        <v>2449</v>
      </c>
      <c r="G195" s="39" t="s">
        <v>724</v>
      </c>
      <c r="H195" s="39" t="s">
        <v>872</v>
      </c>
      <c r="I195" s="39" t="s">
        <v>1060</v>
      </c>
      <c r="J195" s="39" t="s">
        <v>1059</v>
      </c>
      <c r="K195" s="39" t="s">
        <v>2158</v>
      </c>
      <c r="L195" s="43">
        <v>44200.42916666667</v>
      </c>
      <c r="N195" s="43">
        <v>44018.65833333333</v>
      </c>
    </row>
    <row r="196">
      <c r="A196" s="39" t="s">
        <v>957</v>
      </c>
      <c r="B196" s="39" t="s">
        <v>2450</v>
      </c>
      <c r="C196" s="39" t="s">
        <v>19</v>
      </c>
      <c r="D196" s="39">
        <v>60594.0</v>
      </c>
      <c r="F196" s="39" t="s">
        <v>2451</v>
      </c>
      <c r="G196" s="39" t="s">
        <v>724</v>
      </c>
      <c r="H196" s="39" t="s">
        <v>872</v>
      </c>
      <c r="I196" s="39" t="s">
        <v>1060</v>
      </c>
      <c r="J196" s="39" t="s">
        <v>1059</v>
      </c>
      <c r="K196" s="39" t="s">
        <v>2158</v>
      </c>
      <c r="L196" s="43">
        <v>44200.42916666667</v>
      </c>
      <c r="N196" s="43">
        <v>44018.65625</v>
      </c>
    </row>
    <row r="197">
      <c r="A197" s="39" t="s">
        <v>832</v>
      </c>
      <c r="B197" s="39" t="s">
        <v>2452</v>
      </c>
      <c r="C197" s="39" t="s">
        <v>19</v>
      </c>
      <c r="D197" s="39">
        <v>62650.0</v>
      </c>
      <c r="F197" s="39" t="s">
        <v>2453</v>
      </c>
      <c r="G197" s="39" t="s">
        <v>1154</v>
      </c>
      <c r="H197" s="39" t="s">
        <v>1153</v>
      </c>
      <c r="I197" s="39" t="s">
        <v>1154</v>
      </c>
      <c r="J197" s="39" t="s">
        <v>1153</v>
      </c>
      <c r="K197" s="39" t="s">
        <v>2199</v>
      </c>
      <c r="L197" s="43">
        <v>44200.42916666667</v>
      </c>
      <c r="N197" s="43">
        <v>44082.76458333333</v>
      </c>
    </row>
    <row r="198">
      <c r="A198" s="39" t="s">
        <v>957</v>
      </c>
      <c r="B198" s="39" t="s">
        <v>2454</v>
      </c>
      <c r="C198" s="39" t="s">
        <v>19</v>
      </c>
      <c r="D198" s="39">
        <v>60593.0</v>
      </c>
      <c r="F198" s="39" t="s">
        <v>2455</v>
      </c>
      <c r="G198" s="39" t="s">
        <v>724</v>
      </c>
      <c r="H198" s="39" t="s">
        <v>872</v>
      </c>
      <c r="I198" s="39" t="s">
        <v>1060</v>
      </c>
      <c r="J198" s="39" t="s">
        <v>1059</v>
      </c>
      <c r="K198" s="39" t="s">
        <v>2158</v>
      </c>
      <c r="L198" s="43">
        <v>44200.42916666667</v>
      </c>
      <c r="N198" s="43">
        <v>44018.65416666667</v>
      </c>
    </row>
    <row r="199">
      <c r="A199" s="39" t="s">
        <v>957</v>
      </c>
      <c r="B199" s="39" t="s">
        <v>2456</v>
      </c>
      <c r="C199" s="39" t="s">
        <v>19</v>
      </c>
      <c r="D199" s="39">
        <v>60592.0</v>
      </c>
      <c r="F199" s="39" t="s">
        <v>2457</v>
      </c>
      <c r="G199" s="39" t="s">
        <v>724</v>
      </c>
      <c r="H199" s="39" t="s">
        <v>872</v>
      </c>
      <c r="I199" s="39" t="s">
        <v>1060</v>
      </c>
      <c r="J199" s="39" t="s">
        <v>1059</v>
      </c>
      <c r="K199" s="39" t="s">
        <v>2158</v>
      </c>
      <c r="L199" s="43">
        <v>44200.42916666667</v>
      </c>
      <c r="N199" s="43">
        <v>44018.65069444444</v>
      </c>
    </row>
    <row r="200">
      <c r="A200" s="39" t="s">
        <v>957</v>
      </c>
      <c r="B200" s="39" t="s">
        <v>2458</v>
      </c>
      <c r="C200" s="39" t="s">
        <v>19</v>
      </c>
      <c r="D200" s="39">
        <v>61459.0</v>
      </c>
      <c r="F200" s="39" t="s">
        <v>2459</v>
      </c>
      <c r="I200" s="39" t="s">
        <v>1060</v>
      </c>
      <c r="J200" s="39" t="s">
        <v>1059</v>
      </c>
      <c r="K200" s="39" t="s">
        <v>2158</v>
      </c>
      <c r="L200" s="43">
        <v>44200.42916666667</v>
      </c>
      <c r="N200" s="44">
        <v>44040.56319444445</v>
      </c>
    </row>
    <row r="201">
      <c r="A201" s="39" t="s">
        <v>957</v>
      </c>
      <c r="B201" s="39" t="s">
        <v>2460</v>
      </c>
      <c r="C201" s="39" t="s">
        <v>19</v>
      </c>
      <c r="D201" s="39">
        <v>62548.0</v>
      </c>
      <c r="F201" s="39" t="s">
        <v>2461</v>
      </c>
      <c r="G201" s="39" t="s">
        <v>1154</v>
      </c>
      <c r="H201" s="39" t="s">
        <v>1153</v>
      </c>
      <c r="I201" s="39" t="s">
        <v>1049</v>
      </c>
      <c r="J201" s="39" t="s">
        <v>1048</v>
      </c>
      <c r="K201" s="39" t="s">
        <v>2158</v>
      </c>
      <c r="L201" s="43">
        <v>44200.42916666667</v>
      </c>
      <c r="N201" s="43">
        <v>44076.56458333333</v>
      </c>
    </row>
    <row r="202">
      <c r="A202" s="39" t="s">
        <v>957</v>
      </c>
      <c r="B202" s="39" t="s">
        <v>1892</v>
      </c>
      <c r="C202" s="39" t="s">
        <v>19</v>
      </c>
      <c r="D202" s="39">
        <v>64966.0</v>
      </c>
      <c r="F202" s="39" t="s">
        <v>1893</v>
      </c>
      <c r="G202" s="39" t="s">
        <v>1060</v>
      </c>
      <c r="H202" s="39" t="s">
        <v>1059</v>
      </c>
      <c r="I202" s="39" t="s">
        <v>724</v>
      </c>
      <c r="J202" s="39" t="s">
        <v>872</v>
      </c>
      <c r="K202" s="39" t="s">
        <v>2188</v>
      </c>
      <c r="L202" s="43">
        <v>44200.42916666667</v>
      </c>
      <c r="M202" s="39">
        <v>135000.0</v>
      </c>
      <c r="N202" s="44">
        <v>44127.52013888889</v>
      </c>
    </row>
    <row r="203">
      <c r="A203" s="39" t="s">
        <v>832</v>
      </c>
      <c r="B203" s="39" t="s">
        <v>1578</v>
      </c>
      <c r="C203" s="39" t="s">
        <v>19</v>
      </c>
      <c r="D203" s="39">
        <v>63635.0</v>
      </c>
      <c r="F203" s="39" t="s">
        <v>1579</v>
      </c>
      <c r="G203" s="39" t="s">
        <v>724</v>
      </c>
      <c r="H203" s="39" t="s">
        <v>872</v>
      </c>
      <c r="I203" s="39" t="s">
        <v>724</v>
      </c>
      <c r="J203" s="39" t="s">
        <v>872</v>
      </c>
      <c r="K203" s="39" t="s">
        <v>2188</v>
      </c>
      <c r="L203" s="43">
        <v>44200.42916666667</v>
      </c>
      <c r="M203" s="39">
        <v>38700.0</v>
      </c>
      <c r="N203" s="44">
        <v>44096.785416666666</v>
      </c>
    </row>
    <row r="204">
      <c r="A204" s="39" t="s">
        <v>957</v>
      </c>
      <c r="B204" s="39" t="s">
        <v>2462</v>
      </c>
      <c r="C204" s="39" t="s">
        <v>19</v>
      </c>
      <c r="D204" s="39">
        <v>61457.0</v>
      </c>
      <c r="F204" s="39" t="s">
        <v>2463</v>
      </c>
      <c r="G204" s="39" t="s">
        <v>724</v>
      </c>
      <c r="H204" s="39" t="s">
        <v>872</v>
      </c>
      <c r="I204" s="39" t="s">
        <v>1060</v>
      </c>
      <c r="J204" s="39" t="s">
        <v>1059</v>
      </c>
      <c r="K204" s="39" t="s">
        <v>2158</v>
      </c>
      <c r="L204" s="43">
        <v>44200.42916666667</v>
      </c>
      <c r="N204" s="44">
        <v>44040.55138888889</v>
      </c>
    </row>
    <row r="205">
      <c r="A205" s="39" t="s">
        <v>832</v>
      </c>
      <c r="B205" s="39" t="s">
        <v>2010</v>
      </c>
      <c r="C205" s="39" t="s">
        <v>19</v>
      </c>
      <c r="D205" s="39">
        <v>65936.0</v>
      </c>
      <c r="F205" s="39" t="s">
        <v>2011</v>
      </c>
      <c r="I205" s="39" t="s">
        <v>724</v>
      </c>
      <c r="J205" s="39" t="s">
        <v>872</v>
      </c>
      <c r="K205" s="39" t="s">
        <v>2161</v>
      </c>
      <c r="L205" s="43">
        <v>44200.42916666667</v>
      </c>
      <c r="M205" s="39">
        <v>1800.0</v>
      </c>
      <c r="N205" s="44">
        <v>44154.43194444444</v>
      </c>
    </row>
    <row r="206">
      <c r="A206" s="39" t="s">
        <v>832</v>
      </c>
      <c r="B206" s="39" t="s">
        <v>2464</v>
      </c>
      <c r="C206" s="39" t="s">
        <v>19</v>
      </c>
      <c r="D206" s="39">
        <v>61458.0</v>
      </c>
      <c r="F206" s="39" t="s">
        <v>2465</v>
      </c>
      <c r="G206" s="39" t="s">
        <v>1060</v>
      </c>
      <c r="H206" s="39" t="s">
        <v>1059</v>
      </c>
      <c r="I206" s="39" t="s">
        <v>724</v>
      </c>
      <c r="J206" s="39" t="s">
        <v>872</v>
      </c>
      <c r="K206" s="39" t="s">
        <v>2158</v>
      </c>
      <c r="L206" s="43">
        <v>44200.42916666667</v>
      </c>
      <c r="N206" s="44">
        <v>44040.552777777775</v>
      </c>
    </row>
    <row r="207">
      <c r="A207" s="39" t="s">
        <v>72</v>
      </c>
      <c r="B207" s="39" t="s">
        <v>2466</v>
      </c>
      <c r="C207" s="39" t="s">
        <v>19</v>
      </c>
      <c r="D207" s="39">
        <v>61455.0</v>
      </c>
      <c r="F207" s="39" t="s">
        <v>2467</v>
      </c>
      <c r="G207" s="39" t="s">
        <v>724</v>
      </c>
      <c r="H207" s="39" t="s">
        <v>872</v>
      </c>
      <c r="I207" s="39" t="s">
        <v>724</v>
      </c>
      <c r="J207" s="39" t="s">
        <v>872</v>
      </c>
      <c r="K207" s="39" t="s">
        <v>2161</v>
      </c>
      <c r="L207" s="43">
        <v>44200.42916666667</v>
      </c>
      <c r="N207" s="44">
        <v>44040.53333333333</v>
      </c>
    </row>
    <row r="208">
      <c r="A208" s="39" t="s">
        <v>957</v>
      </c>
      <c r="B208" s="39" t="s">
        <v>2468</v>
      </c>
      <c r="C208" s="39" t="s">
        <v>19</v>
      </c>
      <c r="D208" s="39">
        <v>61456.0</v>
      </c>
      <c r="F208" s="39" t="s">
        <v>2469</v>
      </c>
      <c r="G208" s="39" t="s">
        <v>1060</v>
      </c>
      <c r="H208" s="39" t="s">
        <v>1059</v>
      </c>
      <c r="I208" s="39" t="s">
        <v>1060</v>
      </c>
      <c r="J208" s="39" t="s">
        <v>1059</v>
      </c>
      <c r="K208" s="39" t="s">
        <v>2158</v>
      </c>
      <c r="L208" s="43">
        <v>44200.42916666667</v>
      </c>
      <c r="N208" s="44">
        <v>44040.54513888889</v>
      </c>
    </row>
    <row r="209">
      <c r="A209" s="39" t="s">
        <v>957</v>
      </c>
      <c r="B209" s="39" t="s">
        <v>1966</v>
      </c>
      <c r="C209" s="39" t="s">
        <v>19</v>
      </c>
      <c r="D209" s="39">
        <v>65810.0</v>
      </c>
      <c r="F209" s="39" t="s">
        <v>1967</v>
      </c>
      <c r="G209" s="39" t="s">
        <v>724</v>
      </c>
      <c r="H209" s="39" t="s">
        <v>872</v>
      </c>
      <c r="I209" s="39" t="s">
        <v>724</v>
      </c>
      <c r="J209" s="39" t="s">
        <v>872</v>
      </c>
      <c r="K209" s="39" t="s">
        <v>2161</v>
      </c>
      <c r="L209" s="43">
        <v>44200.42916666667</v>
      </c>
      <c r="M209" s="39">
        <v>900.0</v>
      </c>
      <c r="N209" s="44">
        <v>44145.535416666666</v>
      </c>
    </row>
    <row r="210">
      <c r="A210" s="39" t="s">
        <v>832</v>
      </c>
      <c r="B210" s="39" t="s">
        <v>1945</v>
      </c>
      <c r="C210" s="39" t="s">
        <v>19</v>
      </c>
      <c r="D210" s="39">
        <v>65811.0</v>
      </c>
      <c r="F210" s="39" t="s">
        <v>1946</v>
      </c>
      <c r="G210" s="39" t="s">
        <v>1049</v>
      </c>
      <c r="H210" s="39" t="s">
        <v>1048</v>
      </c>
      <c r="I210" s="39" t="s">
        <v>724</v>
      </c>
      <c r="J210" s="39" t="s">
        <v>872</v>
      </c>
      <c r="K210" s="39" t="s">
        <v>2188</v>
      </c>
      <c r="L210" s="43">
        <v>44200.42916666667</v>
      </c>
      <c r="M210" s="39">
        <v>254700.0</v>
      </c>
      <c r="N210" s="44">
        <v>44145.549305555556</v>
      </c>
    </row>
    <row r="211">
      <c r="A211" s="39" t="s">
        <v>957</v>
      </c>
      <c r="B211" s="39" t="s">
        <v>2470</v>
      </c>
      <c r="C211" s="39" t="s">
        <v>19</v>
      </c>
      <c r="D211" s="39">
        <v>62542.0</v>
      </c>
      <c r="F211" s="39" t="s">
        <v>2471</v>
      </c>
      <c r="G211" s="39" t="s">
        <v>724</v>
      </c>
      <c r="H211" s="39" t="s">
        <v>872</v>
      </c>
      <c r="I211" s="39" t="s">
        <v>1060</v>
      </c>
      <c r="J211" s="39" t="s">
        <v>1059</v>
      </c>
      <c r="K211" s="39" t="s">
        <v>2158</v>
      </c>
      <c r="L211" s="43">
        <v>44200.42916666667</v>
      </c>
      <c r="N211" s="43">
        <v>44076.549305555556</v>
      </c>
    </row>
    <row r="212">
      <c r="A212" s="39" t="s">
        <v>832</v>
      </c>
      <c r="B212" s="39" t="s">
        <v>1363</v>
      </c>
      <c r="C212" s="39" t="s">
        <v>19</v>
      </c>
      <c r="D212" s="39">
        <v>61453.0</v>
      </c>
      <c r="F212" s="39" t="s">
        <v>1993</v>
      </c>
      <c r="G212" s="39" t="s">
        <v>724</v>
      </c>
      <c r="H212" s="39" t="s">
        <v>872</v>
      </c>
      <c r="I212" s="39" t="s">
        <v>724</v>
      </c>
      <c r="J212" s="39" t="s">
        <v>872</v>
      </c>
      <c r="K212" s="39" t="s">
        <v>2188</v>
      </c>
      <c r="L212" s="43">
        <v>44200.42916666667</v>
      </c>
      <c r="M212" s="39">
        <v>96300.0</v>
      </c>
      <c r="N212" s="44">
        <v>44040.4375</v>
      </c>
    </row>
    <row r="213">
      <c r="A213" s="39" t="s">
        <v>957</v>
      </c>
      <c r="B213" s="39" t="s">
        <v>1443</v>
      </c>
      <c r="C213" s="39" t="s">
        <v>19</v>
      </c>
      <c r="D213" s="39">
        <v>62543.0</v>
      </c>
      <c r="F213" s="39" t="s">
        <v>1444</v>
      </c>
      <c r="G213" s="39" t="s">
        <v>724</v>
      </c>
      <c r="H213" s="39" t="s">
        <v>872</v>
      </c>
      <c r="I213" s="39" t="s">
        <v>1060</v>
      </c>
      <c r="J213" s="39" t="s">
        <v>1059</v>
      </c>
      <c r="K213" s="39" t="s">
        <v>2199</v>
      </c>
      <c r="L213" s="43">
        <v>44200.42916666667</v>
      </c>
      <c r="M213" s="39">
        <v>50400.0</v>
      </c>
      <c r="N213" s="43">
        <v>44076.552083333336</v>
      </c>
    </row>
    <row r="214">
      <c r="A214" s="39" t="s">
        <v>957</v>
      </c>
      <c r="B214" s="39" t="s">
        <v>2472</v>
      </c>
      <c r="C214" s="39" t="s">
        <v>19</v>
      </c>
      <c r="D214" s="39">
        <v>61454.0</v>
      </c>
      <c r="F214" s="39" t="s">
        <v>2473</v>
      </c>
      <c r="I214" s="39" t="s">
        <v>724</v>
      </c>
      <c r="J214" s="39" t="s">
        <v>872</v>
      </c>
      <c r="K214" s="39" t="s">
        <v>2161</v>
      </c>
      <c r="L214" s="43">
        <v>44200.42916666667</v>
      </c>
      <c r="N214" s="44">
        <v>44040.53333333333</v>
      </c>
    </row>
    <row r="215">
      <c r="A215" s="39" t="s">
        <v>957</v>
      </c>
      <c r="B215" s="39" t="s">
        <v>2474</v>
      </c>
      <c r="C215" s="39" t="s">
        <v>19</v>
      </c>
      <c r="D215" s="39">
        <v>62541.0</v>
      </c>
      <c r="F215" s="39" t="s">
        <v>2475</v>
      </c>
      <c r="G215" s="39" t="s">
        <v>1154</v>
      </c>
      <c r="H215" s="39" t="s">
        <v>1153</v>
      </c>
      <c r="I215" s="39" t="s">
        <v>1060</v>
      </c>
      <c r="J215" s="39" t="s">
        <v>1059</v>
      </c>
      <c r="K215" s="39" t="s">
        <v>2158</v>
      </c>
      <c r="L215" s="43">
        <v>44200.42916666667</v>
      </c>
      <c r="N215" s="43">
        <v>44076.54722222222</v>
      </c>
    </row>
    <row r="216">
      <c r="A216" s="39" t="s">
        <v>957</v>
      </c>
      <c r="B216" s="39" t="s">
        <v>1360</v>
      </c>
      <c r="C216" s="39" t="s">
        <v>19</v>
      </c>
      <c r="D216" s="39">
        <v>61452.0</v>
      </c>
      <c r="F216" s="39" t="s">
        <v>1361</v>
      </c>
      <c r="G216" s="39" t="s">
        <v>724</v>
      </c>
      <c r="H216" s="39" t="s">
        <v>872</v>
      </c>
      <c r="I216" s="39" t="s">
        <v>724</v>
      </c>
      <c r="J216" s="39" t="s">
        <v>872</v>
      </c>
      <c r="K216" s="39" t="s">
        <v>2188</v>
      </c>
      <c r="L216" s="43">
        <v>44200.42916666667</v>
      </c>
      <c r="M216" s="39">
        <v>41400.0</v>
      </c>
      <c r="N216" s="44">
        <v>44040.43680555555</v>
      </c>
    </row>
    <row r="217">
      <c r="A217" s="39" t="s">
        <v>957</v>
      </c>
      <c r="B217" s="39" t="s">
        <v>2476</v>
      </c>
      <c r="C217" s="39" t="s">
        <v>19</v>
      </c>
      <c r="D217" s="39">
        <v>61450.0</v>
      </c>
      <c r="F217" s="39" t="s">
        <v>2433</v>
      </c>
      <c r="G217" s="39" t="s">
        <v>1049</v>
      </c>
      <c r="H217" s="39" t="s">
        <v>1048</v>
      </c>
      <c r="I217" s="39" t="s">
        <v>724</v>
      </c>
      <c r="J217" s="39" t="s">
        <v>872</v>
      </c>
      <c r="K217" s="39" t="s">
        <v>2158</v>
      </c>
      <c r="L217" s="43">
        <v>44200.42916666667</v>
      </c>
      <c r="N217" s="44">
        <v>44040.35902777778</v>
      </c>
    </row>
    <row r="218">
      <c r="A218" s="39" t="s">
        <v>957</v>
      </c>
      <c r="B218" s="39" t="s">
        <v>2477</v>
      </c>
      <c r="C218" s="39" t="s">
        <v>19</v>
      </c>
      <c r="D218" s="39">
        <v>61109.0</v>
      </c>
      <c r="F218" s="39" t="s">
        <v>2478</v>
      </c>
      <c r="I218" s="39" t="s">
        <v>724</v>
      </c>
      <c r="J218" s="39" t="s">
        <v>872</v>
      </c>
      <c r="K218" s="39" t="s">
        <v>2158</v>
      </c>
      <c r="L218" s="43">
        <v>44200.42916666667</v>
      </c>
      <c r="N218" s="44">
        <v>44032.666666666664</v>
      </c>
    </row>
    <row r="219">
      <c r="A219" s="39" t="s">
        <v>957</v>
      </c>
      <c r="B219" s="39" t="s">
        <v>2479</v>
      </c>
      <c r="C219" s="39" t="s">
        <v>19</v>
      </c>
      <c r="D219" s="39">
        <v>61107.0</v>
      </c>
      <c r="F219" s="39" t="s">
        <v>2480</v>
      </c>
      <c r="I219" s="39" t="s">
        <v>724</v>
      </c>
      <c r="J219" s="39" t="s">
        <v>872</v>
      </c>
      <c r="K219" s="39" t="s">
        <v>2158</v>
      </c>
      <c r="L219" s="43">
        <v>44200.42916666667</v>
      </c>
      <c r="N219" s="44">
        <v>44032.66527777778</v>
      </c>
    </row>
    <row r="220">
      <c r="A220" s="39" t="s">
        <v>957</v>
      </c>
      <c r="B220" s="39" t="s">
        <v>2481</v>
      </c>
      <c r="C220" s="39" t="s">
        <v>19</v>
      </c>
      <c r="D220" s="39">
        <v>61108.0</v>
      </c>
      <c r="F220" s="39" t="s">
        <v>2482</v>
      </c>
      <c r="I220" s="39" t="s">
        <v>724</v>
      </c>
      <c r="J220" s="39" t="s">
        <v>872</v>
      </c>
      <c r="K220" s="39" t="s">
        <v>2158</v>
      </c>
      <c r="L220" s="43">
        <v>44200.42916666667</v>
      </c>
      <c r="N220" s="44">
        <v>44032.665972222225</v>
      </c>
    </row>
    <row r="221">
      <c r="A221" s="39" t="s">
        <v>957</v>
      </c>
      <c r="B221" s="39" t="s">
        <v>2483</v>
      </c>
      <c r="C221" s="39" t="s">
        <v>19</v>
      </c>
      <c r="D221" s="39">
        <v>63767.0</v>
      </c>
      <c r="F221" s="39" t="s">
        <v>2484</v>
      </c>
      <c r="I221" s="39" t="s">
        <v>724</v>
      </c>
      <c r="J221" s="39" t="s">
        <v>872</v>
      </c>
      <c r="K221" s="39" t="s">
        <v>2161</v>
      </c>
      <c r="L221" s="43">
        <v>44200.42916666667</v>
      </c>
      <c r="N221" s="44">
        <v>44099.57708333333</v>
      </c>
    </row>
    <row r="222">
      <c r="A222" s="39" t="s">
        <v>957</v>
      </c>
      <c r="B222" s="39" t="s">
        <v>2485</v>
      </c>
      <c r="C222" s="39" t="s">
        <v>19</v>
      </c>
      <c r="D222" s="39">
        <v>61468.0</v>
      </c>
      <c r="F222" s="39" t="s">
        <v>2486</v>
      </c>
      <c r="I222" s="39" t="s">
        <v>1049</v>
      </c>
      <c r="J222" s="39" t="s">
        <v>1048</v>
      </c>
      <c r="K222" s="39" t="s">
        <v>2158</v>
      </c>
      <c r="L222" s="43">
        <v>44200.42916666667</v>
      </c>
      <c r="N222" s="44">
        <v>44040.65833333333</v>
      </c>
    </row>
    <row r="223">
      <c r="A223" s="39" t="s">
        <v>957</v>
      </c>
      <c r="B223" s="39" t="s">
        <v>2487</v>
      </c>
      <c r="C223" s="39" t="s">
        <v>19</v>
      </c>
      <c r="D223" s="39">
        <v>61469.0</v>
      </c>
      <c r="F223" s="39" t="s">
        <v>2488</v>
      </c>
      <c r="I223" s="39" t="s">
        <v>1049</v>
      </c>
      <c r="J223" s="39" t="s">
        <v>1048</v>
      </c>
      <c r="K223" s="39" t="s">
        <v>2158</v>
      </c>
      <c r="L223" s="43">
        <v>44200.42916666667</v>
      </c>
      <c r="N223" s="44">
        <v>44040.660416666666</v>
      </c>
    </row>
    <row r="224">
      <c r="A224" s="39" t="s">
        <v>957</v>
      </c>
      <c r="B224" s="39" t="s">
        <v>2489</v>
      </c>
      <c r="C224" s="39" t="s">
        <v>19</v>
      </c>
      <c r="D224" s="39">
        <v>61466.0</v>
      </c>
      <c r="F224" s="39" t="s">
        <v>2490</v>
      </c>
      <c r="I224" s="39" t="s">
        <v>1049</v>
      </c>
      <c r="J224" s="39" t="s">
        <v>1048</v>
      </c>
      <c r="K224" s="39" t="s">
        <v>2158</v>
      </c>
      <c r="L224" s="43">
        <v>44200.42916666667</v>
      </c>
      <c r="N224" s="44">
        <v>44040.65625</v>
      </c>
    </row>
    <row r="225">
      <c r="A225" s="39" t="s">
        <v>957</v>
      </c>
      <c r="B225" s="39" t="s">
        <v>2491</v>
      </c>
      <c r="C225" s="39" t="s">
        <v>19</v>
      </c>
      <c r="D225" s="39">
        <v>61467.0</v>
      </c>
      <c r="F225" s="39" t="s">
        <v>2492</v>
      </c>
      <c r="I225" s="39" t="s">
        <v>1049</v>
      </c>
      <c r="J225" s="39" t="s">
        <v>1048</v>
      </c>
      <c r="K225" s="39" t="s">
        <v>2158</v>
      </c>
      <c r="L225" s="43">
        <v>44200.42916666667</v>
      </c>
      <c r="N225" s="44">
        <v>44040.65694444445</v>
      </c>
    </row>
    <row r="226">
      <c r="A226" s="39" t="s">
        <v>957</v>
      </c>
      <c r="B226" s="39" t="s">
        <v>2493</v>
      </c>
      <c r="C226" s="39" t="s">
        <v>19</v>
      </c>
      <c r="D226" s="39">
        <v>61464.0</v>
      </c>
      <c r="F226" s="39" t="s">
        <v>2494</v>
      </c>
      <c r="I226" s="39" t="s">
        <v>1049</v>
      </c>
      <c r="J226" s="39" t="s">
        <v>1048</v>
      </c>
      <c r="K226" s="39" t="s">
        <v>2158</v>
      </c>
      <c r="L226" s="43">
        <v>44200.42916666667</v>
      </c>
      <c r="N226" s="44">
        <v>44040.654861111114</v>
      </c>
    </row>
    <row r="227">
      <c r="A227" s="39" t="s">
        <v>957</v>
      </c>
      <c r="B227" s="39" t="s">
        <v>2495</v>
      </c>
      <c r="C227" s="39" t="s">
        <v>19</v>
      </c>
      <c r="D227" s="39">
        <v>61465.0</v>
      </c>
      <c r="F227" s="39" t="s">
        <v>2496</v>
      </c>
      <c r="I227" s="39" t="s">
        <v>1049</v>
      </c>
      <c r="J227" s="39" t="s">
        <v>1048</v>
      </c>
      <c r="K227" s="39" t="s">
        <v>2158</v>
      </c>
      <c r="L227" s="43">
        <v>44200.42916666667</v>
      </c>
      <c r="N227" s="44">
        <v>44040.65555555555</v>
      </c>
    </row>
    <row r="228">
      <c r="A228" s="39" t="s">
        <v>832</v>
      </c>
      <c r="B228" s="39" t="s">
        <v>1440</v>
      </c>
      <c r="C228" s="39" t="s">
        <v>19</v>
      </c>
      <c r="D228" s="39">
        <v>62551.0</v>
      </c>
      <c r="F228" s="39" t="s">
        <v>1441</v>
      </c>
      <c r="G228" s="39" t="s">
        <v>724</v>
      </c>
      <c r="H228" s="39" t="s">
        <v>872</v>
      </c>
      <c r="I228" s="39" t="s">
        <v>1049</v>
      </c>
      <c r="J228" s="39" t="s">
        <v>1048</v>
      </c>
      <c r="K228" s="39" t="s">
        <v>2161</v>
      </c>
      <c r="L228" s="43">
        <v>44200.42916666667</v>
      </c>
      <c r="M228" s="39">
        <v>93600.0</v>
      </c>
      <c r="N228" s="43">
        <v>44076.58263888889</v>
      </c>
    </row>
    <row r="229">
      <c r="A229" s="39" t="s">
        <v>957</v>
      </c>
      <c r="B229" s="39" t="s">
        <v>2497</v>
      </c>
      <c r="C229" s="39" t="s">
        <v>19</v>
      </c>
      <c r="D229" s="39">
        <v>61463.0</v>
      </c>
      <c r="F229" s="39" t="s">
        <v>2498</v>
      </c>
      <c r="I229" s="39" t="s">
        <v>1049</v>
      </c>
      <c r="J229" s="39" t="s">
        <v>1048</v>
      </c>
      <c r="K229" s="39" t="s">
        <v>2158</v>
      </c>
      <c r="L229" s="43">
        <v>44200.42916666667</v>
      </c>
      <c r="N229" s="44">
        <v>44040.64861111111</v>
      </c>
    </row>
    <row r="230">
      <c r="A230" s="39" t="s">
        <v>957</v>
      </c>
      <c r="B230" s="39" t="s">
        <v>1474</v>
      </c>
      <c r="C230" s="39" t="s">
        <v>19</v>
      </c>
      <c r="D230" s="39">
        <v>62552.0</v>
      </c>
      <c r="F230" s="39" t="s">
        <v>1475</v>
      </c>
      <c r="G230" s="39" t="s">
        <v>1049</v>
      </c>
      <c r="H230" s="39" t="s">
        <v>1048</v>
      </c>
      <c r="I230" s="39" t="s">
        <v>1154</v>
      </c>
      <c r="J230" s="39" t="s">
        <v>1153</v>
      </c>
      <c r="K230" s="39" t="s">
        <v>2161</v>
      </c>
      <c r="L230" s="43">
        <v>44200.42916666667</v>
      </c>
      <c r="M230" s="39">
        <v>7200.0</v>
      </c>
      <c r="N230" s="43">
        <v>44076.584027777775</v>
      </c>
    </row>
    <row r="231">
      <c r="A231" s="39" t="s">
        <v>957</v>
      </c>
      <c r="B231" s="39" t="s">
        <v>2499</v>
      </c>
      <c r="C231" s="39" t="s">
        <v>19</v>
      </c>
      <c r="D231" s="39">
        <v>62550.0</v>
      </c>
      <c r="F231" s="39" t="s">
        <v>2500</v>
      </c>
      <c r="G231" s="39" t="s">
        <v>1049</v>
      </c>
      <c r="H231" s="39" t="s">
        <v>1048</v>
      </c>
      <c r="I231" s="39" t="s">
        <v>1049</v>
      </c>
      <c r="J231" s="39" t="s">
        <v>1048</v>
      </c>
      <c r="K231" s="39" t="s">
        <v>2199</v>
      </c>
      <c r="L231" s="43">
        <v>44200.42916666667</v>
      </c>
      <c r="N231" s="43">
        <v>44076.57152777778</v>
      </c>
    </row>
    <row r="232">
      <c r="A232" s="39" t="s">
        <v>957</v>
      </c>
      <c r="B232" s="39" t="s">
        <v>2501</v>
      </c>
      <c r="C232" s="39" t="s">
        <v>19</v>
      </c>
      <c r="D232" s="39">
        <v>61118.0</v>
      </c>
      <c r="F232" s="39" t="s">
        <v>2502</v>
      </c>
      <c r="G232" s="39" t="s">
        <v>1060</v>
      </c>
      <c r="H232" s="39" t="s">
        <v>1059</v>
      </c>
      <c r="I232" s="39" t="s">
        <v>1060</v>
      </c>
      <c r="J232" s="39" t="s">
        <v>1059</v>
      </c>
      <c r="K232" s="39" t="s">
        <v>2158</v>
      </c>
      <c r="L232" s="43">
        <v>44200.42916666667</v>
      </c>
      <c r="N232" s="44">
        <v>44033.54513888889</v>
      </c>
    </row>
    <row r="233">
      <c r="A233" s="39" t="s">
        <v>957</v>
      </c>
      <c r="B233" s="39" t="s">
        <v>2503</v>
      </c>
      <c r="C233" s="39" t="s">
        <v>19</v>
      </c>
      <c r="D233" s="39">
        <v>62328.0</v>
      </c>
      <c r="F233" s="39" t="s">
        <v>2504</v>
      </c>
      <c r="G233" s="39" t="s">
        <v>1060</v>
      </c>
      <c r="H233" s="39" t="s">
        <v>1059</v>
      </c>
      <c r="I233" s="39" t="s">
        <v>1060</v>
      </c>
      <c r="J233" s="39" t="s">
        <v>1059</v>
      </c>
      <c r="K233" s="39" t="s">
        <v>2158</v>
      </c>
      <c r="L233" s="43">
        <v>44200.42916666667</v>
      </c>
      <c r="N233" s="44">
        <v>44069.54375</v>
      </c>
    </row>
    <row r="234">
      <c r="A234" s="39" t="s">
        <v>957</v>
      </c>
      <c r="B234" s="39" t="s">
        <v>2505</v>
      </c>
      <c r="C234" s="39" t="s">
        <v>19</v>
      </c>
      <c r="D234" s="39">
        <v>61119.0</v>
      </c>
      <c r="F234" s="39" t="s">
        <v>2506</v>
      </c>
      <c r="G234" s="39" t="s">
        <v>1060</v>
      </c>
      <c r="H234" s="39" t="s">
        <v>1059</v>
      </c>
      <c r="I234" s="39" t="s">
        <v>1060</v>
      </c>
      <c r="J234" s="39" t="s">
        <v>1059</v>
      </c>
      <c r="K234" s="39" t="s">
        <v>2158</v>
      </c>
      <c r="L234" s="43">
        <v>44200.42916666667</v>
      </c>
      <c r="N234" s="44">
        <v>44033.54583333333</v>
      </c>
    </row>
    <row r="235">
      <c r="A235" s="39" t="s">
        <v>832</v>
      </c>
      <c r="B235" s="39" t="s">
        <v>1818</v>
      </c>
      <c r="C235" s="39" t="s">
        <v>19</v>
      </c>
      <c r="D235" s="39">
        <v>64867.0</v>
      </c>
      <c r="F235" s="39" t="s">
        <v>1819</v>
      </c>
      <c r="G235" s="39" t="s">
        <v>724</v>
      </c>
      <c r="H235" s="39" t="s">
        <v>872</v>
      </c>
      <c r="I235" s="39" t="s">
        <v>724</v>
      </c>
      <c r="J235" s="39" t="s">
        <v>872</v>
      </c>
      <c r="K235" s="39" t="s">
        <v>2158</v>
      </c>
      <c r="L235" s="43">
        <v>44200.42916666667</v>
      </c>
      <c r="M235" s="39">
        <v>1800.0</v>
      </c>
      <c r="N235" s="44">
        <v>44125.47986111111</v>
      </c>
    </row>
    <row r="236">
      <c r="A236" s="39" t="s">
        <v>957</v>
      </c>
      <c r="B236" s="39" t="s">
        <v>2507</v>
      </c>
      <c r="C236" s="39" t="s">
        <v>19</v>
      </c>
      <c r="D236" s="39">
        <v>62568.0</v>
      </c>
      <c r="F236" s="39" t="s">
        <v>2508</v>
      </c>
      <c r="G236" s="39" t="s">
        <v>1154</v>
      </c>
      <c r="H236" s="39" t="s">
        <v>1153</v>
      </c>
      <c r="I236" s="39" t="s">
        <v>1154</v>
      </c>
      <c r="J236" s="39" t="s">
        <v>1153</v>
      </c>
      <c r="K236" s="39" t="s">
        <v>2158</v>
      </c>
      <c r="L236" s="43">
        <v>44200.42916666667</v>
      </c>
      <c r="N236" s="43">
        <v>44077.66527777778</v>
      </c>
    </row>
    <row r="237">
      <c r="A237" s="39" t="s">
        <v>957</v>
      </c>
      <c r="B237" s="39" t="s">
        <v>1266</v>
      </c>
      <c r="C237" s="39" t="s">
        <v>19</v>
      </c>
      <c r="D237" s="39">
        <v>61116.0</v>
      </c>
      <c r="F237" s="39" t="s">
        <v>1267</v>
      </c>
      <c r="G237" s="39" t="s">
        <v>724</v>
      </c>
      <c r="H237" s="39" t="s">
        <v>872</v>
      </c>
      <c r="I237" s="39" t="s">
        <v>724</v>
      </c>
      <c r="J237" s="39" t="s">
        <v>872</v>
      </c>
      <c r="K237" s="39" t="s">
        <v>2158</v>
      </c>
      <c r="L237" s="43">
        <v>44200.42916666667</v>
      </c>
      <c r="M237" s="39">
        <v>18000.0</v>
      </c>
      <c r="N237" s="44">
        <v>44032.67291666667</v>
      </c>
    </row>
    <row r="238">
      <c r="A238" s="39" t="s">
        <v>832</v>
      </c>
      <c r="B238" s="39" t="s">
        <v>2509</v>
      </c>
      <c r="C238" s="39" t="s">
        <v>19</v>
      </c>
      <c r="D238" s="39">
        <v>61479.0</v>
      </c>
      <c r="F238" s="39" t="s">
        <v>2510</v>
      </c>
      <c r="I238" s="39" t="s">
        <v>724</v>
      </c>
      <c r="J238" s="39" t="s">
        <v>872</v>
      </c>
      <c r="K238" s="39" t="s">
        <v>2161</v>
      </c>
      <c r="L238" s="43">
        <v>44200.42916666667</v>
      </c>
      <c r="N238" s="44">
        <v>44041.42083333333</v>
      </c>
    </row>
    <row r="239">
      <c r="A239" s="39" t="s">
        <v>957</v>
      </c>
      <c r="B239" s="39" t="s">
        <v>1524</v>
      </c>
      <c r="C239" s="39" t="s">
        <v>19</v>
      </c>
      <c r="D239" s="39">
        <v>62569.0</v>
      </c>
      <c r="F239" s="39" t="s">
        <v>1525</v>
      </c>
      <c r="G239" s="39" t="s">
        <v>724</v>
      </c>
      <c r="H239" s="39" t="s">
        <v>872</v>
      </c>
      <c r="I239" s="39" t="s">
        <v>724</v>
      </c>
      <c r="J239" s="39" t="s">
        <v>872</v>
      </c>
      <c r="K239" s="39" t="s">
        <v>2158</v>
      </c>
      <c r="L239" s="43">
        <v>44200.42916666667</v>
      </c>
      <c r="M239" s="39">
        <v>25200.0</v>
      </c>
      <c r="N239" s="43">
        <v>44077.666666666664</v>
      </c>
    </row>
    <row r="240">
      <c r="A240" s="39" t="s">
        <v>832</v>
      </c>
      <c r="B240" s="39" t="s">
        <v>1791</v>
      </c>
      <c r="C240" s="39" t="s">
        <v>19</v>
      </c>
      <c r="D240" s="39">
        <v>64743.0</v>
      </c>
      <c r="F240" s="39" t="s">
        <v>1792</v>
      </c>
      <c r="G240" s="39" t="s">
        <v>1049</v>
      </c>
      <c r="H240" s="39" t="s">
        <v>1048</v>
      </c>
      <c r="I240" s="39" t="s">
        <v>724</v>
      </c>
      <c r="J240" s="39" t="s">
        <v>872</v>
      </c>
      <c r="K240" s="39" t="s">
        <v>2158</v>
      </c>
      <c r="L240" s="43">
        <v>44200.42916666667</v>
      </c>
      <c r="M240" s="39">
        <v>118800.0</v>
      </c>
      <c r="N240" s="44">
        <v>44123.72708333333</v>
      </c>
    </row>
    <row r="241">
      <c r="A241" s="39" t="s">
        <v>957</v>
      </c>
      <c r="B241" s="39" t="s">
        <v>2511</v>
      </c>
      <c r="C241" s="39" t="s">
        <v>19</v>
      </c>
      <c r="D241" s="39">
        <v>61114.0</v>
      </c>
      <c r="F241" s="39" t="s">
        <v>2512</v>
      </c>
      <c r="G241" s="39" t="s">
        <v>724</v>
      </c>
      <c r="H241" s="39" t="s">
        <v>872</v>
      </c>
      <c r="I241" s="39" t="s">
        <v>724</v>
      </c>
      <c r="J241" s="39" t="s">
        <v>872</v>
      </c>
      <c r="K241" s="39" t="s">
        <v>2158</v>
      </c>
      <c r="L241" s="43">
        <v>44200.42916666667</v>
      </c>
      <c r="N241" s="44">
        <v>44032.67222222222</v>
      </c>
    </row>
    <row r="242">
      <c r="A242" s="39" t="s">
        <v>957</v>
      </c>
      <c r="B242" s="39" t="s">
        <v>2513</v>
      </c>
      <c r="C242" s="39" t="s">
        <v>19</v>
      </c>
      <c r="D242" s="39">
        <v>61115.0</v>
      </c>
      <c r="F242" s="39" t="s">
        <v>2514</v>
      </c>
      <c r="G242" s="39" t="s">
        <v>724</v>
      </c>
      <c r="H242" s="39" t="s">
        <v>872</v>
      </c>
      <c r="I242" s="39" t="s">
        <v>724</v>
      </c>
      <c r="J242" s="39" t="s">
        <v>872</v>
      </c>
      <c r="K242" s="39" t="s">
        <v>2158</v>
      </c>
      <c r="L242" s="43">
        <v>44200.42916666667</v>
      </c>
      <c r="N242" s="44">
        <v>44032.67291666667</v>
      </c>
    </row>
    <row r="243">
      <c r="A243" s="39" t="s">
        <v>832</v>
      </c>
      <c r="B243" s="39" t="s">
        <v>2515</v>
      </c>
      <c r="C243" s="39" t="s">
        <v>19</v>
      </c>
      <c r="D243" s="39">
        <v>61478.0</v>
      </c>
      <c r="F243" s="39" t="s">
        <v>2516</v>
      </c>
      <c r="I243" s="39" t="s">
        <v>724</v>
      </c>
      <c r="J243" s="39" t="s">
        <v>872</v>
      </c>
      <c r="K243" s="39" t="s">
        <v>2161</v>
      </c>
      <c r="L243" s="43">
        <v>44200.42916666667</v>
      </c>
      <c r="N243" s="44">
        <v>44041.42083333333</v>
      </c>
    </row>
    <row r="244">
      <c r="A244" s="39" t="s">
        <v>957</v>
      </c>
      <c r="B244" s="39" t="s">
        <v>2096</v>
      </c>
      <c r="C244" s="39" t="s">
        <v>19</v>
      </c>
      <c r="D244" s="39">
        <v>66800.0</v>
      </c>
      <c r="F244" s="39" t="s">
        <v>2097</v>
      </c>
      <c r="G244" s="39" t="s">
        <v>1060</v>
      </c>
      <c r="H244" s="39" t="s">
        <v>1059</v>
      </c>
      <c r="I244" s="39" t="s">
        <v>724</v>
      </c>
      <c r="J244" s="39" t="s">
        <v>872</v>
      </c>
      <c r="K244" s="39" t="s">
        <v>2158</v>
      </c>
      <c r="L244" s="43">
        <v>44200.42916666667</v>
      </c>
      <c r="M244" s="39">
        <v>26100.0</v>
      </c>
      <c r="N244" s="43">
        <v>44172.438888888886</v>
      </c>
    </row>
    <row r="245">
      <c r="A245" s="39" t="s">
        <v>957</v>
      </c>
      <c r="B245" s="39" t="s">
        <v>2517</v>
      </c>
      <c r="C245" s="39" t="s">
        <v>19</v>
      </c>
      <c r="D245" s="39">
        <v>62567.0</v>
      </c>
      <c r="F245" s="39" t="s">
        <v>2518</v>
      </c>
      <c r="G245" s="39" t="s">
        <v>1154</v>
      </c>
      <c r="H245" s="39" t="s">
        <v>1153</v>
      </c>
      <c r="I245" s="39" t="s">
        <v>1154</v>
      </c>
      <c r="J245" s="39" t="s">
        <v>1153</v>
      </c>
      <c r="K245" s="39" t="s">
        <v>2158</v>
      </c>
      <c r="L245" s="43">
        <v>44200.42916666667</v>
      </c>
      <c r="N245" s="43">
        <v>44077.6625</v>
      </c>
    </row>
    <row r="246">
      <c r="A246" s="39" t="s">
        <v>832</v>
      </c>
      <c r="B246" s="39" t="s">
        <v>1246</v>
      </c>
      <c r="C246" s="39" t="s">
        <v>19</v>
      </c>
      <c r="D246" s="39">
        <v>61112.0</v>
      </c>
      <c r="F246" s="39" t="s">
        <v>1247</v>
      </c>
      <c r="G246" s="39" t="s">
        <v>724</v>
      </c>
      <c r="H246" s="39" t="s">
        <v>872</v>
      </c>
      <c r="I246" s="39" t="s">
        <v>724</v>
      </c>
      <c r="J246" s="39" t="s">
        <v>872</v>
      </c>
      <c r="K246" s="39" t="s">
        <v>2158</v>
      </c>
      <c r="L246" s="43">
        <v>44200.42916666667</v>
      </c>
      <c r="M246" s="39">
        <v>68400.0</v>
      </c>
      <c r="N246" s="44">
        <v>44032.67152777778</v>
      </c>
    </row>
    <row r="247">
      <c r="A247" s="39" t="s">
        <v>957</v>
      </c>
      <c r="B247" s="39" t="s">
        <v>2519</v>
      </c>
      <c r="C247" s="39" t="s">
        <v>19</v>
      </c>
      <c r="D247" s="39">
        <v>62564.0</v>
      </c>
      <c r="F247" s="39" t="s">
        <v>2520</v>
      </c>
      <c r="G247" s="39" t="s">
        <v>1154</v>
      </c>
      <c r="H247" s="39" t="s">
        <v>1153</v>
      </c>
      <c r="I247" s="39" t="s">
        <v>1154</v>
      </c>
      <c r="J247" s="39" t="s">
        <v>1153</v>
      </c>
      <c r="K247" s="39" t="s">
        <v>2158</v>
      </c>
      <c r="L247" s="43">
        <v>44200.42916666667</v>
      </c>
      <c r="N247" s="43">
        <v>44077.645833333336</v>
      </c>
    </row>
    <row r="248">
      <c r="A248" s="39" t="s">
        <v>957</v>
      </c>
      <c r="B248" s="39" t="s">
        <v>2521</v>
      </c>
      <c r="C248" s="39" t="s">
        <v>19</v>
      </c>
      <c r="D248" s="39">
        <v>62565.0</v>
      </c>
      <c r="F248" s="39" t="s">
        <v>2522</v>
      </c>
      <c r="G248" s="39" t="s">
        <v>1154</v>
      </c>
      <c r="H248" s="39" t="s">
        <v>1153</v>
      </c>
      <c r="I248" s="39" t="s">
        <v>1154</v>
      </c>
      <c r="J248" s="39" t="s">
        <v>1153</v>
      </c>
      <c r="K248" s="39" t="s">
        <v>2158</v>
      </c>
      <c r="L248" s="43">
        <v>44200.42916666667</v>
      </c>
      <c r="N248" s="43">
        <v>44077.65902777778</v>
      </c>
    </row>
    <row r="249">
      <c r="A249" s="39" t="s">
        <v>957</v>
      </c>
      <c r="B249" s="39" t="s">
        <v>2523</v>
      </c>
      <c r="C249" s="39" t="s">
        <v>19</v>
      </c>
      <c r="D249" s="39">
        <v>61113.0</v>
      </c>
      <c r="F249" s="39" t="s">
        <v>2524</v>
      </c>
      <c r="G249" s="39" t="s">
        <v>724</v>
      </c>
      <c r="H249" s="39" t="s">
        <v>872</v>
      </c>
      <c r="I249" s="39" t="s">
        <v>724</v>
      </c>
      <c r="J249" s="39" t="s">
        <v>872</v>
      </c>
      <c r="K249" s="39" t="s">
        <v>2158</v>
      </c>
      <c r="L249" s="43">
        <v>44200.42916666667</v>
      </c>
      <c r="N249" s="44">
        <v>44032.67152777778</v>
      </c>
    </row>
    <row r="250">
      <c r="A250" s="39" t="s">
        <v>957</v>
      </c>
      <c r="B250" s="39" t="s">
        <v>1470</v>
      </c>
      <c r="C250" s="39" t="s">
        <v>19</v>
      </c>
      <c r="D250" s="39">
        <v>62562.0</v>
      </c>
      <c r="F250" s="39" t="s">
        <v>2525</v>
      </c>
      <c r="G250" s="39" t="s">
        <v>1154</v>
      </c>
      <c r="H250" s="39" t="s">
        <v>1153</v>
      </c>
      <c r="I250" s="39" t="s">
        <v>1049</v>
      </c>
      <c r="J250" s="39" t="s">
        <v>1048</v>
      </c>
      <c r="K250" s="39" t="s">
        <v>2158</v>
      </c>
      <c r="L250" s="43">
        <v>44200.42916666667</v>
      </c>
      <c r="M250" s="39">
        <v>32400.0</v>
      </c>
      <c r="N250" s="43">
        <v>44077.549305555556</v>
      </c>
    </row>
    <row r="251">
      <c r="A251" s="39" t="s">
        <v>957</v>
      </c>
      <c r="B251" s="39" t="s">
        <v>2526</v>
      </c>
      <c r="C251" s="39" t="s">
        <v>19</v>
      </c>
      <c r="D251" s="39">
        <v>61110.0</v>
      </c>
      <c r="F251" s="39" t="s">
        <v>2527</v>
      </c>
      <c r="I251" s="39" t="s">
        <v>724</v>
      </c>
      <c r="J251" s="39" t="s">
        <v>872</v>
      </c>
      <c r="K251" s="39" t="s">
        <v>2158</v>
      </c>
      <c r="L251" s="43">
        <v>44200.42916666667</v>
      </c>
      <c r="N251" s="44">
        <v>44032.666666666664</v>
      </c>
    </row>
    <row r="252">
      <c r="A252" s="39" t="s">
        <v>957</v>
      </c>
      <c r="B252" s="39" t="s">
        <v>2528</v>
      </c>
      <c r="C252" s="39" t="s">
        <v>19</v>
      </c>
      <c r="D252" s="39">
        <v>61471.0</v>
      </c>
      <c r="F252" s="39" t="s">
        <v>2529</v>
      </c>
      <c r="I252" s="39" t="s">
        <v>1049</v>
      </c>
      <c r="J252" s="39" t="s">
        <v>1048</v>
      </c>
      <c r="K252" s="39" t="s">
        <v>2158</v>
      </c>
      <c r="L252" s="43">
        <v>44200.42916666667</v>
      </c>
      <c r="N252" s="44">
        <v>44040.66527777778</v>
      </c>
    </row>
    <row r="253">
      <c r="A253" s="39" t="s">
        <v>957</v>
      </c>
      <c r="B253" s="39" t="s">
        <v>2530</v>
      </c>
      <c r="C253" s="39" t="s">
        <v>19</v>
      </c>
      <c r="D253" s="39">
        <v>62560.0</v>
      </c>
      <c r="F253" s="39" t="s">
        <v>2531</v>
      </c>
      <c r="G253" s="39" t="s">
        <v>1060</v>
      </c>
      <c r="H253" s="39" t="s">
        <v>1059</v>
      </c>
      <c r="I253" s="39" t="s">
        <v>1060</v>
      </c>
      <c r="J253" s="39" t="s">
        <v>1059</v>
      </c>
      <c r="K253" s="39" t="s">
        <v>2158</v>
      </c>
      <c r="L253" s="43">
        <v>44200.42916666667</v>
      </c>
      <c r="N253" s="43">
        <v>44077.541666666664</v>
      </c>
    </row>
    <row r="254">
      <c r="A254" s="39" t="s">
        <v>957</v>
      </c>
      <c r="B254" s="39" t="s">
        <v>2532</v>
      </c>
      <c r="C254" s="39" t="s">
        <v>19</v>
      </c>
      <c r="D254" s="39">
        <v>61472.0</v>
      </c>
      <c r="F254" s="39" t="s">
        <v>2533</v>
      </c>
      <c r="I254" s="39" t="s">
        <v>1049</v>
      </c>
      <c r="J254" s="39" t="s">
        <v>1048</v>
      </c>
      <c r="K254" s="39" t="s">
        <v>2158</v>
      </c>
      <c r="L254" s="43">
        <v>44200.42916666667</v>
      </c>
      <c r="N254" s="44">
        <v>44040.69375</v>
      </c>
    </row>
    <row r="255">
      <c r="A255" s="39" t="s">
        <v>957</v>
      </c>
      <c r="B255" s="39" t="s">
        <v>2534</v>
      </c>
      <c r="C255" s="39" t="s">
        <v>19</v>
      </c>
      <c r="D255" s="39">
        <v>62561.0</v>
      </c>
      <c r="F255" s="39" t="s">
        <v>2535</v>
      </c>
      <c r="G255" s="39" t="s">
        <v>1060</v>
      </c>
      <c r="H255" s="39" t="s">
        <v>1059</v>
      </c>
      <c r="I255" s="39" t="s">
        <v>1060</v>
      </c>
      <c r="J255" s="39" t="s">
        <v>1059</v>
      </c>
      <c r="K255" s="39" t="s">
        <v>2158</v>
      </c>
      <c r="L255" s="43">
        <v>44200.42916666667</v>
      </c>
      <c r="N255" s="43">
        <v>44077.54305555556</v>
      </c>
    </row>
    <row r="256">
      <c r="A256" s="39" t="s">
        <v>957</v>
      </c>
      <c r="B256" s="39" t="s">
        <v>2536</v>
      </c>
      <c r="C256" s="39" t="s">
        <v>19</v>
      </c>
      <c r="D256" s="39">
        <v>61470.0</v>
      </c>
      <c r="F256" s="39" t="s">
        <v>2537</v>
      </c>
      <c r="I256" s="39" t="s">
        <v>1049</v>
      </c>
      <c r="J256" s="39" t="s">
        <v>1048</v>
      </c>
      <c r="K256" s="39" t="s">
        <v>2158</v>
      </c>
      <c r="L256" s="43">
        <v>44200.42916666667</v>
      </c>
      <c r="N256" s="44">
        <v>44040.6625</v>
      </c>
    </row>
    <row r="257">
      <c r="A257" s="39" t="s">
        <v>957</v>
      </c>
      <c r="B257" s="39" t="s">
        <v>1909</v>
      </c>
      <c r="C257" s="39" t="s">
        <v>19</v>
      </c>
      <c r="D257" s="39">
        <v>65609.0</v>
      </c>
      <c r="F257" s="39" t="s">
        <v>1910</v>
      </c>
      <c r="G257" s="39" t="s">
        <v>1049</v>
      </c>
      <c r="H257" s="39" t="s">
        <v>1048</v>
      </c>
      <c r="I257" s="39" t="s">
        <v>1049</v>
      </c>
      <c r="J257" s="39" t="s">
        <v>1048</v>
      </c>
      <c r="K257" s="39" t="s">
        <v>2188</v>
      </c>
      <c r="L257" s="43">
        <v>44200.42916666667</v>
      </c>
      <c r="M257" s="39">
        <v>32400.0</v>
      </c>
      <c r="N257" s="43">
        <v>44140.5875</v>
      </c>
    </row>
    <row r="258">
      <c r="A258" s="39" t="s">
        <v>957</v>
      </c>
      <c r="B258" s="39" t="s">
        <v>2006</v>
      </c>
      <c r="C258" s="39" t="s">
        <v>19</v>
      </c>
      <c r="D258" s="39">
        <v>65967.0</v>
      </c>
      <c r="F258" s="39" t="s">
        <v>2007</v>
      </c>
      <c r="G258" s="39" t="s">
        <v>724</v>
      </c>
      <c r="H258" s="39" t="s">
        <v>872</v>
      </c>
      <c r="I258" s="39" t="s">
        <v>1049</v>
      </c>
      <c r="J258" s="39" t="s">
        <v>1048</v>
      </c>
      <c r="K258" s="39" t="s">
        <v>2158</v>
      </c>
      <c r="L258" s="43">
        <v>44200.42916666667</v>
      </c>
      <c r="M258" s="39">
        <v>5400.0</v>
      </c>
      <c r="N258" s="44">
        <v>44154.700694444444</v>
      </c>
    </row>
    <row r="259">
      <c r="A259" s="39" t="s">
        <v>957</v>
      </c>
      <c r="B259" s="39" t="s">
        <v>1431</v>
      </c>
      <c r="C259" s="39" t="s">
        <v>19</v>
      </c>
      <c r="D259" s="39">
        <v>62339.0</v>
      </c>
      <c r="F259" s="39" t="s">
        <v>1432</v>
      </c>
      <c r="G259" s="39" t="s">
        <v>724</v>
      </c>
      <c r="H259" s="39" t="s">
        <v>872</v>
      </c>
      <c r="I259" s="39" t="s">
        <v>1154</v>
      </c>
      <c r="J259" s="39" t="s">
        <v>1153</v>
      </c>
      <c r="K259" s="39" t="s">
        <v>2158</v>
      </c>
      <c r="L259" s="43">
        <v>44200.42916666667</v>
      </c>
      <c r="M259" s="39">
        <v>25200.0</v>
      </c>
      <c r="N259" s="44">
        <v>44070.675</v>
      </c>
    </row>
    <row r="260">
      <c r="A260" s="39" t="s">
        <v>957</v>
      </c>
      <c r="B260" s="39" t="s">
        <v>2538</v>
      </c>
      <c r="C260" s="39" t="s">
        <v>19</v>
      </c>
      <c r="D260" s="39">
        <v>65846.0</v>
      </c>
      <c r="F260" s="39" t="s">
        <v>2539</v>
      </c>
      <c r="G260" s="39" t="s">
        <v>1060</v>
      </c>
      <c r="H260" s="39" t="s">
        <v>1059</v>
      </c>
      <c r="I260" s="39" t="s">
        <v>724</v>
      </c>
      <c r="J260" s="39" t="s">
        <v>872</v>
      </c>
      <c r="K260" s="39" t="s">
        <v>2158</v>
      </c>
      <c r="L260" s="43">
        <v>44200.42916666667</v>
      </c>
      <c r="N260" s="44">
        <v>44146.81458333333</v>
      </c>
    </row>
    <row r="261">
      <c r="A261" s="39" t="s">
        <v>957</v>
      </c>
      <c r="B261" s="39" t="s">
        <v>2540</v>
      </c>
      <c r="C261" s="39" t="s">
        <v>19</v>
      </c>
      <c r="D261" s="39">
        <v>65847.0</v>
      </c>
      <c r="F261" s="39" t="s">
        <v>2541</v>
      </c>
      <c r="G261" s="39" t="s">
        <v>1060</v>
      </c>
      <c r="H261" s="39" t="s">
        <v>1059</v>
      </c>
      <c r="I261" s="39" t="s">
        <v>724</v>
      </c>
      <c r="J261" s="39" t="s">
        <v>872</v>
      </c>
      <c r="K261" s="39" t="s">
        <v>2158</v>
      </c>
      <c r="L261" s="43">
        <v>44200.42916666667</v>
      </c>
      <c r="N261" s="44">
        <v>44146.816666666666</v>
      </c>
    </row>
    <row r="262">
      <c r="A262" s="39" t="s">
        <v>957</v>
      </c>
      <c r="B262" s="39" t="s">
        <v>1394</v>
      </c>
      <c r="C262" s="39" t="s">
        <v>19</v>
      </c>
      <c r="D262" s="39">
        <v>62458.0</v>
      </c>
      <c r="F262" s="39" t="s">
        <v>1395</v>
      </c>
      <c r="G262" s="39" t="s">
        <v>724</v>
      </c>
      <c r="H262" s="39" t="s">
        <v>872</v>
      </c>
      <c r="I262" s="39" t="s">
        <v>1049</v>
      </c>
      <c r="J262" s="39" t="s">
        <v>1048</v>
      </c>
      <c r="K262" s="39" t="s">
        <v>2158</v>
      </c>
      <c r="L262" s="43">
        <v>44200.42916666667</v>
      </c>
      <c r="M262" s="39">
        <v>110700.0</v>
      </c>
      <c r="N262" s="44">
        <v>44074.64722222222</v>
      </c>
    </row>
    <row r="263">
      <c r="A263" s="39" t="s">
        <v>957</v>
      </c>
      <c r="B263" s="39" t="s">
        <v>2542</v>
      </c>
      <c r="C263" s="39" t="s">
        <v>19</v>
      </c>
      <c r="D263" s="39">
        <v>61125.0</v>
      </c>
      <c r="F263" s="39" t="s">
        <v>2543</v>
      </c>
      <c r="G263" s="39" t="s">
        <v>724</v>
      </c>
      <c r="H263" s="39" t="s">
        <v>872</v>
      </c>
      <c r="I263" s="39" t="s">
        <v>1049</v>
      </c>
      <c r="J263" s="39" t="s">
        <v>1048</v>
      </c>
      <c r="K263" s="39" t="s">
        <v>2158</v>
      </c>
      <c r="L263" s="43">
        <v>44200.42916666667</v>
      </c>
      <c r="N263" s="44">
        <v>44033.65069444444</v>
      </c>
    </row>
    <row r="264">
      <c r="A264" s="39" t="s">
        <v>832</v>
      </c>
      <c r="B264" s="39" t="s">
        <v>1932</v>
      </c>
      <c r="C264" s="39" t="s">
        <v>19</v>
      </c>
      <c r="D264" s="39">
        <v>65722.0</v>
      </c>
      <c r="F264" s="39" t="s">
        <v>1933</v>
      </c>
      <c r="G264" s="39" t="s">
        <v>724</v>
      </c>
      <c r="H264" s="39" t="s">
        <v>872</v>
      </c>
      <c r="I264" s="39" t="s">
        <v>724</v>
      </c>
      <c r="J264" s="39" t="s">
        <v>872</v>
      </c>
      <c r="K264" s="39" t="s">
        <v>2158</v>
      </c>
      <c r="L264" s="43">
        <v>44200.42916666667</v>
      </c>
      <c r="M264" s="39">
        <v>39600.0</v>
      </c>
      <c r="N264" s="43">
        <v>44144.41527777778</v>
      </c>
    </row>
    <row r="265">
      <c r="A265" s="39" t="s">
        <v>957</v>
      </c>
      <c r="B265" s="39" t="s">
        <v>2544</v>
      </c>
      <c r="C265" s="39" t="s">
        <v>19</v>
      </c>
      <c r="D265" s="39">
        <v>61126.0</v>
      </c>
      <c r="F265" s="39" t="s">
        <v>2545</v>
      </c>
      <c r="I265" s="39" t="s">
        <v>1049</v>
      </c>
      <c r="J265" s="39" t="s">
        <v>1048</v>
      </c>
      <c r="K265" s="39" t="s">
        <v>2158</v>
      </c>
      <c r="L265" s="43">
        <v>44200.42916666667</v>
      </c>
      <c r="N265" s="44">
        <v>44033.66527777778</v>
      </c>
    </row>
    <row r="266">
      <c r="A266" s="39" t="s">
        <v>957</v>
      </c>
      <c r="B266" s="39" t="s">
        <v>1461</v>
      </c>
      <c r="C266" s="39" t="s">
        <v>19</v>
      </c>
      <c r="D266" s="39">
        <v>62333.0</v>
      </c>
      <c r="F266" s="39" t="s">
        <v>1462</v>
      </c>
      <c r="G266" s="39" t="s">
        <v>2546</v>
      </c>
      <c r="H266" s="39" t="s">
        <v>2547</v>
      </c>
      <c r="I266" s="39" t="s">
        <v>1060</v>
      </c>
      <c r="J266" s="39" t="s">
        <v>1059</v>
      </c>
      <c r="K266" s="39" t="s">
        <v>2158</v>
      </c>
      <c r="L266" s="43">
        <v>44200.42916666667</v>
      </c>
      <c r="M266" s="39">
        <v>25200.0</v>
      </c>
      <c r="N266" s="44">
        <v>44069.89791666667</v>
      </c>
    </row>
    <row r="267">
      <c r="A267" s="39" t="s">
        <v>957</v>
      </c>
      <c r="B267" s="39" t="s">
        <v>2548</v>
      </c>
      <c r="C267" s="39" t="s">
        <v>19</v>
      </c>
      <c r="D267" s="39">
        <v>61123.0</v>
      </c>
      <c r="F267" s="39" t="s">
        <v>2549</v>
      </c>
      <c r="G267" s="39" t="s">
        <v>1060</v>
      </c>
      <c r="H267" s="39" t="s">
        <v>1059</v>
      </c>
      <c r="I267" s="39" t="s">
        <v>1060</v>
      </c>
      <c r="J267" s="39" t="s">
        <v>1059</v>
      </c>
      <c r="K267" s="39" t="s">
        <v>2158</v>
      </c>
      <c r="L267" s="43">
        <v>44200.42916666667</v>
      </c>
      <c r="N267" s="44">
        <v>44033.55347222222</v>
      </c>
    </row>
    <row r="268">
      <c r="A268" s="39" t="s">
        <v>957</v>
      </c>
      <c r="B268" s="39" t="s">
        <v>2550</v>
      </c>
      <c r="C268" s="39" t="s">
        <v>19</v>
      </c>
      <c r="D268" s="39">
        <v>61486.0</v>
      </c>
      <c r="F268" s="39" t="s">
        <v>2551</v>
      </c>
      <c r="G268" s="39" t="s">
        <v>1060</v>
      </c>
      <c r="H268" s="39" t="s">
        <v>1059</v>
      </c>
      <c r="I268" s="39" t="s">
        <v>1060</v>
      </c>
      <c r="J268" s="39" t="s">
        <v>1059</v>
      </c>
      <c r="K268" s="39" t="s">
        <v>2158</v>
      </c>
      <c r="L268" s="43">
        <v>44200.42916666667</v>
      </c>
      <c r="N268" s="44">
        <v>44041.54305555556</v>
      </c>
    </row>
    <row r="269">
      <c r="A269" s="39" t="s">
        <v>957</v>
      </c>
      <c r="B269" s="39" t="s">
        <v>1397</v>
      </c>
      <c r="C269" s="39" t="s">
        <v>19</v>
      </c>
      <c r="D269" s="39">
        <v>62454.0</v>
      </c>
      <c r="F269" s="39" t="s">
        <v>2552</v>
      </c>
      <c r="G269" s="39" t="s">
        <v>724</v>
      </c>
      <c r="H269" s="39" t="s">
        <v>872</v>
      </c>
      <c r="I269" s="39" t="s">
        <v>1060</v>
      </c>
      <c r="J269" s="39" t="s">
        <v>1059</v>
      </c>
      <c r="K269" s="39" t="s">
        <v>2161</v>
      </c>
      <c r="L269" s="43">
        <v>44200.42916666667</v>
      </c>
      <c r="M269" s="39">
        <v>25200.0</v>
      </c>
      <c r="N269" s="44">
        <v>44074.10555555556</v>
      </c>
    </row>
    <row r="270">
      <c r="A270" s="39" t="s">
        <v>957</v>
      </c>
      <c r="B270" s="39" t="s">
        <v>2553</v>
      </c>
      <c r="C270" s="39" t="s">
        <v>19</v>
      </c>
      <c r="D270" s="39">
        <v>61487.0</v>
      </c>
      <c r="F270" s="39" t="s">
        <v>2554</v>
      </c>
      <c r="G270" s="39" t="s">
        <v>1060</v>
      </c>
      <c r="H270" s="39" t="s">
        <v>1059</v>
      </c>
      <c r="I270" s="39" t="s">
        <v>1060</v>
      </c>
      <c r="J270" s="39" t="s">
        <v>1059</v>
      </c>
      <c r="K270" s="39" t="s">
        <v>2158</v>
      </c>
      <c r="L270" s="43">
        <v>44200.42916666667</v>
      </c>
      <c r="N270" s="44">
        <v>44041.54583333333</v>
      </c>
    </row>
    <row r="271">
      <c r="A271" s="39" t="s">
        <v>832</v>
      </c>
      <c r="B271" s="39" t="s">
        <v>1262</v>
      </c>
      <c r="C271" s="39" t="s">
        <v>19</v>
      </c>
      <c r="D271" s="39">
        <v>61124.0</v>
      </c>
      <c r="F271" s="39" t="s">
        <v>1263</v>
      </c>
      <c r="I271" s="39" t="s">
        <v>724</v>
      </c>
      <c r="J271" s="39" t="s">
        <v>872</v>
      </c>
      <c r="K271" s="39" t="s">
        <v>2161</v>
      </c>
      <c r="L271" s="43">
        <v>44200.42916666667</v>
      </c>
      <c r="M271" s="39">
        <v>68400.0</v>
      </c>
      <c r="N271" s="44">
        <v>44033.583333333336</v>
      </c>
    </row>
    <row r="272">
      <c r="A272" s="39" t="s">
        <v>957</v>
      </c>
      <c r="B272" s="39" t="s">
        <v>2555</v>
      </c>
      <c r="C272" s="39" t="s">
        <v>19</v>
      </c>
      <c r="D272" s="39">
        <v>61000.0</v>
      </c>
      <c r="F272" s="39" t="s">
        <v>2556</v>
      </c>
      <c r="G272" s="39" t="s">
        <v>1060</v>
      </c>
      <c r="H272" s="39" t="s">
        <v>1059</v>
      </c>
      <c r="I272" s="39" t="s">
        <v>724</v>
      </c>
      <c r="J272" s="39" t="s">
        <v>872</v>
      </c>
      <c r="K272" s="39" t="s">
        <v>2158</v>
      </c>
      <c r="L272" s="43">
        <v>44200.42916666667</v>
      </c>
      <c r="N272" s="44">
        <v>44029.58125</v>
      </c>
    </row>
    <row r="273">
      <c r="A273" s="39" t="s">
        <v>957</v>
      </c>
      <c r="B273" s="39" t="s">
        <v>2557</v>
      </c>
      <c r="C273" s="39" t="s">
        <v>19</v>
      </c>
      <c r="D273" s="39">
        <v>62452.0</v>
      </c>
      <c r="F273" s="39" t="s">
        <v>2558</v>
      </c>
      <c r="G273" s="39" t="s">
        <v>1154</v>
      </c>
      <c r="H273" s="39" t="s">
        <v>1153</v>
      </c>
      <c r="I273" s="39" t="s">
        <v>1049</v>
      </c>
      <c r="J273" s="39" t="s">
        <v>1048</v>
      </c>
      <c r="K273" s="39" t="s">
        <v>2158</v>
      </c>
      <c r="L273" s="43">
        <v>44200.42916666667</v>
      </c>
      <c r="M273" s="39">
        <v>0.0</v>
      </c>
      <c r="N273" s="44">
        <v>44071.73611111111</v>
      </c>
    </row>
    <row r="274">
      <c r="A274" s="39" t="s">
        <v>957</v>
      </c>
      <c r="B274" s="39" t="s">
        <v>2559</v>
      </c>
      <c r="C274" s="39" t="s">
        <v>19</v>
      </c>
      <c r="D274" s="39">
        <v>61485.0</v>
      </c>
      <c r="F274" s="39" t="s">
        <v>2560</v>
      </c>
      <c r="G274" s="39" t="s">
        <v>1060</v>
      </c>
      <c r="H274" s="39" t="s">
        <v>1059</v>
      </c>
      <c r="I274" s="39" t="s">
        <v>1060</v>
      </c>
      <c r="J274" s="39" t="s">
        <v>1059</v>
      </c>
      <c r="K274" s="39" t="s">
        <v>2158</v>
      </c>
      <c r="L274" s="43">
        <v>44200.42916666667</v>
      </c>
      <c r="N274" s="44">
        <v>44041.532638888886</v>
      </c>
    </row>
    <row r="275">
      <c r="A275" s="39" t="s">
        <v>957</v>
      </c>
      <c r="B275" s="39" t="s">
        <v>2561</v>
      </c>
      <c r="C275" s="39" t="s">
        <v>19</v>
      </c>
      <c r="D275" s="39">
        <v>61122.0</v>
      </c>
      <c r="F275" s="39" t="s">
        <v>2562</v>
      </c>
      <c r="G275" s="39" t="s">
        <v>1060</v>
      </c>
      <c r="H275" s="39" t="s">
        <v>1059</v>
      </c>
      <c r="I275" s="39" t="s">
        <v>1060</v>
      </c>
      <c r="J275" s="39" t="s">
        <v>1059</v>
      </c>
      <c r="K275" s="39" t="s">
        <v>2158</v>
      </c>
      <c r="L275" s="43">
        <v>44200.42916666667</v>
      </c>
      <c r="N275" s="44">
        <v>44033.55347222222</v>
      </c>
    </row>
    <row r="276">
      <c r="A276" s="39" t="s">
        <v>957</v>
      </c>
      <c r="B276" s="39" t="s">
        <v>2563</v>
      </c>
      <c r="C276" s="39" t="s">
        <v>19</v>
      </c>
      <c r="D276" s="39">
        <v>62574.0</v>
      </c>
      <c r="F276" s="39" t="s">
        <v>2564</v>
      </c>
      <c r="G276" s="39" t="s">
        <v>724</v>
      </c>
      <c r="H276" s="39" t="s">
        <v>872</v>
      </c>
      <c r="I276" s="39" t="s">
        <v>724</v>
      </c>
      <c r="J276" s="39" t="s">
        <v>872</v>
      </c>
      <c r="K276" s="39" t="s">
        <v>2158</v>
      </c>
      <c r="L276" s="43">
        <v>44200.42916666667</v>
      </c>
      <c r="N276" s="43">
        <v>44078.52013888889</v>
      </c>
    </row>
    <row r="277">
      <c r="A277" s="39" t="s">
        <v>957</v>
      </c>
      <c r="B277" s="39" t="s">
        <v>2565</v>
      </c>
      <c r="C277" s="39" t="s">
        <v>19</v>
      </c>
      <c r="D277" s="39">
        <v>61120.0</v>
      </c>
      <c r="F277" s="39" t="s">
        <v>2566</v>
      </c>
      <c r="G277" s="39" t="s">
        <v>1060</v>
      </c>
      <c r="H277" s="39" t="s">
        <v>1059</v>
      </c>
      <c r="I277" s="39" t="s">
        <v>1060</v>
      </c>
      <c r="J277" s="39" t="s">
        <v>1059</v>
      </c>
      <c r="K277" s="39" t="s">
        <v>2158</v>
      </c>
      <c r="L277" s="43">
        <v>44200.42916666667</v>
      </c>
      <c r="N277" s="44">
        <v>44033.54652777778</v>
      </c>
    </row>
    <row r="278">
      <c r="A278" s="39" t="s">
        <v>957</v>
      </c>
      <c r="B278" s="39" t="s">
        <v>2567</v>
      </c>
      <c r="C278" s="39" t="s">
        <v>19</v>
      </c>
      <c r="D278" s="39">
        <v>62451.0</v>
      </c>
      <c r="F278" s="39" t="s">
        <v>2568</v>
      </c>
      <c r="G278" s="39" t="s">
        <v>1154</v>
      </c>
      <c r="H278" s="39" t="s">
        <v>1153</v>
      </c>
      <c r="I278" s="39" t="s">
        <v>1049</v>
      </c>
      <c r="J278" s="39" t="s">
        <v>1048</v>
      </c>
      <c r="K278" s="39" t="s">
        <v>2158</v>
      </c>
      <c r="L278" s="43">
        <v>44200.42916666667</v>
      </c>
      <c r="N278" s="44">
        <v>44071.73541666667</v>
      </c>
    </row>
    <row r="279">
      <c r="A279" s="39" t="s">
        <v>832</v>
      </c>
      <c r="B279" s="39" t="s">
        <v>2569</v>
      </c>
      <c r="C279" s="39" t="s">
        <v>19</v>
      </c>
      <c r="D279" s="39">
        <v>61480.0</v>
      </c>
      <c r="F279" s="39" t="s">
        <v>2570</v>
      </c>
      <c r="I279" s="39" t="s">
        <v>724</v>
      </c>
      <c r="J279" s="39" t="s">
        <v>872</v>
      </c>
      <c r="K279" s="39" t="s">
        <v>2161</v>
      </c>
      <c r="L279" s="43">
        <v>44200.42916666667</v>
      </c>
      <c r="N279" s="44">
        <v>44041.42222222222</v>
      </c>
    </row>
    <row r="280">
      <c r="A280" s="39" t="s">
        <v>832</v>
      </c>
      <c r="B280" s="39" t="s">
        <v>1057</v>
      </c>
      <c r="C280" s="39" t="s">
        <v>19</v>
      </c>
      <c r="D280" s="39">
        <v>60392.0</v>
      </c>
      <c r="F280" s="39" t="s">
        <v>1058</v>
      </c>
      <c r="G280" s="39" t="s">
        <v>724</v>
      </c>
      <c r="H280" s="39" t="s">
        <v>872</v>
      </c>
      <c r="I280" s="39" t="s">
        <v>724</v>
      </c>
      <c r="J280" s="39" t="s">
        <v>872</v>
      </c>
      <c r="K280" s="39" t="s">
        <v>2158</v>
      </c>
      <c r="L280" s="43">
        <v>44200.42916666667</v>
      </c>
      <c r="M280" s="39">
        <v>79200.0</v>
      </c>
      <c r="N280" s="44">
        <v>43997.66111111111</v>
      </c>
    </row>
    <row r="281">
      <c r="A281" s="39" t="s">
        <v>832</v>
      </c>
      <c r="B281" s="39" t="s">
        <v>1046</v>
      </c>
      <c r="C281" s="39" t="s">
        <v>19</v>
      </c>
      <c r="D281" s="39">
        <v>60391.0</v>
      </c>
      <c r="F281" s="39" t="s">
        <v>1047</v>
      </c>
      <c r="G281" s="39" t="s">
        <v>1049</v>
      </c>
      <c r="H281" s="39" t="s">
        <v>1048</v>
      </c>
      <c r="I281" s="39" t="s">
        <v>724</v>
      </c>
      <c r="J281" s="39" t="s">
        <v>872</v>
      </c>
      <c r="K281" s="39" t="s">
        <v>2158</v>
      </c>
      <c r="L281" s="43">
        <v>44200.42916666667</v>
      </c>
      <c r="M281" s="39">
        <v>104400.0</v>
      </c>
      <c r="N281" s="44">
        <v>43997.60763888889</v>
      </c>
    </row>
    <row r="282">
      <c r="A282" s="39" t="s">
        <v>72</v>
      </c>
      <c r="B282" s="39" t="s">
        <v>1055</v>
      </c>
      <c r="C282" s="39" t="s">
        <v>19</v>
      </c>
      <c r="D282" s="39">
        <v>60390.0</v>
      </c>
      <c r="F282" s="39" t="s">
        <v>1816</v>
      </c>
      <c r="G282" s="39" t="s">
        <v>724</v>
      </c>
      <c r="H282" s="39" t="s">
        <v>872</v>
      </c>
      <c r="I282" s="39" t="s">
        <v>724</v>
      </c>
      <c r="J282" s="39" t="s">
        <v>872</v>
      </c>
      <c r="K282" s="39" t="s">
        <v>2158</v>
      </c>
      <c r="L282" s="43">
        <v>44200.42916666667</v>
      </c>
      <c r="M282" s="39">
        <v>426600.0</v>
      </c>
      <c r="N282" s="44">
        <v>43997.60277777778</v>
      </c>
    </row>
    <row r="283">
      <c r="A283" s="39" t="s">
        <v>957</v>
      </c>
      <c r="B283" s="39" t="s">
        <v>2571</v>
      </c>
      <c r="C283" s="39" t="s">
        <v>19</v>
      </c>
      <c r="D283" s="39">
        <v>62108.0</v>
      </c>
      <c r="F283" s="39" t="s">
        <v>2572</v>
      </c>
      <c r="I283" s="39" t="s">
        <v>1049</v>
      </c>
      <c r="J283" s="39" t="s">
        <v>1048</v>
      </c>
      <c r="K283" s="39" t="s">
        <v>2199</v>
      </c>
      <c r="L283" s="43">
        <v>44200.42916666667</v>
      </c>
      <c r="N283" s="44">
        <v>44061.58125</v>
      </c>
    </row>
    <row r="284">
      <c r="A284" s="39" t="s">
        <v>957</v>
      </c>
      <c r="B284" s="39" t="s">
        <v>2573</v>
      </c>
      <c r="C284" s="39" t="s">
        <v>19</v>
      </c>
      <c r="D284" s="39">
        <v>62109.0</v>
      </c>
      <c r="F284" s="39" t="s">
        <v>2574</v>
      </c>
      <c r="I284" s="39" t="s">
        <v>1049</v>
      </c>
      <c r="J284" s="39" t="s">
        <v>1048</v>
      </c>
      <c r="K284" s="39" t="s">
        <v>2199</v>
      </c>
      <c r="L284" s="43">
        <v>44200.42916666667</v>
      </c>
      <c r="N284" s="44">
        <v>44061.583333333336</v>
      </c>
    </row>
    <row r="285">
      <c r="A285" s="39" t="s">
        <v>832</v>
      </c>
      <c r="B285" s="39" t="s">
        <v>1997</v>
      </c>
      <c r="C285" s="39" t="s">
        <v>19</v>
      </c>
      <c r="D285" s="39">
        <v>65859.0</v>
      </c>
      <c r="F285" s="39" t="s">
        <v>1998</v>
      </c>
      <c r="G285" s="39" t="s">
        <v>2197</v>
      </c>
      <c r="H285" s="39" t="s">
        <v>2198</v>
      </c>
      <c r="I285" s="39" t="s">
        <v>724</v>
      </c>
      <c r="J285" s="39" t="s">
        <v>872</v>
      </c>
      <c r="K285" s="39" t="s">
        <v>2188</v>
      </c>
      <c r="L285" s="43">
        <v>44200.42916666667</v>
      </c>
      <c r="M285" s="39">
        <v>11700.0</v>
      </c>
      <c r="N285" s="44">
        <v>44147.919444444444</v>
      </c>
    </row>
    <row r="286">
      <c r="A286" s="39" t="s">
        <v>957</v>
      </c>
      <c r="B286" s="39" t="s">
        <v>2575</v>
      </c>
      <c r="C286" s="39" t="s">
        <v>19</v>
      </c>
      <c r="D286" s="39">
        <v>62106.0</v>
      </c>
      <c r="F286" s="39" t="s">
        <v>2576</v>
      </c>
      <c r="I286" s="39" t="s">
        <v>1049</v>
      </c>
      <c r="J286" s="39" t="s">
        <v>1048</v>
      </c>
      <c r="K286" s="39" t="s">
        <v>2199</v>
      </c>
      <c r="L286" s="43">
        <v>44200.42916666667</v>
      </c>
      <c r="N286" s="44">
        <v>44061.57847222222</v>
      </c>
    </row>
    <row r="287">
      <c r="A287" s="39" t="s">
        <v>957</v>
      </c>
      <c r="B287" s="39" t="s">
        <v>2577</v>
      </c>
      <c r="C287" s="39" t="s">
        <v>19</v>
      </c>
      <c r="D287" s="39">
        <v>61138.0</v>
      </c>
      <c r="F287" s="39" t="s">
        <v>2578</v>
      </c>
      <c r="G287" s="39" t="s">
        <v>1060</v>
      </c>
      <c r="H287" s="39" t="s">
        <v>1059</v>
      </c>
      <c r="I287" s="39" t="s">
        <v>1060</v>
      </c>
      <c r="J287" s="39" t="s">
        <v>1059</v>
      </c>
      <c r="K287" s="39" t="s">
        <v>2158</v>
      </c>
      <c r="L287" s="43">
        <v>44200.42916666667</v>
      </c>
      <c r="N287" s="44">
        <v>44034.51458333333</v>
      </c>
    </row>
    <row r="288">
      <c r="A288" s="39" t="s">
        <v>957</v>
      </c>
      <c r="B288" s="39" t="s">
        <v>2579</v>
      </c>
      <c r="C288" s="39" t="s">
        <v>19</v>
      </c>
      <c r="D288" s="39">
        <v>61139.0</v>
      </c>
      <c r="F288" s="39" t="s">
        <v>2580</v>
      </c>
      <c r="G288" s="39" t="s">
        <v>1060</v>
      </c>
      <c r="H288" s="39" t="s">
        <v>1059</v>
      </c>
      <c r="I288" s="39" t="s">
        <v>1060</v>
      </c>
      <c r="J288" s="39" t="s">
        <v>1059</v>
      </c>
      <c r="K288" s="39" t="s">
        <v>2158</v>
      </c>
      <c r="L288" s="43">
        <v>44200.42916666667</v>
      </c>
      <c r="N288" s="44">
        <v>44034.524305555555</v>
      </c>
    </row>
    <row r="289">
      <c r="A289" s="39" t="s">
        <v>957</v>
      </c>
      <c r="B289" s="39" t="s">
        <v>2581</v>
      </c>
      <c r="C289" s="39" t="s">
        <v>19</v>
      </c>
      <c r="D289" s="39">
        <v>62107.0</v>
      </c>
      <c r="F289" s="39" t="s">
        <v>2582</v>
      </c>
      <c r="G289" s="39" t="s">
        <v>1154</v>
      </c>
      <c r="H289" s="39" t="s">
        <v>1153</v>
      </c>
      <c r="I289" s="39" t="s">
        <v>1154</v>
      </c>
      <c r="J289" s="39" t="s">
        <v>1153</v>
      </c>
      <c r="K289" s="39" t="s">
        <v>2199</v>
      </c>
      <c r="L289" s="43">
        <v>44200.42916666667</v>
      </c>
      <c r="N289" s="44">
        <v>44061.57986111111</v>
      </c>
    </row>
    <row r="290">
      <c r="A290" s="39" t="s">
        <v>957</v>
      </c>
      <c r="B290" s="39" t="s">
        <v>2583</v>
      </c>
      <c r="C290" s="39" t="s">
        <v>19</v>
      </c>
      <c r="D290" s="39">
        <v>61015.0</v>
      </c>
      <c r="F290" s="39" t="s">
        <v>2584</v>
      </c>
      <c r="G290" s="39" t="s">
        <v>1060</v>
      </c>
      <c r="H290" s="39" t="s">
        <v>1059</v>
      </c>
      <c r="I290" s="39" t="s">
        <v>1060</v>
      </c>
      <c r="J290" s="39" t="s">
        <v>1059</v>
      </c>
      <c r="K290" s="39" t="s">
        <v>2158</v>
      </c>
      <c r="L290" s="43">
        <v>44200.42916666667</v>
      </c>
      <c r="N290" s="44">
        <v>44032.595138888886</v>
      </c>
    </row>
    <row r="291">
      <c r="A291" s="39" t="s">
        <v>957</v>
      </c>
      <c r="B291" s="39" t="s">
        <v>2585</v>
      </c>
      <c r="C291" s="39" t="s">
        <v>19</v>
      </c>
      <c r="D291" s="39">
        <v>62104.0</v>
      </c>
      <c r="F291" s="39" t="s">
        <v>2586</v>
      </c>
      <c r="I291" s="39" t="s">
        <v>1049</v>
      </c>
      <c r="J291" s="39" t="s">
        <v>1048</v>
      </c>
      <c r="K291" s="39" t="s">
        <v>2199</v>
      </c>
      <c r="L291" s="43">
        <v>44200.42916666667</v>
      </c>
      <c r="N291" s="44">
        <v>44061.57708333333</v>
      </c>
    </row>
    <row r="292">
      <c r="A292" s="39" t="s">
        <v>957</v>
      </c>
      <c r="B292" s="39" t="s">
        <v>2587</v>
      </c>
      <c r="C292" s="39" t="s">
        <v>19</v>
      </c>
      <c r="D292" s="39">
        <v>61499.0</v>
      </c>
      <c r="F292" s="39" t="s">
        <v>2588</v>
      </c>
      <c r="G292" s="39" t="s">
        <v>1049</v>
      </c>
      <c r="H292" s="39" t="s">
        <v>1048</v>
      </c>
      <c r="I292" s="39" t="s">
        <v>724</v>
      </c>
      <c r="J292" s="39" t="s">
        <v>872</v>
      </c>
      <c r="K292" s="39" t="s">
        <v>2158</v>
      </c>
      <c r="L292" s="43">
        <v>44200.42916666667</v>
      </c>
      <c r="N292" s="44">
        <v>44041.708333333336</v>
      </c>
    </row>
    <row r="293">
      <c r="A293" s="39" t="s">
        <v>957</v>
      </c>
      <c r="B293" s="39" t="s">
        <v>2589</v>
      </c>
      <c r="C293" s="39" t="s">
        <v>19</v>
      </c>
      <c r="D293" s="39">
        <v>61016.0</v>
      </c>
      <c r="F293" s="39" t="s">
        <v>2590</v>
      </c>
      <c r="G293" s="39" t="s">
        <v>1060</v>
      </c>
      <c r="H293" s="39" t="s">
        <v>1059</v>
      </c>
      <c r="I293" s="39" t="s">
        <v>1060</v>
      </c>
      <c r="J293" s="39" t="s">
        <v>1059</v>
      </c>
      <c r="K293" s="39" t="s">
        <v>2158</v>
      </c>
      <c r="L293" s="43">
        <v>44200.42916666667</v>
      </c>
      <c r="N293" s="44">
        <v>44032.61041666667</v>
      </c>
    </row>
    <row r="294">
      <c r="A294" s="39" t="s">
        <v>957</v>
      </c>
      <c r="B294" s="39" t="s">
        <v>2591</v>
      </c>
      <c r="C294" s="39" t="s">
        <v>19</v>
      </c>
      <c r="D294" s="39">
        <v>62105.0</v>
      </c>
      <c r="F294" s="39" t="s">
        <v>2576</v>
      </c>
      <c r="I294" s="39" t="s">
        <v>1049</v>
      </c>
      <c r="J294" s="39" t="s">
        <v>1048</v>
      </c>
      <c r="K294" s="39" t="s">
        <v>2199</v>
      </c>
      <c r="L294" s="43">
        <v>44200.42916666667</v>
      </c>
      <c r="N294" s="44">
        <v>44061.57847222222</v>
      </c>
    </row>
    <row r="295">
      <c r="A295" s="39" t="s">
        <v>957</v>
      </c>
      <c r="B295" s="39" t="s">
        <v>2592</v>
      </c>
      <c r="C295" s="39" t="s">
        <v>19</v>
      </c>
      <c r="D295" s="39">
        <v>61137.0</v>
      </c>
      <c r="F295" s="39" t="s">
        <v>2593</v>
      </c>
      <c r="G295" s="39" t="s">
        <v>1060</v>
      </c>
      <c r="H295" s="39" t="s">
        <v>1059</v>
      </c>
      <c r="I295" s="39" t="s">
        <v>1060</v>
      </c>
      <c r="J295" s="39" t="s">
        <v>1059</v>
      </c>
      <c r="K295" s="39" t="s">
        <v>2158</v>
      </c>
      <c r="L295" s="43">
        <v>44200.42916666667</v>
      </c>
      <c r="N295" s="44">
        <v>44034.50833333333</v>
      </c>
    </row>
    <row r="296">
      <c r="A296" s="39" t="s">
        <v>957</v>
      </c>
      <c r="B296" s="39" t="s">
        <v>2594</v>
      </c>
      <c r="C296" s="39" t="s">
        <v>19</v>
      </c>
      <c r="D296" s="39">
        <v>61497.0</v>
      </c>
      <c r="F296" s="39" t="s">
        <v>2595</v>
      </c>
      <c r="G296" s="39" t="s">
        <v>1049</v>
      </c>
      <c r="H296" s="39" t="s">
        <v>1048</v>
      </c>
      <c r="I296" s="39" t="s">
        <v>724</v>
      </c>
      <c r="J296" s="39" t="s">
        <v>872</v>
      </c>
      <c r="K296" s="39" t="s">
        <v>2158</v>
      </c>
      <c r="L296" s="43">
        <v>44200.42916666667</v>
      </c>
      <c r="N296" s="44">
        <v>44041.70486111111</v>
      </c>
    </row>
    <row r="297">
      <c r="A297" s="39" t="s">
        <v>957</v>
      </c>
      <c r="B297" s="39" t="s">
        <v>2596</v>
      </c>
      <c r="C297" s="39" t="s">
        <v>19</v>
      </c>
      <c r="D297" s="39">
        <v>61013.0</v>
      </c>
      <c r="F297" s="39" t="s">
        <v>2597</v>
      </c>
      <c r="G297" s="39" t="s">
        <v>1060</v>
      </c>
      <c r="H297" s="39" t="s">
        <v>1059</v>
      </c>
      <c r="I297" s="39" t="s">
        <v>1060</v>
      </c>
      <c r="J297" s="39" t="s">
        <v>1059</v>
      </c>
      <c r="K297" s="39" t="s">
        <v>2158</v>
      </c>
      <c r="L297" s="43">
        <v>44200.42916666667</v>
      </c>
      <c r="N297" s="44">
        <v>44032.58819444444</v>
      </c>
    </row>
    <row r="298">
      <c r="A298" s="39" t="s">
        <v>832</v>
      </c>
      <c r="B298" s="39" t="s">
        <v>2598</v>
      </c>
      <c r="C298" s="39" t="s">
        <v>19</v>
      </c>
      <c r="D298" s="39">
        <v>62586.0</v>
      </c>
      <c r="F298" s="39" t="s">
        <v>2599</v>
      </c>
      <c r="I298" s="39" t="s">
        <v>724</v>
      </c>
      <c r="J298" s="39" t="s">
        <v>872</v>
      </c>
      <c r="K298" s="39" t="s">
        <v>2161</v>
      </c>
      <c r="L298" s="43">
        <v>44200.42916666667</v>
      </c>
      <c r="N298" s="43">
        <v>44081.48611111111</v>
      </c>
    </row>
    <row r="299">
      <c r="A299" s="39" t="s">
        <v>957</v>
      </c>
      <c r="B299" s="39" t="s">
        <v>2600</v>
      </c>
      <c r="C299" s="39" t="s">
        <v>19</v>
      </c>
      <c r="D299" s="39">
        <v>61498.0</v>
      </c>
      <c r="F299" s="39" t="s">
        <v>2601</v>
      </c>
      <c r="G299" s="39" t="s">
        <v>1049</v>
      </c>
      <c r="H299" s="39" t="s">
        <v>1048</v>
      </c>
      <c r="I299" s="39" t="s">
        <v>724</v>
      </c>
      <c r="J299" s="39" t="s">
        <v>872</v>
      </c>
      <c r="K299" s="39" t="s">
        <v>2158</v>
      </c>
      <c r="L299" s="43">
        <v>44200.42916666667</v>
      </c>
      <c r="N299" s="44">
        <v>44041.705555555556</v>
      </c>
    </row>
    <row r="300">
      <c r="A300" s="39" t="s">
        <v>957</v>
      </c>
      <c r="B300" s="39" t="s">
        <v>2602</v>
      </c>
      <c r="C300" s="39" t="s">
        <v>19</v>
      </c>
      <c r="D300" s="39">
        <v>61014.0</v>
      </c>
      <c r="F300" s="39" t="s">
        <v>2603</v>
      </c>
      <c r="G300" s="39" t="s">
        <v>1060</v>
      </c>
      <c r="H300" s="39" t="s">
        <v>1059</v>
      </c>
      <c r="I300" s="39" t="s">
        <v>1060</v>
      </c>
      <c r="J300" s="39" t="s">
        <v>1059</v>
      </c>
      <c r="K300" s="39" t="s">
        <v>2158</v>
      </c>
      <c r="L300" s="43">
        <v>44200.42916666667</v>
      </c>
      <c r="N300" s="44">
        <v>44032.59375</v>
      </c>
    </row>
    <row r="301">
      <c r="A301" s="39" t="s">
        <v>832</v>
      </c>
      <c r="B301" s="39" t="s">
        <v>1417</v>
      </c>
      <c r="C301" s="39" t="s">
        <v>19</v>
      </c>
      <c r="D301" s="39">
        <v>62103.0</v>
      </c>
      <c r="F301" s="39" t="s">
        <v>1418</v>
      </c>
      <c r="G301" s="39" t="s">
        <v>1154</v>
      </c>
      <c r="H301" s="39" t="s">
        <v>1153</v>
      </c>
      <c r="I301" s="39" t="s">
        <v>724</v>
      </c>
      <c r="J301" s="39" t="s">
        <v>872</v>
      </c>
      <c r="K301" s="39" t="s">
        <v>2158</v>
      </c>
      <c r="L301" s="43">
        <v>44200.42916666667</v>
      </c>
      <c r="M301" s="39">
        <v>420.0</v>
      </c>
      <c r="N301" s="44">
        <v>44061.549305555556</v>
      </c>
    </row>
    <row r="302">
      <c r="A302" s="39" t="s">
        <v>957</v>
      </c>
      <c r="B302" s="39" t="s">
        <v>2604</v>
      </c>
      <c r="C302" s="39" t="s">
        <v>19</v>
      </c>
      <c r="D302" s="39">
        <v>61011.0</v>
      </c>
      <c r="F302" s="39" t="s">
        <v>2605</v>
      </c>
      <c r="G302" s="39" t="s">
        <v>1060</v>
      </c>
      <c r="H302" s="39" t="s">
        <v>1059</v>
      </c>
      <c r="I302" s="39" t="s">
        <v>1060</v>
      </c>
      <c r="J302" s="39" t="s">
        <v>1059</v>
      </c>
      <c r="K302" s="39" t="s">
        <v>2158</v>
      </c>
      <c r="L302" s="43">
        <v>44200.42916666667</v>
      </c>
      <c r="N302" s="44">
        <v>44032.57916666667</v>
      </c>
    </row>
    <row r="303">
      <c r="A303" s="39" t="s">
        <v>957</v>
      </c>
      <c r="B303" s="39" t="s">
        <v>2606</v>
      </c>
      <c r="C303" s="39" t="s">
        <v>19</v>
      </c>
      <c r="D303" s="39">
        <v>62342.0</v>
      </c>
      <c r="F303" s="39" t="s">
        <v>2607</v>
      </c>
      <c r="G303" s="39" t="s">
        <v>1154</v>
      </c>
      <c r="H303" s="39" t="s">
        <v>1153</v>
      </c>
      <c r="I303" s="39" t="s">
        <v>1154</v>
      </c>
      <c r="J303" s="39" t="s">
        <v>1153</v>
      </c>
      <c r="K303" s="39" t="s">
        <v>2158</v>
      </c>
      <c r="L303" s="43">
        <v>44200.42916666667</v>
      </c>
      <c r="N303" s="44">
        <v>44070.68541666667</v>
      </c>
    </row>
    <row r="304">
      <c r="A304" s="39" t="s">
        <v>957</v>
      </c>
      <c r="B304" s="39" t="s">
        <v>2608</v>
      </c>
      <c r="C304" s="39" t="s">
        <v>19</v>
      </c>
      <c r="D304" s="39">
        <v>62463.0</v>
      </c>
      <c r="F304" s="39" t="s">
        <v>2609</v>
      </c>
      <c r="G304" s="39" t="s">
        <v>1154</v>
      </c>
      <c r="H304" s="39" t="s">
        <v>1153</v>
      </c>
      <c r="I304" s="39" t="s">
        <v>1049</v>
      </c>
      <c r="J304" s="39" t="s">
        <v>1048</v>
      </c>
      <c r="K304" s="39" t="s">
        <v>2158</v>
      </c>
      <c r="L304" s="43">
        <v>44200.42916666667</v>
      </c>
      <c r="N304" s="43">
        <v>44075.54305555556</v>
      </c>
    </row>
    <row r="305">
      <c r="A305" s="39" t="s">
        <v>957</v>
      </c>
      <c r="B305" s="39" t="s">
        <v>1304</v>
      </c>
      <c r="C305" s="39" t="s">
        <v>19</v>
      </c>
      <c r="D305" s="39">
        <v>61132.0</v>
      </c>
      <c r="F305" s="39" t="s">
        <v>1305</v>
      </c>
      <c r="G305" s="39" t="s">
        <v>724</v>
      </c>
      <c r="H305" s="39" t="s">
        <v>872</v>
      </c>
      <c r="I305" s="39" t="s">
        <v>724</v>
      </c>
      <c r="J305" s="39" t="s">
        <v>872</v>
      </c>
      <c r="K305" s="39" t="s">
        <v>2199</v>
      </c>
      <c r="L305" s="43">
        <v>44200.42916666667</v>
      </c>
      <c r="M305" s="39">
        <v>25200.0</v>
      </c>
      <c r="N305" s="44">
        <v>44033.82361111111</v>
      </c>
    </row>
    <row r="306">
      <c r="A306" s="39" t="s">
        <v>957</v>
      </c>
      <c r="B306" s="39" t="s">
        <v>2610</v>
      </c>
      <c r="C306" s="39" t="s">
        <v>19</v>
      </c>
      <c r="D306" s="39">
        <v>61495.0</v>
      </c>
      <c r="F306" s="39" t="s">
        <v>2611</v>
      </c>
      <c r="I306" s="39" t="s">
        <v>1049</v>
      </c>
      <c r="J306" s="39" t="s">
        <v>1048</v>
      </c>
      <c r="K306" s="39" t="s">
        <v>2158</v>
      </c>
      <c r="L306" s="43">
        <v>44200.42916666667</v>
      </c>
      <c r="N306" s="44">
        <v>44041.652083333334</v>
      </c>
    </row>
    <row r="307">
      <c r="A307" s="39" t="s">
        <v>957</v>
      </c>
      <c r="B307" s="39" t="s">
        <v>2612</v>
      </c>
      <c r="C307" s="39" t="s">
        <v>19</v>
      </c>
      <c r="D307" s="39">
        <v>61496.0</v>
      </c>
      <c r="F307" s="39" t="s">
        <v>2613</v>
      </c>
      <c r="I307" s="39" t="s">
        <v>1049</v>
      </c>
      <c r="J307" s="39" t="s">
        <v>1048</v>
      </c>
      <c r="K307" s="39" t="s">
        <v>2158</v>
      </c>
      <c r="L307" s="43">
        <v>44200.42916666667</v>
      </c>
      <c r="N307" s="44">
        <v>44041.65972222222</v>
      </c>
    </row>
    <row r="308">
      <c r="A308" s="39" t="s">
        <v>957</v>
      </c>
      <c r="B308" s="39" t="s">
        <v>1412</v>
      </c>
      <c r="C308" s="39" t="s">
        <v>19</v>
      </c>
      <c r="D308" s="39">
        <v>62343.0</v>
      </c>
      <c r="F308" s="39" t="s">
        <v>1413</v>
      </c>
      <c r="G308" s="39" t="s">
        <v>724</v>
      </c>
      <c r="H308" s="39" t="s">
        <v>872</v>
      </c>
      <c r="I308" s="39" t="s">
        <v>1049</v>
      </c>
      <c r="J308" s="39" t="s">
        <v>1048</v>
      </c>
      <c r="K308" s="39" t="s">
        <v>2158</v>
      </c>
      <c r="L308" s="43">
        <v>44200.42916666667</v>
      </c>
      <c r="M308" s="39">
        <v>23400.0</v>
      </c>
      <c r="N308" s="44">
        <v>44070.71527777778</v>
      </c>
    </row>
    <row r="309">
      <c r="A309" s="39" t="s">
        <v>957</v>
      </c>
      <c r="B309" s="39" t="s">
        <v>2614</v>
      </c>
      <c r="C309" s="39" t="s">
        <v>19</v>
      </c>
      <c r="D309" s="39">
        <v>61012.0</v>
      </c>
      <c r="F309" s="39" t="s">
        <v>2615</v>
      </c>
      <c r="G309" s="39" t="s">
        <v>1060</v>
      </c>
      <c r="H309" s="39" t="s">
        <v>1059</v>
      </c>
      <c r="I309" s="39" t="s">
        <v>1060</v>
      </c>
      <c r="J309" s="39" t="s">
        <v>1059</v>
      </c>
      <c r="K309" s="39" t="s">
        <v>2158</v>
      </c>
      <c r="L309" s="43">
        <v>44200.42916666667</v>
      </c>
      <c r="N309" s="44">
        <v>44032.58541666667</v>
      </c>
    </row>
    <row r="310">
      <c r="A310" s="39" t="s">
        <v>957</v>
      </c>
      <c r="B310" s="39" t="s">
        <v>2616</v>
      </c>
      <c r="C310" s="39" t="s">
        <v>19</v>
      </c>
      <c r="D310" s="39">
        <v>62461.0</v>
      </c>
      <c r="F310" s="39" t="s">
        <v>2617</v>
      </c>
      <c r="G310" s="39" t="s">
        <v>1154</v>
      </c>
      <c r="H310" s="39" t="s">
        <v>1153</v>
      </c>
      <c r="I310" s="39" t="s">
        <v>1049</v>
      </c>
      <c r="J310" s="39" t="s">
        <v>1048</v>
      </c>
      <c r="K310" s="39" t="s">
        <v>2158</v>
      </c>
      <c r="L310" s="43">
        <v>44200.42916666667</v>
      </c>
      <c r="N310" s="43">
        <v>44075.54236111111</v>
      </c>
    </row>
    <row r="311">
      <c r="A311" s="39" t="s">
        <v>957</v>
      </c>
      <c r="B311" s="39" t="s">
        <v>2618</v>
      </c>
      <c r="C311" s="39" t="s">
        <v>19</v>
      </c>
      <c r="D311" s="39">
        <v>62340.0</v>
      </c>
      <c r="F311" s="39" t="s">
        <v>2619</v>
      </c>
      <c r="G311" s="39" t="s">
        <v>724</v>
      </c>
      <c r="H311" s="39" t="s">
        <v>872</v>
      </c>
      <c r="I311" s="39" t="s">
        <v>1154</v>
      </c>
      <c r="J311" s="39" t="s">
        <v>1153</v>
      </c>
      <c r="K311" s="39" t="s">
        <v>2158</v>
      </c>
      <c r="L311" s="43">
        <v>44200.42916666667</v>
      </c>
      <c r="N311" s="44">
        <v>44070.67638888889</v>
      </c>
    </row>
    <row r="312">
      <c r="A312" s="39" t="s">
        <v>957</v>
      </c>
      <c r="B312" s="39" t="s">
        <v>2620</v>
      </c>
      <c r="C312" s="39" t="s">
        <v>19</v>
      </c>
      <c r="D312" s="39">
        <v>62462.0</v>
      </c>
      <c r="F312" s="39" t="s">
        <v>2621</v>
      </c>
      <c r="G312" s="39" t="s">
        <v>1154</v>
      </c>
      <c r="H312" s="39" t="s">
        <v>1153</v>
      </c>
      <c r="I312" s="39" t="s">
        <v>1049</v>
      </c>
      <c r="J312" s="39" t="s">
        <v>1048</v>
      </c>
      <c r="K312" s="39" t="s">
        <v>2158</v>
      </c>
      <c r="L312" s="43">
        <v>44200.42916666667</v>
      </c>
      <c r="N312" s="43">
        <v>44075.54305555556</v>
      </c>
    </row>
    <row r="313">
      <c r="A313" s="39" t="s">
        <v>957</v>
      </c>
      <c r="B313" s="39" t="s">
        <v>2622</v>
      </c>
      <c r="C313" s="39" t="s">
        <v>19</v>
      </c>
      <c r="D313" s="39">
        <v>62341.0</v>
      </c>
      <c r="F313" s="39" t="s">
        <v>2623</v>
      </c>
      <c r="G313" s="39" t="s">
        <v>1154</v>
      </c>
      <c r="H313" s="39" t="s">
        <v>1153</v>
      </c>
      <c r="I313" s="39" t="s">
        <v>1154</v>
      </c>
      <c r="J313" s="39" t="s">
        <v>1153</v>
      </c>
      <c r="K313" s="39" t="s">
        <v>2158</v>
      </c>
      <c r="L313" s="43">
        <v>44200.42916666667</v>
      </c>
      <c r="N313" s="44">
        <v>44070.67986111111</v>
      </c>
    </row>
    <row r="314">
      <c r="A314" s="39" t="s">
        <v>957</v>
      </c>
      <c r="B314" s="39" t="s">
        <v>1920</v>
      </c>
      <c r="C314" s="39" t="s">
        <v>19</v>
      </c>
      <c r="D314" s="39">
        <v>65610.0</v>
      </c>
      <c r="F314" s="39" t="s">
        <v>1921</v>
      </c>
      <c r="G314" s="39" t="s">
        <v>724</v>
      </c>
      <c r="H314" s="39" t="s">
        <v>872</v>
      </c>
      <c r="I314" s="39" t="s">
        <v>1049</v>
      </c>
      <c r="J314" s="39" t="s">
        <v>1048</v>
      </c>
      <c r="K314" s="39" t="s">
        <v>2199</v>
      </c>
      <c r="L314" s="43">
        <v>44200.42916666667</v>
      </c>
      <c r="M314" s="39">
        <v>25200.0</v>
      </c>
      <c r="N314" s="43">
        <v>44140.59722222222</v>
      </c>
    </row>
    <row r="315">
      <c r="A315" s="39" t="s">
        <v>957</v>
      </c>
      <c r="B315" s="39" t="s">
        <v>2624</v>
      </c>
      <c r="C315" s="39" t="s">
        <v>19</v>
      </c>
      <c r="D315" s="39">
        <v>61010.0</v>
      </c>
      <c r="F315" s="39" t="s">
        <v>2625</v>
      </c>
      <c r="G315" s="39" t="s">
        <v>1060</v>
      </c>
      <c r="H315" s="39" t="s">
        <v>1059</v>
      </c>
      <c r="I315" s="39" t="s">
        <v>1060</v>
      </c>
      <c r="J315" s="39" t="s">
        <v>1059</v>
      </c>
      <c r="K315" s="39" t="s">
        <v>2158</v>
      </c>
      <c r="L315" s="43">
        <v>44200.42916666667</v>
      </c>
      <c r="N315" s="44">
        <v>44032.57847222222</v>
      </c>
    </row>
    <row r="316">
      <c r="A316" s="39" t="s">
        <v>832</v>
      </c>
      <c r="B316" s="39" t="s">
        <v>1802</v>
      </c>
      <c r="C316" s="39" t="s">
        <v>19</v>
      </c>
      <c r="D316" s="39">
        <v>64659.0</v>
      </c>
      <c r="F316" s="39" t="s">
        <v>1803</v>
      </c>
      <c r="G316" s="39" t="s">
        <v>724</v>
      </c>
      <c r="H316" s="39" t="s">
        <v>872</v>
      </c>
      <c r="I316" s="39" t="s">
        <v>724</v>
      </c>
      <c r="J316" s="39" t="s">
        <v>872</v>
      </c>
      <c r="K316" s="39" t="s">
        <v>2158</v>
      </c>
      <c r="L316" s="43">
        <v>44200.42916666667</v>
      </c>
      <c r="M316" s="39">
        <v>25200.0</v>
      </c>
      <c r="N316" s="44">
        <v>44118.55972222222</v>
      </c>
    </row>
    <row r="317">
      <c r="A317" s="39" t="s">
        <v>957</v>
      </c>
      <c r="B317" s="39" t="s">
        <v>2626</v>
      </c>
      <c r="C317" s="39" t="s">
        <v>19</v>
      </c>
      <c r="D317" s="39">
        <v>61149.0</v>
      </c>
      <c r="F317" s="39" t="s">
        <v>2627</v>
      </c>
      <c r="I317" s="39" t="s">
        <v>1049</v>
      </c>
      <c r="J317" s="39" t="s">
        <v>1048</v>
      </c>
      <c r="K317" s="39" t="s">
        <v>2158</v>
      </c>
      <c r="L317" s="43">
        <v>44200.42916666667</v>
      </c>
      <c r="N317" s="44">
        <v>44035.6625</v>
      </c>
    </row>
    <row r="318">
      <c r="A318" s="39" t="s">
        <v>957</v>
      </c>
      <c r="B318" s="39" t="s">
        <v>1369</v>
      </c>
      <c r="C318" s="39" t="s">
        <v>19</v>
      </c>
      <c r="D318" s="39">
        <v>62115.0</v>
      </c>
      <c r="F318" s="39" t="s">
        <v>1370</v>
      </c>
      <c r="G318" s="39" t="s">
        <v>724</v>
      </c>
      <c r="H318" s="39" t="s">
        <v>872</v>
      </c>
      <c r="I318" s="39" t="s">
        <v>724</v>
      </c>
      <c r="J318" s="39" t="s">
        <v>872</v>
      </c>
      <c r="K318" s="39" t="s">
        <v>2158</v>
      </c>
      <c r="L318" s="43">
        <v>44200.42916666667</v>
      </c>
      <c r="M318" s="39">
        <v>54000.0</v>
      </c>
      <c r="N318" s="44">
        <v>44061.67083333333</v>
      </c>
    </row>
    <row r="319">
      <c r="A319" s="39" t="s">
        <v>957</v>
      </c>
      <c r="B319" s="39" t="s">
        <v>1619</v>
      </c>
      <c r="C319" s="39" t="s">
        <v>19</v>
      </c>
      <c r="D319" s="39">
        <v>63687.0</v>
      </c>
      <c r="F319" s="39" t="s">
        <v>1620</v>
      </c>
      <c r="G319" s="39" t="s">
        <v>724</v>
      </c>
      <c r="H319" s="39" t="s">
        <v>872</v>
      </c>
      <c r="I319" s="39" t="s">
        <v>1060</v>
      </c>
      <c r="J319" s="39" t="s">
        <v>1059</v>
      </c>
      <c r="K319" s="39" t="s">
        <v>2158</v>
      </c>
      <c r="L319" s="43">
        <v>44200.42916666667</v>
      </c>
      <c r="M319" s="39">
        <v>18000.0</v>
      </c>
      <c r="N319" s="44">
        <v>44097.614583333336</v>
      </c>
    </row>
    <row r="320">
      <c r="A320" s="39" t="s">
        <v>957</v>
      </c>
      <c r="B320" s="39" t="s">
        <v>2628</v>
      </c>
      <c r="C320" s="39" t="s">
        <v>19</v>
      </c>
      <c r="D320" s="39">
        <v>64655.0</v>
      </c>
      <c r="F320" s="39" t="s">
        <v>2629</v>
      </c>
      <c r="G320" s="39" t="s">
        <v>724</v>
      </c>
      <c r="H320" s="39" t="s">
        <v>872</v>
      </c>
      <c r="I320" s="39" t="s">
        <v>724</v>
      </c>
      <c r="J320" s="39" t="s">
        <v>872</v>
      </c>
      <c r="K320" s="39" t="s">
        <v>2158</v>
      </c>
      <c r="L320" s="43">
        <v>44200.42916666667</v>
      </c>
      <c r="N320" s="44">
        <v>44118.415972222225</v>
      </c>
    </row>
    <row r="321">
      <c r="A321" s="39" t="s">
        <v>957</v>
      </c>
      <c r="B321" s="39" t="s">
        <v>1597</v>
      </c>
      <c r="C321" s="39" t="s">
        <v>19</v>
      </c>
      <c r="D321" s="39">
        <v>63686.0</v>
      </c>
      <c r="F321" s="39" t="s">
        <v>1598</v>
      </c>
      <c r="G321" s="39" t="s">
        <v>1154</v>
      </c>
      <c r="H321" s="39" t="s">
        <v>1153</v>
      </c>
      <c r="I321" s="39" t="s">
        <v>1060</v>
      </c>
      <c r="J321" s="39" t="s">
        <v>1059</v>
      </c>
      <c r="K321" s="39" t="s">
        <v>2188</v>
      </c>
      <c r="L321" s="43">
        <v>44200.42916666667</v>
      </c>
      <c r="M321" s="39">
        <v>26100.0</v>
      </c>
      <c r="N321" s="44">
        <v>44097.61111111111</v>
      </c>
    </row>
    <row r="322">
      <c r="A322" s="39" t="s">
        <v>957</v>
      </c>
      <c r="B322" s="39" t="s">
        <v>2630</v>
      </c>
      <c r="C322" s="39" t="s">
        <v>19</v>
      </c>
      <c r="D322" s="39">
        <v>61148.0</v>
      </c>
      <c r="F322" s="39" t="s">
        <v>2631</v>
      </c>
      <c r="I322" s="39" t="s">
        <v>1049</v>
      </c>
      <c r="J322" s="39" t="s">
        <v>1048</v>
      </c>
      <c r="K322" s="39" t="s">
        <v>2158</v>
      </c>
      <c r="L322" s="43">
        <v>44200.42916666667</v>
      </c>
      <c r="N322" s="44">
        <v>44035.65972222222</v>
      </c>
    </row>
    <row r="323">
      <c r="A323" s="39" t="s">
        <v>832</v>
      </c>
      <c r="B323" s="39" t="s">
        <v>2632</v>
      </c>
      <c r="C323" s="39" t="s">
        <v>19</v>
      </c>
      <c r="D323" s="39">
        <v>62113.0</v>
      </c>
      <c r="F323" s="39" t="s">
        <v>2633</v>
      </c>
      <c r="I323" s="39" t="s">
        <v>724</v>
      </c>
      <c r="J323" s="39" t="s">
        <v>872</v>
      </c>
      <c r="K323" s="39" t="s">
        <v>2161</v>
      </c>
      <c r="L323" s="43">
        <v>44200.42916666667</v>
      </c>
      <c r="N323" s="44">
        <v>44061.60486111111</v>
      </c>
    </row>
    <row r="324">
      <c r="A324" s="39" t="s">
        <v>832</v>
      </c>
      <c r="B324" s="39" t="s">
        <v>1277</v>
      </c>
      <c r="C324" s="39" t="s">
        <v>19</v>
      </c>
      <c r="D324" s="39">
        <v>61145.0</v>
      </c>
      <c r="F324" s="39" t="s">
        <v>1278</v>
      </c>
      <c r="G324" s="39" t="s">
        <v>1060</v>
      </c>
      <c r="H324" s="39" t="s">
        <v>1059</v>
      </c>
      <c r="I324" s="39" t="s">
        <v>724</v>
      </c>
      <c r="J324" s="39" t="s">
        <v>872</v>
      </c>
      <c r="K324" s="39" t="s">
        <v>2158</v>
      </c>
      <c r="L324" s="43">
        <v>44200.42916666667</v>
      </c>
      <c r="M324" s="39">
        <v>82800.0</v>
      </c>
      <c r="N324" s="44">
        <v>44035.56805555556</v>
      </c>
    </row>
    <row r="325">
      <c r="A325" s="39" t="s">
        <v>957</v>
      </c>
      <c r="B325" s="39" t="s">
        <v>2634</v>
      </c>
      <c r="C325" s="39" t="s">
        <v>19</v>
      </c>
      <c r="D325" s="39">
        <v>61146.0</v>
      </c>
      <c r="F325" s="39" t="s">
        <v>2635</v>
      </c>
      <c r="G325" s="39" t="s">
        <v>1060</v>
      </c>
      <c r="H325" s="39" t="s">
        <v>1059</v>
      </c>
      <c r="I325" s="39" t="s">
        <v>724</v>
      </c>
      <c r="J325" s="39" t="s">
        <v>872</v>
      </c>
      <c r="K325" s="39" t="s">
        <v>2158</v>
      </c>
      <c r="L325" s="43">
        <v>44200.42916666667</v>
      </c>
      <c r="N325" s="44">
        <v>44035.57986111111</v>
      </c>
    </row>
    <row r="326">
      <c r="A326" s="39" t="s">
        <v>832</v>
      </c>
      <c r="B326" s="39" t="s">
        <v>2636</v>
      </c>
      <c r="C326" s="39" t="s">
        <v>19</v>
      </c>
      <c r="D326" s="39">
        <v>62114.0</v>
      </c>
      <c r="F326" s="39" t="s">
        <v>2637</v>
      </c>
      <c r="G326" s="39" t="s">
        <v>724</v>
      </c>
      <c r="H326" s="39" t="s">
        <v>872</v>
      </c>
      <c r="I326" s="39" t="s">
        <v>724</v>
      </c>
      <c r="J326" s="39" t="s">
        <v>872</v>
      </c>
      <c r="K326" s="39" t="s">
        <v>2158</v>
      </c>
      <c r="L326" s="43">
        <v>44200.42916666667</v>
      </c>
      <c r="N326" s="44">
        <v>44061.62569444445</v>
      </c>
    </row>
    <row r="327">
      <c r="A327" s="39" t="s">
        <v>957</v>
      </c>
      <c r="B327" s="39" t="s">
        <v>1638</v>
      </c>
      <c r="C327" s="39" t="s">
        <v>19</v>
      </c>
      <c r="D327" s="39">
        <v>63683.0</v>
      </c>
      <c r="F327" s="39" t="s">
        <v>1639</v>
      </c>
      <c r="G327" s="39" t="s">
        <v>724</v>
      </c>
      <c r="H327" s="39" t="s">
        <v>872</v>
      </c>
      <c r="I327" s="39" t="s">
        <v>724</v>
      </c>
      <c r="J327" s="39" t="s">
        <v>872</v>
      </c>
      <c r="K327" s="39" t="s">
        <v>2158</v>
      </c>
      <c r="L327" s="43">
        <v>44200.42916666667</v>
      </c>
      <c r="M327" s="39">
        <v>26100.0</v>
      </c>
      <c r="N327" s="44">
        <v>44097.58125</v>
      </c>
    </row>
    <row r="328">
      <c r="A328" s="39" t="s">
        <v>832</v>
      </c>
      <c r="B328" s="39" t="s">
        <v>1372</v>
      </c>
      <c r="C328" s="39" t="s">
        <v>19</v>
      </c>
      <c r="D328" s="39">
        <v>62111.0</v>
      </c>
      <c r="F328" s="39" t="s">
        <v>2638</v>
      </c>
      <c r="G328" s="39" t="s">
        <v>724</v>
      </c>
      <c r="H328" s="39" t="s">
        <v>872</v>
      </c>
      <c r="I328" s="39" t="s">
        <v>724</v>
      </c>
      <c r="J328" s="39" t="s">
        <v>872</v>
      </c>
      <c r="K328" s="39" t="s">
        <v>2158</v>
      </c>
      <c r="L328" s="43">
        <v>44200.42916666667</v>
      </c>
      <c r="M328" s="39">
        <v>54000.0</v>
      </c>
      <c r="N328" s="44">
        <v>44061.59861111111</v>
      </c>
    </row>
    <row r="329">
      <c r="A329" s="39" t="s">
        <v>957</v>
      </c>
      <c r="B329" s="39" t="s">
        <v>2639</v>
      </c>
      <c r="C329" s="39" t="s">
        <v>19</v>
      </c>
      <c r="D329" s="39">
        <v>61143.0</v>
      </c>
      <c r="F329" s="39" t="s">
        <v>2640</v>
      </c>
      <c r="G329" s="39" t="s">
        <v>1060</v>
      </c>
      <c r="H329" s="39" t="s">
        <v>1059</v>
      </c>
      <c r="I329" s="39" t="s">
        <v>1060</v>
      </c>
      <c r="J329" s="39" t="s">
        <v>1059</v>
      </c>
      <c r="K329" s="39" t="s">
        <v>2158</v>
      </c>
      <c r="L329" s="43">
        <v>44200.42916666667</v>
      </c>
      <c r="N329" s="44">
        <v>44035.53125</v>
      </c>
    </row>
    <row r="330">
      <c r="A330" s="39" t="s">
        <v>832</v>
      </c>
      <c r="B330" s="39" t="s">
        <v>1766</v>
      </c>
      <c r="C330" s="39" t="s">
        <v>19</v>
      </c>
      <c r="D330" s="39">
        <v>62112.0</v>
      </c>
      <c r="F330" s="39" t="s">
        <v>1767</v>
      </c>
      <c r="G330" s="39" t="s">
        <v>724</v>
      </c>
      <c r="H330" s="39" t="s">
        <v>872</v>
      </c>
      <c r="I330" s="39" t="s">
        <v>724</v>
      </c>
      <c r="J330" s="39" t="s">
        <v>872</v>
      </c>
      <c r="K330" s="39" t="s">
        <v>2158</v>
      </c>
      <c r="L330" s="43">
        <v>44200.42916666667</v>
      </c>
      <c r="M330" s="39">
        <v>32400.0</v>
      </c>
      <c r="N330" s="44">
        <v>44061.59930555556</v>
      </c>
    </row>
    <row r="331">
      <c r="A331" s="39" t="s">
        <v>832</v>
      </c>
      <c r="B331" s="39" t="s">
        <v>2020</v>
      </c>
      <c r="C331" s="39" t="s">
        <v>19</v>
      </c>
      <c r="D331" s="39">
        <v>65982.0</v>
      </c>
      <c r="F331" s="39" t="s">
        <v>2021</v>
      </c>
      <c r="G331" s="39" t="s">
        <v>1060</v>
      </c>
      <c r="H331" s="39" t="s">
        <v>1059</v>
      </c>
      <c r="I331" s="39" t="s">
        <v>724</v>
      </c>
      <c r="J331" s="39" t="s">
        <v>872</v>
      </c>
      <c r="K331" s="39" t="s">
        <v>2158</v>
      </c>
      <c r="L331" s="43">
        <v>44200.42916666667</v>
      </c>
      <c r="M331" s="39">
        <v>1800.0</v>
      </c>
      <c r="N331" s="44">
        <v>44155.6125</v>
      </c>
    </row>
    <row r="332">
      <c r="A332" s="39" t="s">
        <v>957</v>
      </c>
      <c r="B332" s="39" t="s">
        <v>2641</v>
      </c>
      <c r="C332" s="39" t="s">
        <v>19</v>
      </c>
      <c r="D332" s="39">
        <v>61144.0</v>
      </c>
      <c r="F332" s="39" t="s">
        <v>2642</v>
      </c>
      <c r="G332" s="39" t="s">
        <v>1060</v>
      </c>
      <c r="H332" s="39" t="s">
        <v>1059</v>
      </c>
      <c r="I332" s="39" t="s">
        <v>1060</v>
      </c>
      <c r="J332" s="39" t="s">
        <v>1059</v>
      </c>
      <c r="K332" s="39" t="s">
        <v>2158</v>
      </c>
      <c r="L332" s="43">
        <v>44200.42916666667</v>
      </c>
      <c r="N332" s="44">
        <v>44035.544444444444</v>
      </c>
    </row>
    <row r="333">
      <c r="A333" s="39" t="s">
        <v>957</v>
      </c>
      <c r="B333" s="39" t="s">
        <v>2643</v>
      </c>
      <c r="C333" s="39" t="s">
        <v>19</v>
      </c>
      <c r="D333" s="39">
        <v>63685.0</v>
      </c>
      <c r="F333" s="39" t="s">
        <v>2644</v>
      </c>
      <c r="G333" s="39" t="s">
        <v>724</v>
      </c>
      <c r="H333" s="39" t="s">
        <v>872</v>
      </c>
      <c r="I333" s="39" t="s">
        <v>1060</v>
      </c>
      <c r="J333" s="39" t="s">
        <v>1059</v>
      </c>
      <c r="K333" s="39" t="s">
        <v>2158</v>
      </c>
      <c r="L333" s="43">
        <v>44200.42916666667</v>
      </c>
      <c r="N333" s="44">
        <v>44097.61041666667</v>
      </c>
    </row>
    <row r="334">
      <c r="A334" s="39" t="s">
        <v>957</v>
      </c>
      <c r="B334" s="39" t="s">
        <v>2645</v>
      </c>
      <c r="C334" s="39" t="s">
        <v>19</v>
      </c>
      <c r="D334" s="39">
        <v>61141.0</v>
      </c>
      <c r="F334" s="39" t="s">
        <v>2646</v>
      </c>
      <c r="G334" s="39" t="s">
        <v>1060</v>
      </c>
      <c r="H334" s="39" t="s">
        <v>1059</v>
      </c>
      <c r="I334" s="39" t="s">
        <v>1060</v>
      </c>
      <c r="J334" s="39" t="s">
        <v>1059</v>
      </c>
      <c r="K334" s="39" t="s">
        <v>2158</v>
      </c>
      <c r="L334" s="43">
        <v>44200.42916666667</v>
      </c>
      <c r="N334" s="44">
        <v>44034.53333333333</v>
      </c>
    </row>
    <row r="335">
      <c r="A335" s="39" t="s">
        <v>957</v>
      </c>
      <c r="B335" s="39" t="s">
        <v>2017</v>
      </c>
      <c r="C335" s="39" t="s">
        <v>19</v>
      </c>
      <c r="D335" s="39">
        <v>65984.0</v>
      </c>
      <c r="F335" s="39" t="s">
        <v>2018</v>
      </c>
      <c r="G335" s="39" t="s">
        <v>1060</v>
      </c>
      <c r="H335" s="39" t="s">
        <v>1059</v>
      </c>
      <c r="I335" s="39" t="s">
        <v>724</v>
      </c>
      <c r="J335" s="39" t="s">
        <v>872</v>
      </c>
      <c r="K335" s="39" t="s">
        <v>2158</v>
      </c>
      <c r="L335" s="43">
        <v>44200.42916666667</v>
      </c>
      <c r="M335" s="39">
        <v>900.0</v>
      </c>
      <c r="N335" s="44">
        <v>44155.62152777778</v>
      </c>
    </row>
    <row r="336">
      <c r="A336" s="39" t="s">
        <v>832</v>
      </c>
      <c r="B336" s="39" t="s">
        <v>1603</v>
      </c>
      <c r="C336" s="39" t="s">
        <v>19</v>
      </c>
      <c r="D336" s="39">
        <v>63684.0</v>
      </c>
      <c r="F336" s="39" t="s">
        <v>1604</v>
      </c>
      <c r="G336" s="39" t="s">
        <v>1154</v>
      </c>
      <c r="H336" s="39" t="s">
        <v>1153</v>
      </c>
      <c r="I336" s="39" t="s">
        <v>724</v>
      </c>
      <c r="J336" s="39" t="s">
        <v>872</v>
      </c>
      <c r="K336" s="39" t="s">
        <v>2188</v>
      </c>
      <c r="L336" s="43">
        <v>44200.42916666667</v>
      </c>
      <c r="M336" s="39">
        <v>220200.0</v>
      </c>
      <c r="N336" s="44">
        <v>44097.58472222222</v>
      </c>
    </row>
    <row r="337">
      <c r="A337" s="39" t="s">
        <v>957</v>
      </c>
      <c r="B337" s="39" t="s">
        <v>2647</v>
      </c>
      <c r="C337" s="39" t="s">
        <v>19</v>
      </c>
      <c r="D337" s="39">
        <v>66831.0</v>
      </c>
      <c r="F337" s="39" t="s">
        <v>2648</v>
      </c>
      <c r="I337" s="39" t="s">
        <v>724</v>
      </c>
      <c r="J337" s="39" t="s">
        <v>872</v>
      </c>
      <c r="K337" s="39" t="s">
        <v>2158</v>
      </c>
      <c r="L337" s="43">
        <v>44200.42916666667</v>
      </c>
      <c r="N337" s="43">
        <v>44173.47638888889</v>
      </c>
    </row>
    <row r="338">
      <c r="A338" s="39" t="s">
        <v>957</v>
      </c>
      <c r="B338" s="39" t="s">
        <v>2649</v>
      </c>
      <c r="C338" s="39" t="s">
        <v>19</v>
      </c>
      <c r="D338" s="39">
        <v>61140.0</v>
      </c>
      <c r="F338" s="39" t="s">
        <v>2650</v>
      </c>
      <c r="G338" s="39" t="s">
        <v>1060</v>
      </c>
      <c r="H338" s="39" t="s">
        <v>1059</v>
      </c>
      <c r="I338" s="39" t="s">
        <v>1060</v>
      </c>
      <c r="J338" s="39" t="s">
        <v>1059</v>
      </c>
      <c r="K338" s="39" t="s">
        <v>2158</v>
      </c>
      <c r="L338" s="43">
        <v>44200.42916666667</v>
      </c>
      <c r="N338" s="44">
        <v>44034.52638888889</v>
      </c>
    </row>
    <row r="339">
      <c r="A339" s="39" t="s">
        <v>957</v>
      </c>
      <c r="B339" s="39" t="s">
        <v>2651</v>
      </c>
      <c r="C339" s="39" t="s">
        <v>19</v>
      </c>
      <c r="D339" s="39">
        <v>62128.0</v>
      </c>
      <c r="F339" s="39" t="s">
        <v>2652</v>
      </c>
      <c r="G339" s="39" t="s">
        <v>1154</v>
      </c>
      <c r="H339" s="39" t="s">
        <v>1153</v>
      </c>
      <c r="I339" s="39" t="s">
        <v>1060</v>
      </c>
      <c r="J339" s="39" t="s">
        <v>1059</v>
      </c>
      <c r="K339" s="39" t="s">
        <v>2188</v>
      </c>
      <c r="L339" s="43">
        <v>44200.42916666667</v>
      </c>
      <c r="N339" s="44">
        <v>44062.575</v>
      </c>
    </row>
    <row r="340">
      <c r="A340" s="39" t="s">
        <v>957</v>
      </c>
      <c r="B340" s="39" t="s">
        <v>2653</v>
      </c>
      <c r="C340" s="39" t="s">
        <v>19</v>
      </c>
      <c r="D340" s="39">
        <v>62129.0</v>
      </c>
      <c r="F340" s="39" t="s">
        <v>2654</v>
      </c>
      <c r="G340" s="39" t="s">
        <v>724</v>
      </c>
      <c r="H340" s="39" t="s">
        <v>872</v>
      </c>
      <c r="I340" s="39" t="s">
        <v>1049</v>
      </c>
      <c r="J340" s="39" t="s">
        <v>1048</v>
      </c>
      <c r="K340" s="39" t="s">
        <v>2199</v>
      </c>
      <c r="L340" s="43">
        <v>44200.42916666667</v>
      </c>
      <c r="N340" s="44">
        <v>44062.58611111111</v>
      </c>
    </row>
    <row r="341">
      <c r="A341" s="39" t="s">
        <v>957</v>
      </c>
      <c r="B341" s="39" t="s">
        <v>2655</v>
      </c>
      <c r="C341" s="39" t="s">
        <v>19</v>
      </c>
      <c r="D341" s="39">
        <v>62126.0</v>
      </c>
      <c r="F341" s="39" t="s">
        <v>2656</v>
      </c>
      <c r="G341" s="39" t="s">
        <v>1154</v>
      </c>
      <c r="H341" s="39" t="s">
        <v>1153</v>
      </c>
      <c r="I341" s="39" t="s">
        <v>1060</v>
      </c>
      <c r="J341" s="39" t="s">
        <v>1059</v>
      </c>
      <c r="K341" s="39" t="s">
        <v>2158</v>
      </c>
      <c r="L341" s="43">
        <v>44200.42916666667</v>
      </c>
      <c r="N341" s="44">
        <v>44062.569444444445</v>
      </c>
    </row>
    <row r="342">
      <c r="A342" s="39" t="s">
        <v>957</v>
      </c>
      <c r="B342" s="39" t="s">
        <v>2657</v>
      </c>
      <c r="C342" s="39" t="s">
        <v>19</v>
      </c>
      <c r="D342" s="39">
        <v>62127.0</v>
      </c>
      <c r="F342" s="39" t="s">
        <v>2658</v>
      </c>
      <c r="G342" s="39" t="s">
        <v>724</v>
      </c>
      <c r="H342" s="39" t="s">
        <v>872</v>
      </c>
      <c r="I342" s="39" t="s">
        <v>1060</v>
      </c>
      <c r="J342" s="39" t="s">
        <v>1059</v>
      </c>
      <c r="K342" s="39" t="s">
        <v>2158</v>
      </c>
      <c r="L342" s="43">
        <v>44200.42916666667</v>
      </c>
      <c r="N342" s="44">
        <v>44062.57083333333</v>
      </c>
    </row>
    <row r="343">
      <c r="A343" s="39" t="s">
        <v>957</v>
      </c>
      <c r="B343" s="39" t="s">
        <v>2659</v>
      </c>
      <c r="C343" s="39" t="s">
        <v>19</v>
      </c>
      <c r="D343" s="39">
        <v>62124.0</v>
      </c>
      <c r="F343" s="39" t="s">
        <v>2660</v>
      </c>
      <c r="G343" s="39" t="s">
        <v>1154</v>
      </c>
      <c r="H343" s="39" t="s">
        <v>1153</v>
      </c>
      <c r="I343" s="39" t="s">
        <v>1060</v>
      </c>
      <c r="J343" s="39" t="s">
        <v>1059</v>
      </c>
      <c r="K343" s="39" t="s">
        <v>2199</v>
      </c>
      <c r="L343" s="43">
        <v>44200.42916666667</v>
      </c>
      <c r="N343" s="44">
        <v>44062.56875</v>
      </c>
    </row>
    <row r="344">
      <c r="A344" s="39" t="s">
        <v>957</v>
      </c>
      <c r="B344" s="39" t="s">
        <v>2661</v>
      </c>
      <c r="C344" s="39" t="s">
        <v>19</v>
      </c>
      <c r="D344" s="39">
        <v>62125.0</v>
      </c>
      <c r="F344" s="39" t="s">
        <v>2662</v>
      </c>
      <c r="G344" s="39" t="s">
        <v>1154</v>
      </c>
      <c r="H344" s="39" t="s">
        <v>1153</v>
      </c>
      <c r="I344" s="39" t="s">
        <v>1060</v>
      </c>
      <c r="J344" s="39" t="s">
        <v>1059</v>
      </c>
      <c r="K344" s="39" t="s">
        <v>2158</v>
      </c>
      <c r="L344" s="43">
        <v>44200.42916666667</v>
      </c>
      <c r="N344" s="44">
        <v>44062.569444444445</v>
      </c>
    </row>
    <row r="345">
      <c r="A345" s="39" t="s">
        <v>957</v>
      </c>
      <c r="B345" s="39" t="s">
        <v>2663</v>
      </c>
      <c r="C345" s="39" t="s">
        <v>19</v>
      </c>
      <c r="D345" s="39">
        <v>64662.0</v>
      </c>
      <c r="F345" s="39" t="s">
        <v>2664</v>
      </c>
      <c r="I345" s="39" t="s">
        <v>724</v>
      </c>
      <c r="J345" s="39" t="s">
        <v>872</v>
      </c>
      <c r="K345" s="39" t="s">
        <v>2161</v>
      </c>
      <c r="L345" s="43">
        <v>44200.42916666667</v>
      </c>
      <c r="N345" s="44">
        <v>44119.40625</v>
      </c>
    </row>
    <row r="346">
      <c r="A346" s="39" t="s">
        <v>832</v>
      </c>
      <c r="B346" s="39" t="s">
        <v>1634</v>
      </c>
      <c r="C346" s="39" t="s">
        <v>19</v>
      </c>
      <c r="D346" s="39">
        <v>61154.0</v>
      </c>
      <c r="F346" s="39" t="s">
        <v>1635</v>
      </c>
      <c r="G346" s="39" t="s">
        <v>724</v>
      </c>
      <c r="H346" s="39" t="s">
        <v>872</v>
      </c>
      <c r="I346" s="39" t="s">
        <v>724</v>
      </c>
      <c r="J346" s="39" t="s">
        <v>872</v>
      </c>
      <c r="K346" s="39" t="s">
        <v>2188</v>
      </c>
      <c r="L346" s="43">
        <v>44200.42916666667</v>
      </c>
      <c r="M346" s="39">
        <v>27000.0</v>
      </c>
      <c r="N346" s="44">
        <v>44035.708333333336</v>
      </c>
    </row>
    <row r="347">
      <c r="A347" s="39" t="s">
        <v>957</v>
      </c>
      <c r="B347" s="39" t="s">
        <v>2665</v>
      </c>
      <c r="C347" s="39" t="s">
        <v>19</v>
      </c>
      <c r="D347" s="39">
        <v>64661.0</v>
      </c>
      <c r="F347" s="39" t="s">
        <v>2666</v>
      </c>
      <c r="G347" s="39" t="s">
        <v>724</v>
      </c>
      <c r="H347" s="39" t="s">
        <v>872</v>
      </c>
      <c r="I347" s="39" t="s">
        <v>724</v>
      </c>
      <c r="J347" s="39" t="s">
        <v>872</v>
      </c>
      <c r="K347" s="39" t="s">
        <v>2158</v>
      </c>
      <c r="L347" s="43">
        <v>44200.42916666667</v>
      </c>
      <c r="N347" s="44">
        <v>44118.93958333333</v>
      </c>
    </row>
    <row r="348">
      <c r="A348" s="39" t="s">
        <v>832</v>
      </c>
      <c r="B348" s="39" t="s">
        <v>2667</v>
      </c>
      <c r="C348" s="39" t="s">
        <v>19</v>
      </c>
      <c r="D348" s="39">
        <v>61155.0</v>
      </c>
      <c r="F348" s="39" t="s">
        <v>2668</v>
      </c>
      <c r="G348" s="39" t="s">
        <v>1060</v>
      </c>
      <c r="H348" s="39" t="s">
        <v>1059</v>
      </c>
      <c r="I348" s="39" t="s">
        <v>724</v>
      </c>
      <c r="J348" s="39" t="s">
        <v>872</v>
      </c>
      <c r="K348" s="39" t="s">
        <v>2158</v>
      </c>
      <c r="L348" s="43">
        <v>44200.42916666667</v>
      </c>
      <c r="N348" s="44">
        <v>44035.720138888886</v>
      </c>
    </row>
    <row r="349">
      <c r="A349" s="39" t="s">
        <v>832</v>
      </c>
      <c r="B349" s="39" t="s">
        <v>2669</v>
      </c>
      <c r="C349" s="39" t="s">
        <v>19</v>
      </c>
      <c r="D349" s="39">
        <v>66840.0</v>
      </c>
      <c r="F349" s="39" t="s">
        <v>2670</v>
      </c>
      <c r="I349" s="39" t="s">
        <v>724</v>
      </c>
      <c r="J349" s="39" t="s">
        <v>872</v>
      </c>
      <c r="K349" s="39" t="s">
        <v>2161</v>
      </c>
      <c r="L349" s="43">
        <v>44200.42916666667</v>
      </c>
      <c r="N349" s="43">
        <v>44173.865277777775</v>
      </c>
    </row>
    <row r="350">
      <c r="A350" s="39" t="s">
        <v>957</v>
      </c>
      <c r="B350" s="39" t="s">
        <v>2671</v>
      </c>
      <c r="C350" s="39" t="s">
        <v>19</v>
      </c>
      <c r="D350" s="39">
        <v>61152.0</v>
      </c>
      <c r="F350" s="39" t="s">
        <v>2672</v>
      </c>
      <c r="G350" s="39" t="s">
        <v>724</v>
      </c>
      <c r="H350" s="39" t="s">
        <v>872</v>
      </c>
      <c r="I350" s="39" t="s">
        <v>724</v>
      </c>
      <c r="J350" s="39" t="s">
        <v>872</v>
      </c>
      <c r="K350" s="39" t="s">
        <v>2188</v>
      </c>
      <c r="L350" s="43">
        <v>44200.42916666667</v>
      </c>
      <c r="N350" s="44">
        <v>44035.694444444445</v>
      </c>
    </row>
    <row r="351">
      <c r="A351" s="39" t="s">
        <v>957</v>
      </c>
      <c r="B351" s="39" t="s">
        <v>2673</v>
      </c>
      <c r="C351" s="39" t="s">
        <v>19</v>
      </c>
      <c r="D351" s="39">
        <v>64664.0</v>
      </c>
      <c r="F351" s="39" t="s">
        <v>2674</v>
      </c>
      <c r="I351" s="39" t="s">
        <v>724</v>
      </c>
      <c r="J351" s="39" t="s">
        <v>872</v>
      </c>
      <c r="K351" s="39" t="s">
        <v>2161</v>
      </c>
      <c r="L351" s="43">
        <v>44200.42916666667</v>
      </c>
      <c r="N351" s="44">
        <v>44119.4125</v>
      </c>
    </row>
    <row r="352">
      <c r="A352" s="39" t="s">
        <v>72</v>
      </c>
      <c r="B352" s="39" t="s">
        <v>1256</v>
      </c>
      <c r="C352" s="39" t="s">
        <v>19</v>
      </c>
      <c r="D352" s="39">
        <v>61153.0</v>
      </c>
      <c r="F352" s="39" t="s">
        <v>1257</v>
      </c>
      <c r="I352" s="39" t="s">
        <v>724</v>
      </c>
      <c r="J352" s="39" t="s">
        <v>872</v>
      </c>
      <c r="K352" s="39" t="s">
        <v>2161</v>
      </c>
      <c r="L352" s="43">
        <v>44200.42916666667</v>
      </c>
      <c r="M352" s="39">
        <v>64200.0</v>
      </c>
      <c r="N352" s="44">
        <v>44035.70416666667</v>
      </c>
    </row>
    <row r="353">
      <c r="A353" s="39" t="s">
        <v>957</v>
      </c>
      <c r="B353" s="39" t="s">
        <v>2675</v>
      </c>
      <c r="C353" s="39" t="s">
        <v>19</v>
      </c>
      <c r="D353" s="39">
        <v>61150.0</v>
      </c>
      <c r="F353" s="39" t="s">
        <v>2676</v>
      </c>
      <c r="G353" s="39" t="s">
        <v>724</v>
      </c>
      <c r="H353" s="39" t="s">
        <v>872</v>
      </c>
      <c r="I353" s="39" t="s">
        <v>1049</v>
      </c>
      <c r="J353" s="39" t="s">
        <v>1048</v>
      </c>
      <c r="K353" s="39" t="s">
        <v>2158</v>
      </c>
      <c r="L353" s="43">
        <v>44200.42916666667</v>
      </c>
      <c r="N353" s="44">
        <v>44035.66458333333</v>
      </c>
    </row>
    <row r="354">
      <c r="A354" s="39" t="s">
        <v>957</v>
      </c>
      <c r="B354" s="39" t="s">
        <v>2677</v>
      </c>
      <c r="C354" s="39" t="s">
        <v>19</v>
      </c>
      <c r="D354" s="39">
        <v>61151.0</v>
      </c>
      <c r="F354" s="39" t="s">
        <v>2678</v>
      </c>
      <c r="G354" s="39" t="s">
        <v>724</v>
      </c>
      <c r="H354" s="39" t="s">
        <v>872</v>
      </c>
      <c r="I354" s="39" t="s">
        <v>1049</v>
      </c>
      <c r="J354" s="39" t="s">
        <v>1048</v>
      </c>
      <c r="K354" s="39" t="s">
        <v>2158</v>
      </c>
      <c r="L354" s="43">
        <v>44200.42916666667</v>
      </c>
      <c r="N354" s="44">
        <v>44035.68958333333</v>
      </c>
    </row>
    <row r="355">
      <c r="A355" s="39" t="s">
        <v>832</v>
      </c>
      <c r="B355" s="39" t="s">
        <v>2679</v>
      </c>
      <c r="C355" s="39" t="s">
        <v>19</v>
      </c>
      <c r="D355" s="39">
        <v>55968.0</v>
      </c>
      <c r="F355" s="39" t="s">
        <v>2680</v>
      </c>
      <c r="I355" s="39" t="s">
        <v>724</v>
      </c>
      <c r="J355" s="39" t="s">
        <v>872</v>
      </c>
      <c r="K355" s="39" t="s">
        <v>2161</v>
      </c>
      <c r="L355" s="43">
        <v>44200.42916666667</v>
      </c>
      <c r="N355" s="44">
        <v>43872.52847222222</v>
      </c>
    </row>
    <row r="356">
      <c r="A356" s="39" t="s">
        <v>957</v>
      </c>
      <c r="B356" s="39" t="s">
        <v>1970</v>
      </c>
      <c r="C356" s="39" t="s">
        <v>19</v>
      </c>
      <c r="D356" s="39">
        <v>65870.0</v>
      </c>
      <c r="F356" s="39" t="s">
        <v>1971</v>
      </c>
      <c r="G356" s="39" t="s">
        <v>1049</v>
      </c>
      <c r="H356" s="39" t="s">
        <v>1048</v>
      </c>
      <c r="I356" s="39" t="s">
        <v>724</v>
      </c>
      <c r="J356" s="39" t="s">
        <v>872</v>
      </c>
      <c r="K356" s="39" t="s">
        <v>2158</v>
      </c>
      <c r="L356" s="43">
        <v>44200.42916666667</v>
      </c>
      <c r="M356" s="39">
        <v>19800.0</v>
      </c>
      <c r="N356" s="44">
        <v>44148.77638888889</v>
      </c>
    </row>
    <row r="357">
      <c r="A357" s="39" t="s">
        <v>832</v>
      </c>
      <c r="B357" s="39" t="s">
        <v>2681</v>
      </c>
      <c r="C357" s="39" t="s">
        <v>19</v>
      </c>
      <c r="D357" s="39">
        <v>55969.0</v>
      </c>
      <c r="F357" s="39" t="s">
        <v>2682</v>
      </c>
      <c r="I357" s="39" t="s">
        <v>724</v>
      </c>
      <c r="J357" s="39" t="s">
        <v>872</v>
      </c>
      <c r="K357" s="39" t="s">
        <v>2161</v>
      </c>
      <c r="L357" s="43">
        <v>44200.42916666667</v>
      </c>
      <c r="N357" s="44">
        <v>43872.52847222222</v>
      </c>
    </row>
    <row r="358">
      <c r="A358" s="39" t="s">
        <v>832</v>
      </c>
      <c r="B358" s="39" t="s">
        <v>1300</v>
      </c>
      <c r="C358" s="39" t="s">
        <v>19</v>
      </c>
      <c r="D358" s="39">
        <v>55962.0</v>
      </c>
      <c r="F358" s="39" t="s">
        <v>2683</v>
      </c>
      <c r="G358" s="39" t="s">
        <v>724</v>
      </c>
      <c r="H358" s="39" t="s">
        <v>872</v>
      </c>
      <c r="I358" s="39" t="s">
        <v>724</v>
      </c>
      <c r="J358" s="39" t="s">
        <v>872</v>
      </c>
      <c r="K358" s="39" t="s">
        <v>2161</v>
      </c>
      <c r="L358" s="43">
        <v>44200.42916666667</v>
      </c>
      <c r="M358" s="39">
        <v>25200.0</v>
      </c>
      <c r="N358" s="44">
        <v>43872.46875</v>
      </c>
    </row>
    <row r="359">
      <c r="A359" s="39" t="s">
        <v>957</v>
      </c>
      <c r="B359" s="39" t="s">
        <v>2684</v>
      </c>
      <c r="C359" s="39" t="s">
        <v>19</v>
      </c>
      <c r="D359" s="39">
        <v>55961.0</v>
      </c>
      <c r="F359" s="39" t="s">
        <v>2685</v>
      </c>
      <c r="I359" s="39" t="s">
        <v>724</v>
      </c>
      <c r="J359" s="39" t="s">
        <v>872</v>
      </c>
      <c r="K359" s="39" t="s">
        <v>2158</v>
      </c>
      <c r="L359" s="43">
        <v>44200.42916666667</v>
      </c>
      <c r="N359" s="44">
        <v>43872.3625</v>
      </c>
    </row>
    <row r="360">
      <c r="A360" s="39" t="s">
        <v>832</v>
      </c>
      <c r="B360" s="39" t="s">
        <v>2686</v>
      </c>
      <c r="C360" s="39" t="s">
        <v>19</v>
      </c>
      <c r="D360" s="39">
        <v>55967.0</v>
      </c>
      <c r="F360" s="39" t="s">
        <v>2687</v>
      </c>
      <c r="I360" s="39" t="s">
        <v>724</v>
      </c>
      <c r="J360" s="39" t="s">
        <v>872</v>
      </c>
      <c r="K360" s="39" t="s">
        <v>2161</v>
      </c>
      <c r="L360" s="43">
        <v>44200.42916666667</v>
      </c>
      <c r="N360" s="44">
        <v>43872.493055555555</v>
      </c>
    </row>
    <row r="361">
      <c r="A361" s="39" t="s">
        <v>957</v>
      </c>
      <c r="B361" s="39" t="s">
        <v>1942</v>
      </c>
      <c r="C361" s="39" t="s">
        <v>19</v>
      </c>
      <c r="D361" s="39">
        <v>65765.0</v>
      </c>
      <c r="F361" s="39" t="s">
        <v>1943</v>
      </c>
      <c r="I361" s="39" t="s">
        <v>1049</v>
      </c>
      <c r="J361" s="39" t="s">
        <v>1048</v>
      </c>
      <c r="K361" s="39" t="s">
        <v>2199</v>
      </c>
      <c r="L361" s="43">
        <v>44200.42916666667</v>
      </c>
      <c r="M361" s="39">
        <v>1800.0</v>
      </c>
      <c r="N361" s="43">
        <v>44144.604166666664</v>
      </c>
    </row>
    <row r="362">
      <c r="A362" s="39" t="s">
        <v>832</v>
      </c>
      <c r="B362" s="39" t="s">
        <v>1698</v>
      </c>
      <c r="C362" s="39" t="s">
        <v>19</v>
      </c>
      <c r="D362" s="39">
        <v>62137.0</v>
      </c>
      <c r="F362" s="39" t="s">
        <v>1699</v>
      </c>
      <c r="G362" s="39" t="s">
        <v>724</v>
      </c>
      <c r="H362" s="39" t="s">
        <v>872</v>
      </c>
      <c r="I362" s="39" t="s">
        <v>1060</v>
      </c>
      <c r="J362" s="39" t="s">
        <v>1059</v>
      </c>
      <c r="K362" s="39" t="s">
        <v>2158</v>
      </c>
      <c r="L362" s="43">
        <v>44200.42916666667</v>
      </c>
      <c r="M362" s="39">
        <v>1800.0</v>
      </c>
      <c r="N362" s="44">
        <v>44064.71944444445</v>
      </c>
    </row>
    <row r="363">
      <c r="A363" s="39" t="s">
        <v>957</v>
      </c>
      <c r="B363" s="39" t="s">
        <v>2688</v>
      </c>
      <c r="C363" s="39" t="s">
        <v>19</v>
      </c>
      <c r="D363" s="39">
        <v>64677.0</v>
      </c>
      <c r="F363" s="39" t="s">
        <v>2689</v>
      </c>
      <c r="I363" s="39" t="s">
        <v>1154</v>
      </c>
      <c r="J363" s="39" t="s">
        <v>1153</v>
      </c>
      <c r="K363" s="39" t="s">
        <v>2161</v>
      </c>
      <c r="L363" s="43">
        <v>44200.42916666667</v>
      </c>
      <c r="N363" s="44">
        <v>44120.513194444444</v>
      </c>
    </row>
    <row r="364">
      <c r="A364" s="39" t="s">
        <v>957</v>
      </c>
      <c r="B364" s="39" t="s">
        <v>1929</v>
      </c>
      <c r="C364" s="39" t="s">
        <v>19</v>
      </c>
      <c r="D364" s="39">
        <v>65766.0</v>
      </c>
      <c r="F364" s="39" t="s">
        <v>1930</v>
      </c>
      <c r="G364" s="39" t="s">
        <v>1049</v>
      </c>
      <c r="H364" s="39" t="s">
        <v>1048</v>
      </c>
      <c r="I364" s="39" t="s">
        <v>1049</v>
      </c>
      <c r="J364" s="39" t="s">
        <v>1048</v>
      </c>
      <c r="K364" s="39" t="s">
        <v>2199</v>
      </c>
      <c r="L364" s="43">
        <v>44200.42916666667</v>
      </c>
      <c r="M364" s="39">
        <v>21600.0</v>
      </c>
      <c r="N364" s="43">
        <v>44144.61041666667</v>
      </c>
    </row>
    <row r="365">
      <c r="A365" s="39" t="s">
        <v>832</v>
      </c>
      <c r="B365" s="39" t="s">
        <v>1380</v>
      </c>
      <c r="C365" s="39" t="s">
        <v>19</v>
      </c>
      <c r="D365" s="39">
        <v>62135.0</v>
      </c>
      <c r="F365" s="39" t="s">
        <v>1381</v>
      </c>
      <c r="G365" s="39" t="s">
        <v>724</v>
      </c>
      <c r="H365" s="39" t="s">
        <v>872</v>
      </c>
      <c r="I365" s="39" t="s">
        <v>724</v>
      </c>
      <c r="J365" s="39" t="s">
        <v>872</v>
      </c>
      <c r="K365" s="39" t="s">
        <v>2188</v>
      </c>
      <c r="L365" s="43">
        <v>44200.42916666667</v>
      </c>
      <c r="M365" s="39">
        <v>410400.0</v>
      </c>
      <c r="N365" s="44">
        <v>44064.472916666666</v>
      </c>
    </row>
    <row r="366">
      <c r="A366" s="39" t="s">
        <v>957</v>
      </c>
      <c r="B366" s="39" t="s">
        <v>2690</v>
      </c>
      <c r="C366" s="39" t="s">
        <v>19</v>
      </c>
      <c r="D366" s="39">
        <v>62136.0</v>
      </c>
      <c r="F366" s="39" t="s">
        <v>2691</v>
      </c>
      <c r="G366" s="39" t="s">
        <v>724</v>
      </c>
      <c r="H366" s="39" t="s">
        <v>872</v>
      </c>
      <c r="I366" s="39" t="s">
        <v>724</v>
      </c>
      <c r="J366" s="39" t="s">
        <v>872</v>
      </c>
      <c r="K366" s="39" t="s">
        <v>2158</v>
      </c>
      <c r="L366" s="43">
        <v>44200.42916666667</v>
      </c>
      <c r="N366" s="44">
        <v>44064.47361111111</v>
      </c>
    </row>
    <row r="367">
      <c r="A367" s="39" t="s">
        <v>832</v>
      </c>
      <c r="B367" s="39" t="s">
        <v>1977</v>
      </c>
      <c r="C367" s="39" t="s">
        <v>19</v>
      </c>
      <c r="D367" s="39">
        <v>65889.0</v>
      </c>
      <c r="F367" s="39" t="s">
        <v>1978</v>
      </c>
      <c r="G367" s="39" t="s">
        <v>1060</v>
      </c>
      <c r="H367" s="39" t="s">
        <v>1059</v>
      </c>
      <c r="I367" s="39" t="s">
        <v>724</v>
      </c>
      <c r="J367" s="39" t="s">
        <v>872</v>
      </c>
      <c r="K367" s="39" t="s">
        <v>2158</v>
      </c>
      <c r="L367" s="43">
        <v>44200.42916666667</v>
      </c>
      <c r="M367" s="39">
        <v>61200.0</v>
      </c>
      <c r="N367" s="44">
        <v>44151.74513888889</v>
      </c>
    </row>
    <row r="368">
      <c r="A368" s="39" t="s">
        <v>957</v>
      </c>
      <c r="B368" s="39" t="s">
        <v>2692</v>
      </c>
      <c r="C368" s="39" t="s">
        <v>19</v>
      </c>
      <c r="D368" s="39">
        <v>62133.0</v>
      </c>
      <c r="F368" s="39" t="s">
        <v>2693</v>
      </c>
      <c r="G368" s="39" t="s">
        <v>724</v>
      </c>
      <c r="H368" s="39" t="s">
        <v>872</v>
      </c>
      <c r="I368" s="39" t="s">
        <v>1049</v>
      </c>
      <c r="J368" s="39" t="s">
        <v>1048</v>
      </c>
      <c r="K368" s="39" t="s">
        <v>2199</v>
      </c>
      <c r="L368" s="43">
        <v>44200.42916666667</v>
      </c>
      <c r="N368" s="44">
        <v>44063.686111111114</v>
      </c>
    </row>
    <row r="369">
      <c r="A369" s="39" t="s">
        <v>957</v>
      </c>
      <c r="B369" s="39" t="s">
        <v>2694</v>
      </c>
      <c r="C369" s="39" t="s">
        <v>19</v>
      </c>
      <c r="D369" s="39">
        <v>62134.0</v>
      </c>
      <c r="F369" s="39" t="s">
        <v>2695</v>
      </c>
      <c r="G369" s="39" t="s">
        <v>724</v>
      </c>
      <c r="H369" s="39" t="s">
        <v>872</v>
      </c>
      <c r="I369" s="39" t="s">
        <v>1049</v>
      </c>
      <c r="J369" s="39" t="s">
        <v>1048</v>
      </c>
      <c r="K369" s="39" t="s">
        <v>2199</v>
      </c>
      <c r="L369" s="43">
        <v>44200.42916666667</v>
      </c>
      <c r="N369" s="44">
        <v>44063.6875</v>
      </c>
    </row>
    <row r="370">
      <c r="A370" s="39" t="s">
        <v>957</v>
      </c>
      <c r="B370" s="39" t="s">
        <v>2696</v>
      </c>
      <c r="C370" s="39" t="s">
        <v>19</v>
      </c>
      <c r="D370" s="39">
        <v>62132.0</v>
      </c>
      <c r="F370" s="39" t="s">
        <v>2697</v>
      </c>
      <c r="G370" s="39" t="s">
        <v>724</v>
      </c>
      <c r="H370" s="39" t="s">
        <v>872</v>
      </c>
      <c r="I370" s="39" t="s">
        <v>1049</v>
      </c>
      <c r="J370" s="39" t="s">
        <v>1048</v>
      </c>
      <c r="K370" s="39" t="s">
        <v>2199</v>
      </c>
      <c r="L370" s="43">
        <v>44200.42916666667</v>
      </c>
      <c r="N370" s="44">
        <v>44063.68541666667</v>
      </c>
    </row>
    <row r="371">
      <c r="A371" s="39" t="s">
        <v>957</v>
      </c>
      <c r="B371" s="39" t="s">
        <v>2698</v>
      </c>
      <c r="C371" s="39" t="s">
        <v>19</v>
      </c>
      <c r="D371" s="39">
        <v>64329.0</v>
      </c>
      <c r="F371" s="39" t="s">
        <v>2699</v>
      </c>
      <c r="G371" s="39" t="s">
        <v>724</v>
      </c>
      <c r="H371" s="39" t="s">
        <v>872</v>
      </c>
      <c r="I371" s="39" t="s">
        <v>724</v>
      </c>
      <c r="J371" s="39" t="s">
        <v>872</v>
      </c>
      <c r="K371" s="39" t="s">
        <v>2158</v>
      </c>
      <c r="L371" s="43">
        <v>44200.42916666667</v>
      </c>
      <c r="N371" s="43">
        <v>44110.506944444445</v>
      </c>
    </row>
    <row r="372">
      <c r="A372" s="39" t="s">
        <v>832</v>
      </c>
      <c r="B372" s="39" t="s">
        <v>2700</v>
      </c>
      <c r="C372" s="39" t="s">
        <v>19</v>
      </c>
      <c r="D372" s="39">
        <v>55980.0</v>
      </c>
      <c r="F372" s="39" t="s">
        <v>2701</v>
      </c>
      <c r="I372" s="39" t="s">
        <v>724</v>
      </c>
      <c r="J372" s="39" t="s">
        <v>872</v>
      </c>
      <c r="K372" s="39" t="s">
        <v>2161</v>
      </c>
      <c r="L372" s="43">
        <v>44200.42916666667</v>
      </c>
      <c r="N372" s="44">
        <v>43875.60486111111</v>
      </c>
    </row>
    <row r="373">
      <c r="A373" s="39" t="s">
        <v>832</v>
      </c>
      <c r="B373" s="39" t="s">
        <v>2702</v>
      </c>
      <c r="C373" s="39" t="s">
        <v>19</v>
      </c>
      <c r="D373" s="39">
        <v>55981.0</v>
      </c>
      <c r="F373" s="39" t="s">
        <v>2703</v>
      </c>
      <c r="G373" s="39" t="s">
        <v>724</v>
      </c>
      <c r="H373" s="39" t="s">
        <v>872</v>
      </c>
      <c r="I373" s="39" t="s">
        <v>724</v>
      </c>
      <c r="J373" s="39" t="s">
        <v>872</v>
      </c>
      <c r="K373" s="39" t="s">
        <v>2161</v>
      </c>
      <c r="L373" s="43">
        <v>44200.42916666667</v>
      </c>
      <c r="N373" s="44">
        <v>43875.61041666667</v>
      </c>
    </row>
    <row r="374">
      <c r="A374" s="39" t="s">
        <v>957</v>
      </c>
      <c r="B374" s="39" t="s">
        <v>2704</v>
      </c>
      <c r="C374" s="39" t="s">
        <v>19</v>
      </c>
      <c r="D374" s="39">
        <v>62148.0</v>
      </c>
      <c r="F374" s="39" t="s">
        <v>2705</v>
      </c>
      <c r="G374" s="39" t="s">
        <v>1154</v>
      </c>
      <c r="H374" s="39" t="s">
        <v>1153</v>
      </c>
      <c r="I374" s="39" t="s">
        <v>1154</v>
      </c>
      <c r="J374" s="39" t="s">
        <v>1153</v>
      </c>
      <c r="K374" s="39" t="s">
        <v>2158</v>
      </c>
      <c r="L374" s="43">
        <v>44200.42916666667</v>
      </c>
      <c r="N374" s="44">
        <v>44067.36041666667</v>
      </c>
    </row>
    <row r="375">
      <c r="A375" s="39" t="s">
        <v>957</v>
      </c>
      <c r="B375" s="39" t="s">
        <v>2080</v>
      </c>
      <c r="C375" s="39" t="s">
        <v>19</v>
      </c>
      <c r="D375" s="39">
        <v>66745.0</v>
      </c>
      <c r="F375" s="39" t="s">
        <v>2081</v>
      </c>
      <c r="G375" s="39" t="s">
        <v>1060</v>
      </c>
      <c r="H375" s="39" t="s">
        <v>1059</v>
      </c>
      <c r="I375" s="39" t="s">
        <v>724</v>
      </c>
      <c r="J375" s="39" t="s">
        <v>872</v>
      </c>
      <c r="K375" s="39" t="s">
        <v>2158</v>
      </c>
      <c r="L375" s="43">
        <v>44200.42916666667</v>
      </c>
      <c r="M375" s="39">
        <v>25200.0</v>
      </c>
      <c r="N375" s="43">
        <v>44168.38888888889</v>
      </c>
    </row>
    <row r="376">
      <c r="A376" s="39" t="s">
        <v>957</v>
      </c>
      <c r="B376" s="39" t="s">
        <v>2706</v>
      </c>
      <c r="C376" s="39" t="s">
        <v>19</v>
      </c>
      <c r="D376" s="39">
        <v>62149.0</v>
      </c>
      <c r="F376" s="39" t="s">
        <v>2707</v>
      </c>
      <c r="G376" s="39" t="s">
        <v>1154</v>
      </c>
      <c r="H376" s="39" t="s">
        <v>1153</v>
      </c>
      <c r="I376" s="39" t="s">
        <v>1154</v>
      </c>
      <c r="J376" s="39" t="s">
        <v>1153</v>
      </c>
      <c r="K376" s="39" t="s">
        <v>2158</v>
      </c>
      <c r="L376" s="43">
        <v>44200.42916666667</v>
      </c>
      <c r="N376" s="44">
        <v>44067.36111111111</v>
      </c>
    </row>
    <row r="377">
      <c r="A377" s="39" t="s">
        <v>957</v>
      </c>
      <c r="B377" s="39" t="s">
        <v>1736</v>
      </c>
      <c r="C377" s="39" t="s">
        <v>19</v>
      </c>
      <c r="D377" s="39">
        <v>64327.0</v>
      </c>
      <c r="F377" s="39" t="s">
        <v>1737</v>
      </c>
      <c r="G377" s="39" t="s">
        <v>724</v>
      </c>
      <c r="H377" s="39" t="s">
        <v>872</v>
      </c>
      <c r="I377" s="39" t="s">
        <v>724</v>
      </c>
      <c r="J377" s="39" t="s">
        <v>872</v>
      </c>
      <c r="K377" s="39" t="s">
        <v>2158</v>
      </c>
      <c r="L377" s="43">
        <v>44200.42916666667</v>
      </c>
      <c r="M377" s="39">
        <v>25200.0</v>
      </c>
      <c r="N377" s="43">
        <v>44110.45416666667</v>
      </c>
    </row>
    <row r="378">
      <c r="A378" s="39" t="s">
        <v>957</v>
      </c>
      <c r="B378" s="39" t="s">
        <v>2708</v>
      </c>
      <c r="C378" s="39" t="s">
        <v>19</v>
      </c>
      <c r="D378" s="39">
        <v>62146.0</v>
      </c>
      <c r="F378" s="39" t="s">
        <v>2709</v>
      </c>
      <c r="G378" s="39" t="s">
        <v>1154</v>
      </c>
      <c r="H378" s="39" t="s">
        <v>1153</v>
      </c>
      <c r="I378" s="39" t="s">
        <v>1154</v>
      </c>
      <c r="J378" s="39" t="s">
        <v>1153</v>
      </c>
      <c r="K378" s="39" t="s">
        <v>2158</v>
      </c>
      <c r="L378" s="43">
        <v>44200.42916666667</v>
      </c>
      <c r="N378" s="44">
        <v>44067.35555555556</v>
      </c>
    </row>
    <row r="379">
      <c r="A379" s="39" t="s">
        <v>957</v>
      </c>
      <c r="B379" s="39" t="s">
        <v>1715</v>
      </c>
      <c r="C379" s="39" t="s">
        <v>19</v>
      </c>
      <c r="D379" s="39">
        <v>64326.0</v>
      </c>
      <c r="F379" s="39" t="s">
        <v>1716</v>
      </c>
      <c r="G379" s="39" t="s">
        <v>724</v>
      </c>
      <c r="H379" s="39" t="s">
        <v>872</v>
      </c>
      <c r="I379" s="39" t="s">
        <v>724</v>
      </c>
      <c r="J379" s="39" t="s">
        <v>872</v>
      </c>
      <c r="K379" s="39" t="s">
        <v>2158</v>
      </c>
      <c r="L379" s="43">
        <v>44200.42916666667</v>
      </c>
      <c r="M379" s="39">
        <v>25200.0</v>
      </c>
      <c r="N379" s="43">
        <v>44110.45347222222</v>
      </c>
    </row>
    <row r="380">
      <c r="A380" s="39" t="s">
        <v>957</v>
      </c>
      <c r="B380" s="39" t="s">
        <v>2083</v>
      </c>
      <c r="C380" s="39" t="s">
        <v>19</v>
      </c>
      <c r="D380" s="39">
        <v>66747.0</v>
      </c>
      <c r="F380" s="39" t="s">
        <v>2084</v>
      </c>
      <c r="G380" s="39" t="s">
        <v>1060</v>
      </c>
      <c r="H380" s="39" t="s">
        <v>1059</v>
      </c>
      <c r="I380" s="39" t="s">
        <v>724</v>
      </c>
      <c r="J380" s="39" t="s">
        <v>872</v>
      </c>
      <c r="K380" s="39" t="s">
        <v>2188</v>
      </c>
      <c r="L380" s="43">
        <v>44200.42916666667</v>
      </c>
      <c r="M380" s="39">
        <v>1800.0</v>
      </c>
      <c r="N380" s="43">
        <v>44168.42152777778</v>
      </c>
    </row>
    <row r="381">
      <c r="A381" s="39" t="s">
        <v>957</v>
      </c>
      <c r="B381" s="39" t="s">
        <v>2710</v>
      </c>
      <c r="C381" s="39" t="s">
        <v>19</v>
      </c>
      <c r="D381" s="39">
        <v>62147.0</v>
      </c>
      <c r="F381" s="39" t="s">
        <v>2711</v>
      </c>
      <c r="G381" s="39" t="s">
        <v>1154</v>
      </c>
      <c r="H381" s="39" t="s">
        <v>1153</v>
      </c>
      <c r="I381" s="39" t="s">
        <v>1154</v>
      </c>
      <c r="J381" s="39" t="s">
        <v>1153</v>
      </c>
      <c r="K381" s="39" t="s">
        <v>2158</v>
      </c>
      <c r="L381" s="43">
        <v>44200.42916666667</v>
      </c>
      <c r="N381" s="44">
        <v>44067.35972222222</v>
      </c>
    </row>
    <row r="382">
      <c r="A382" s="39" t="s">
        <v>957</v>
      </c>
      <c r="B382" s="39" t="s">
        <v>2712</v>
      </c>
      <c r="C382" s="39" t="s">
        <v>19</v>
      </c>
      <c r="D382" s="39">
        <v>62144.0</v>
      </c>
      <c r="F382" s="39" t="s">
        <v>2713</v>
      </c>
      <c r="G382" s="39" t="s">
        <v>1154</v>
      </c>
      <c r="H382" s="39" t="s">
        <v>1153</v>
      </c>
      <c r="I382" s="39" t="s">
        <v>1154</v>
      </c>
      <c r="J382" s="39" t="s">
        <v>1153</v>
      </c>
      <c r="K382" s="39" t="s">
        <v>2158</v>
      </c>
      <c r="L382" s="43">
        <v>44200.42916666667</v>
      </c>
      <c r="N382" s="44">
        <v>44067.34930555556</v>
      </c>
    </row>
    <row r="383">
      <c r="A383" s="39" t="s">
        <v>957</v>
      </c>
      <c r="B383" s="39" t="s">
        <v>2714</v>
      </c>
      <c r="C383" s="39" t="s">
        <v>19</v>
      </c>
      <c r="D383" s="39">
        <v>62145.0</v>
      </c>
      <c r="F383" s="39" t="s">
        <v>2715</v>
      </c>
      <c r="G383" s="39" t="s">
        <v>1154</v>
      </c>
      <c r="H383" s="39" t="s">
        <v>1153</v>
      </c>
      <c r="I383" s="39" t="s">
        <v>1154</v>
      </c>
      <c r="J383" s="39" t="s">
        <v>1153</v>
      </c>
      <c r="K383" s="39" t="s">
        <v>2158</v>
      </c>
      <c r="L383" s="43">
        <v>44200.42916666667</v>
      </c>
      <c r="N383" s="44">
        <v>44067.35277777778</v>
      </c>
    </row>
    <row r="384">
      <c r="A384" s="39" t="s">
        <v>832</v>
      </c>
      <c r="B384" s="39" t="s">
        <v>2716</v>
      </c>
      <c r="C384" s="39" t="s">
        <v>19</v>
      </c>
      <c r="D384" s="39">
        <v>65895.0</v>
      </c>
      <c r="F384" s="39" t="s">
        <v>2717</v>
      </c>
      <c r="I384" s="39" t="s">
        <v>724</v>
      </c>
      <c r="J384" s="39" t="s">
        <v>872</v>
      </c>
      <c r="K384" s="39" t="s">
        <v>2161</v>
      </c>
      <c r="L384" s="43">
        <v>44200.42916666667</v>
      </c>
      <c r="N384" s="44">
        <v>44152.416666666664</v>
      </c>
    </row>
    <row r="385">
      <c r="A385" s="39" t="s">
        <v>957</v>
      </c>
      <c r="B385" s="39" t="s">
        <v>2718</v>
      </c>
      <c r="C385" s="39" t="s">
        <v>19</v>
      </c>
      <c r="D385" s="39">
        <v>65890.0</v>
      </c>
      <c r="F385" s="39" t="s">
        <v>2719</v>
      </c>
      <c r="G385" s="39" t="s">
        <v>1049</v>
      </c>
      <c r="H385" s="39" t="s">
        <v>1048</v>
      </c>
      <c r="I385" s="39" t="s">
        <v>724</v>
      </c>
      <c r="J385" s="39" t="s">
        <v>872</v>
      </c>
      <c r="K385" s="39" t="s">
        <v>2158</v>
      </c>
      <c r="L385" s="43">
        <v>44200.42916666667</v>
      </c>
      <c r="N385" s="44">
        <v>44151.75069444445</v>
      </c>
    </row>
    <row r="386">
      <c r="A386" s="39" t="s">
        <v>957</v>
      </c>
      <c r="B386" s="39" t="s">
        <v>2720</v>
      </c>
      <c r="C386" s="39" t="s">
        <v>19</v>
      </c>
      <c r="D386" s="39">
        <v>56838.0</v>
      </c>
      <c r="F386" s="39" t="s">
        <v>2721</v>
      </c>
      <c r="G386" s="39" t="s">
        <v>724</v>
      </c>
      <c r="H386" s="39" t="s">
        <v>872</v>
      </c>
      <c r="I386" s="39" t="s">
        <v>724</v>
      </c>
      <c r="J386" s="39" t="s">
        <v>872</v>
      </c>
      <c r="K386" s="39" t="s">
        <v>2161</v>
      </c>
      <c r="L386" s="43">
        <v>44200.42916666667</v>
      </c>
      <c r="N386" s="44">
        <v>43916.444444444445</v>
      </c>
    </row>
    <row r="387">
      <c r="A387" s="39" t="s">
        <v>832</v>
      </c>
      <c r="B387" s="39" t="s">
        <v>2722</v>
      </c>
      <c r="C387" s="39" t="s">
        <v>19</v>
      </c>
      <c r="D387" s="39">
        <v>55863.0</v>
      </c>
      <c r="F387" s="39" t="s">
        <v>2723</v>
      </c>
      <c r="I387" s="39" t="s">
        <v>724</v>
      </c>
      <c r="J387" s="39" t="s">
        <v>872</v>
      </c>
      <c r="K387" s="39" t="s">
        <v>2161</v>
      </c>
      <c r="L387" s="43">
        <v>44200.42916666667</v>
      </c>
      <c r="N387" s="43">
        <v>43866.80347222222</v>
      </c>
    </row>
    <row r="388">
      <c r="A388" s="39" t="s">
        <v>832</v>
      </c>
      <c r="B388" s="39" t="s">
        <v>1128</v>
      </c>
      <c r="C388" s="39" t="s">
        <v>19</v>
      </c>
      <c r="D388" s="39">
        <v>55867.0</v>
      </c>
      <c r="F388" s="39" t="s">
        <v>1129</v>
      </c>
      <c r="G388" s="39" t="s">
        <v>1060</v>
      </c>
      <c r="H388" s="39" t="s">
        <v>1059</v>
      </c>
      <c r="I388" s="39" t="s">
        <v>724</v>
      </c>
      <c r="J388" s="39" t="s">
        <v>872</v>
      </c>
      <c r="K388" s="39" t="s">
        <v>2158</v>
      </c>
      <c r="L388" s="43">
        <v>44200.42916666667</v>
      </c>
      <c r="M388" s="39">
        <v>658800.0</v>
      </c>
      <c r="N388" s="43">
        <v>43867.40347222222</v>
      </c>
    </row>
    <row r="389">
      <c r="A389" s="39" t="s">
        <v>72</v>
      </c>
      <c r="B389" s="39" t="s">
        <v>1824</v>
      </c>
      <c r="C389" s="39" t="s">
        <v>19</v>
      </c>
      <c r="D389" s="39">
        <v>56836.0</v>
      </c>
      <c r="F389" s="39" t="s">
        <v>1825</v>
      </c>
      <c r="G389" s="39" t="s">
        <v>724</v>
      </c>
      <c r="H389" s="39" t="s">
        <v>872</v>
      </c>
      <c r="I389" s="39" t="s">
        <v>724</v>
      </c>
      <c r="J389" s="39" t="s">
        <v>872</v>
      </c>
      <c r="K389" s="39" t="s">
        <v>2188</v>
      </c>
      <c r="L389" s="43">
        <v>44200.42916666667</v>
      </c>
      <c r="M389" s="39">
        <v>570600.0</v>
      </c>
      <c r="N389" s="44">
        <v>43916.38055555556</v>
      </c>
    </row>
    <row r="390">
      <c r="A390" s="39" t="s">
        <v>957</v>
      </c>
      <c r="B390" s="39" t="s">
        <v>2724</v>
      </c>
      <c r="C390" s="39" t="s">
        <v>19</v>
      </c>
      <c r="D390" s="39">
        <v>55865.0</v>
      </c>
      <c r="F390" s="39" t="s">
        <v>2725</v>
      </c>
      <c r="G390" s="39" t="s">
        <v>724</v>
      </c>
      <c r="H390" s="39" t="s">
        <v>872</v>
      </c>
      <c r="I390" s="39" t="s">
        <v>724</v>
      </c>
      <c r="J390" s="39" t="s">
        <v>872</v>
      </c>
      <c r="K390" s="39" t="s">
        <v>2158</v>
      </c>
      <c r="L390" s="43">
        <v>44200.42916666667</v>
      </c>
      <c r="N390" s="43">
        <v>43867.379166666666</v>
      </c>
    </row>
    <row r="391">
      <c r="A391" s="39" t="s">
        <v>832</v>
      </c>
      <c r="B391" s="39" t="s">
        <v>2726</v>
      </c>
      <c r="C391" s="39" t="s">
        <v>19</v>
      </c>
      <c r="D391" s="39">
        <v>55866.0</v>
      </c>
      <c r="F391" s="39" t="s">
        <v>2727</v>
      </c>
      <c r="I391" s="39" t="s">
        <v>724</v>
      </c>
      <c r="J391" s="39" t="s">
        <v>872</v>
      </c>
      <c r="K391" s="39" t="s">
        <v>2161</v>
      </c>
      <c r="L391" s="43">
        <v>44200.42916666667</v>
      </c>
      <c r="N391" s="43">
        <v>43867.37986111111</v>
      </c>
    </row>
    <row r="392">
      <c r="A392" s="39" t="s">
        <v>832</v>
      </c>
      <c r="B392" s="39" t="s">
        <v>2728</v>
      </c>
      <c r="C392" s="39" t="s">
        <v>19</v>
      </c>
      <c r="D392" s="39">
        <v>55970.0</v>
      </c>
      <c r="F392" s="39" t="s">
        <v>2729</v>
      </c>
      <c r="I392" s="39" t="s">
        <v>724</v>
      </c>
      <c r="J392" s="39" t="s">
        <v>872</v>
      </c>
      <c r="K392" s="39" t="s">
        <v>2161</v>
      </c>
      <c r="L392" s="43">
        <v>44200.42916666667</v>
      </c>
      <c r="N392" s="44">
        <v>43872.538194444445</v>
      </c>
    </row>
    <row r="393">
      <c r="A393" s="39" t="s">
        <v>957</v>
      </c>
      <c r="B393" s="39" t="s">
        <v>2730</v>
      </c>
      <c r="C393" s="39" t="s">
        <v>19</v>
      </c>
      <c r="D393" s="39">
        <v>64335.0</v>
      </c>
      <c r="F393" s="39" t="s">
        <v>2731</v>
      </c>
      <c r="G393" s="39" t="s">
        <v>1154</v>
      </c>
      <c r="H393" s="39" t="s">
        <v>1153</v>
      </c>
      <c r="I393" s="39" t="s">
        <v>1154</v>
      </c>
      <c r="J393" s="39" t="s">
        <v>1153</v>
      </c>
      <c r="K393" s="39" t="s">
        <v>2161</v>
      </c>
      <c r="L393" s="43">
        <v>44200.42916666667</v>
      </c>
      <c r="N393" s="43">
        <v>44110.586805555555</v>
      </c>
    </row>
    <row r="394">
      <c r="A394" s="39" t="s">
        <v>832</v>
      </c>
      <c r="B394" s="39" t="s">
        <v>1694</v>
      </c>
      <c r="C394" s="39" t="s">
        <v>19</v>
      </c>
      <c r="D394" s="39">
        <v>64338.0</v>
      </c>
      <c r="F394" s="39" t="s">
        <v>1695</v>
      </c>
      <c r="G394" s="39" t="s">
        <v>724</v>
      </c>
      <c r="H394" s="39" t="s">
        <v>872</v>
      </c>
      <c r="I394" s="39" t="s">
        <v>724</v>
      </c>
      <c r="J394" s="39" t="s">
        <v>872</v>
      </c>
      <c r="K394" s="39" t="s">
        <v>2188</v>
      </c>
      <c r="L394" s="43">
        <v>44200.42916666667</v>
      </c>
      <c r="M394" s="39">
        <v>230400.0</v>
      </c>
      <c r="N394" s="43">
        <v>44110.62708333333</v>
      </c>
    </row>
    <row r="395">
      <c r="A395" s="39" t="s">
        <v>957</v>
      </c>
      <c r="B395" s="39" t="s">
        <v>1770</v>
      </c>
      <c r="C395" s="39" t="s">
        <v>19</v>
      </c>
      <c r="D395" s="39">
        <v>64579.0</v>
      </c>
      <c r="F395" s="39" t="s">
        <v>1771</v>
      </c>
      <c r="G395" s="39" t="s">
        <v>724</v>
      </c>
      <c r="H395" s="39" t="s">
        <v>872</v>
      </c>
      <c r="I395" s="39" t="s">
        <v>1049</v>
      </c>
      <c r="J395" s="39" t="s">
        <v>1048</v>
      </c>
      <c r="K395" s="39" t="s">
        <v>2199</v>
      </c>
      <c r="L395" s="43">
        <v>44200.42916666667</v>
      </c>
      <c r="M395" s="39">
        <v>18000.0</v>
      </c>
      <c r="N395" s="43">
        <v>44113.510416666664</v>
      </c>
    </row>
    <row r="396">
      <c r="A396" s="39" t="s">
        <v>957</v>
      </c>
      <c r="B396" s="39" t="s">
        <v>1705</v>
      </c>
      <c r="C396" s="39" t="s">
        <v>19</v>
      </c>
      <c r="D396" s="39">
        <v>64332.0</v>
      </c>
      <c r="F396" s="39" t="s">
        <v>1706</v>
      </c>
      <c r="G396" s="39" t="s">
        <v>724</v>
      </c>
      <c r="H396" s="39" t="s">
        <v>872</v>
      </c>
      <c r="I396" s="39" t="s">
        <v>1154</v>
      </c>
      <c r="J396" s="39" t="s">
        <v>1153</v>
      </c>
      <c r="K396" s="39" t="s">
        <v>2188</v>
      </c>
      <c r="L396" s="43">
        <v>44200.42916666667</v>
      </c>
      <c r="M396" s="39">
        <v>54900.0</v>
      </c>
      <c r="N396" s="43">
        <v>44110.5125</v>
      </c>
    </row>
    <row r="397">
      <c r="A397" s="39" t="s">
        <v>957</v>
      </c>
      <c r="B397" s="39" t="s">
        <v>2732</v>
      </c>
      <c r="C397" s="39" t="s">
        <v>19</v>
      </c>
      <c r="D397" s="39">
        <v>62155.0</v>
      </c>
      <c r="F397" s="39" t="s">
        <v>2733</v>
      </c>
      <c r="G397" s="39" t="s">
        <v>1154</v>
      </c>
      <c r="H397" s="39" t="s">
        <v>1153</v>
      </c>
      <c r="I397" s="39" t="s">
        <v>1154</v>
      </c>
      <c r="J397" s="39" t="s">
        <v>1153</v>
      </c>
      <c r="K397" s="39" t="s">
        <v>2158</v>
      </c>
      <c r="L397" s="43">
        <v>44200.42916666667</v>
      </c>
      <c r="N397" s="44">
        <v>44067.37430555555</v>
      </c>
    </row>
    <row r="398">
      <c r="A398" s="39" t="s">
        <v>957</v>
      </c>
      <c r="B398" s="39" t="s">
        <v>1708</v>
      </c>
      <c r="C398" s="39" t="s">
        <v>19</v>
      </c>
      <c r="D398" s="39">
        <v>64331.0</v>
      </c>
      <c r="F398" s="39" t="s">
        <v>1709</v>
      </c>
      <c r="G398" s="39" t="s">
        <v>724</v>
      </c>
      <c r="H398" s="39" t="s">
        <v>872</v>
      </c>
      <c r="I398" s="39" t="s">
        <v>1154</v>
      </c>
      <c r="J398" s="39" t="s">
        <v>1153</v>
      </c>
      <c r="K398" s="39" t="s">
        <v>2188</v>
      </c>
      <c r="L398" s="43">
        <v>44200.42916666667</v>
      </c>
      <c r="M398" s="39">
        <v>39600.0</v>
      </c>
      <c r="N398" s="43">
        <v>44110.5125</v>
      </c>
    </row>
    <row r="399">
      <c r="A399" s="39" t="s">
        <v>832</v>
      </c>
      <c r="B399" s="39" t="s">
        <v>2734</v>
      </c>
      <c r="C399" s="39" t="s">
        <v>19</v>
      </c>
      <c r="D399" s="39">
        <v>66873.0</v>
      </c>
      <c r="F399" s="39" t="s">
        <v>2735</v>
      </c>
      <c r="G399" s="39" t="s">
        <v>1049</v>
      </c>
      <c r="H399" s="39" t="s">
        <v>1048</v>
      </c>
      <c r="I399" s="39" t="s">
        <v>724</v>
      </c>
      <c r="J399" s="39" t="s">
        <v>872</v>
      </c>
      <c r="K399" s="39" t="s">
        <v>2188</v>
      </c>
      <c r="L399" s="43">
        <v>44200.42916666667</v>
      </c>
      <c r="N399" s="44">
        <v>44175.45972222222</v>
      </c>
    </row>
    <row r="400">
      <c r="A400" s="39" t="s">
        <v>957</v>
      </c>
      <c r="B400" s="39" t="s">
        <v>2736</v>
      </c>
      <c r="C400" s="39" t="s">
        <v>19</v>
      </c>
      <c r="D400" s="39">
        <v>62153.0</v>
      </c>
      <c r="F400" s="39" t="s">
        <v>2737</v>
      </c>
      <c r="G400" s="39" t="s">
        <v>1154</v>
      </c>
      <c r="H400" s="39" t="s">
        <v>1153</v>
      </c>
      <c r="I400" s="39" t="s">
        <v>1154</v>
      </c>
      <c r="J400" s="39" t="s">
        <v>1153</v>
      </c>
      <c r="K400" s="39" t="s">
        <v>2158</v>
      </c>
      <c r="L400" s="43">
        <v>44200.42916666667</v>
      </c>
      <c r="N400" s="44">
        <v>44067.36875</v>
      </c>
    </row>
    <row r="401">
      <c r="A401" s="39" t="s">
        <v>957</v>
      </c>
      <c r="B401" s="39" t="s">
        <v>2738</v>
      </c>
      <c r="C401" s="39" t="s">
        <v>19</v>
      </c>
      <c r="D401" s="39">
        <v>62154.0</v>
      </c>
      <c r="F401" s="39" t="s">
        <v>2739</v>
      </c>
      <c r="G401" s="39" t="s">
        <v>1154</v>
      </c>
      <c r="H401" s="39" t="s">
        <v>1153</v>
      </c>
      <c r="I401" s="39" t="s">
        <v>1154</v>
      </c>
      <c r="J401" s="39" t="s">
        <v>1153</v>
      </c>
      <c r="K401" s="39" t="s">
        <v>2158</v>
      </c>
      <c r="L401" s="43">
        <v>44200.42916666667</v>
      </c>
      <c r="N401" s="44">
        <v>44067.36944444444</v>
      </c>
    </row>
    <row r="402">
      <c r="A402" s="39" t="s">
        <v>957</v>
      </c>
      <c r="B402" s="39" t="s">
        <v>2740</v>
      </c>
      <c r="C402" s="39" t="s">
        <v>19</v>
      </c>
      <c r="D402" s="39">
        <v>64333.0</v>
      </c>
      <c r="F402" s="39" t="s">
        <v>2741</v>
      </c>
      <c r="G402" s="39" t="s">
        <v>724</v>
      </c>
      <c r="H402" s="39" t="s">
        <v>872</v>
      </c>
      <c r="I402" s="39" t="s">
        <v>724</v>
      </c>
      <c r="J402" s="39" t="s">
        <v>872</v>
      </c>
      <c r="K402" s="39" t="s">
        <v>2158</v>
      </c>
      <c r="L402" s="43">
        <v>44200.42916666667</v>
      </c>
      <c r="N402" s="43">
        <v>44110.518055555556</v>
      </c>
    </row>
    <row r="403">
      <c r="A403" s="39" t="s">
        <v>957</v>
      </c>
      <c r="B403" s="39" t="s">
        <v>1477</v>
      </c>
      <c r="C403" s="39" t="s">
        <v>19</v>
      </c>
      <c r="D403" s="39">
        <v>62151.0</v>
      </c>
      <c r="F403" s="39" t="s">
        <v>1478</v>
      </c>
      <c r="G403" s="39" t="s">
        <v>724</v>
      </c>
      <c r="H403" s="39" t="s">
        <v>872</v>
      </c>
      <c r="I403" s="39" t="s">
        <v>1154</v>
      </c>
      <c r="J403" s="39" t="s">
        <v>1153</v>
      </c>
      <c r="K403" s="39" t="s">
        <v>2158</v>
      </c>
      <c r="L403" s="43">
        <v>44200.42916666667</v>
      </c>
      <c r="M403" s="39">
        <v>54000.0</v>
      </c>
      <c r="N403" s="44">
        <v>44067.36388888889</v>
      </c>
    </row>
    <row r="404">
      <c r="A404" s="39" t="s">
        <v>957</v>
      </c>
      <c r="B404" s="39" t="s">
        <v>2742</v>
      </c>
      <c r="C404" s="39" t="s">
        <v>19</v>
      </c>
      <c r="D404" s="39">
        <v>62152.0</v>
      </c>
      <c r="F404" s="39" t="s">
        <v>2743</v>
      </c>
      <c r="G404" s="39" t="s">
        <v>1060</v>
      </c>
      <c r="H404" s="39" t="s">
        <v>1059</v>
      </c>
      <c r="I404" s="39" t="s">
        <v>1154</v>
      </c>
      <c r="J404" s="39" t="s">
        <v>1153</v>
      </c>
      <c r="K404" s="39" t="s">
        <v>2158</v>
      </c>
      <c r="L404" s="43">
        <v>44200.42916666667</v>
      </c>
      <c r="N404" s="44">
        <v>44067.36597222222</v>
      </c>
    </row>
    <row r="405">
      <c r="A405" s="39" t="s">
        <v>832</v>
      </c>
      <c r="B405" s="39" t="s">
        <v>2744</v>
      </c>
      <c r="C405" s="39" t="s">
        <v>19</v>
      </c>
      <c r="D405" s="39">
        <v>55979.0</v>
      </c>
      <c r="F405" s="39" t="s">
        <v>2745</v>
      </c>
      <c r="I405" s="39" t="s">
        <v>724</v>
      </c>
      <c r="J405" s="39" t="s">
        <v>872</v>
      </c>
      <c r="K405" s="39" t="s">
        <v>2161</v>
      </c>
      <c r="L405" s="43">
        <v>44200.42916666667</v>
      </c>
      <c r="N405" s="44">
        <v>43874.41388888889</v>
      </c>
    </row>
    <row r="406">
      <c r="A406" s="39" t="s">
        <v>957</v>
      </c>
      <c r="B406" s="39" t="s">
        <v>1711</v>
      </c>
      <c r="C406" s="39" t="s">
        <v>19</v>
      </c>
      <c r="D406" s="39">
        <v>64330.0</v>
      </c>
      <c r="F406" s="39" t="s">
        <v>1712</v>
      </c>
      <c r="G406" s="39" t="s">
        <v>724</v>
      </c>
      <c r="H406" s="39" t="s">
        <v>872</v>
      </c>
      <c r="I406" s="39" t="s">
        <v>1154</v>
      </c>
      <c r="J406" s="39" t="s">
        <v>1153</v>
      </c>
      <c r="K406" s="39" t="s">
        <v>2199</v>
      </c>
      <c r="L406" s="43">
        <v>44200.42916666667</v>
      </c>
      <c r="M406" s="39">
        <v>46800.0</v>
      </c>
      <c r="N406" s="43">
        <v>44110.5125</v>
      </c>
    </row>
    <row r="407">
      <c r="A407" s="39" t="s">
        <v>957</v>
      </c>
      <c r="B407" s="39" t="s">
        <v>2746</v>
      </c>
      <c r="C407" s="39" t="s">
        <v>19</v>
      </c>
      <c r="D407" s="39">
        <v>62150.0</v>
      </c>
      <c r="F407" s="39" t="s">
        <v>2747</v>
      </c>
      <c r="G407" s="39" t="s">
        <v>1154</v>
      </c>
      <c r="H407" s="39" t="s">
        <v>1153</v>
      </c>
      <c r="I407" s="39" t="s">
        <v>1154</v>
      </c>
      <c r="J407" s="39" t="s">
        <v>1153</v>
      </c>
      <c r="K407" s="39" t="s">
        <v>2158</v>
      </c>
      <c r="L407" s="43">
        <v>44200.42916666667</v>
      </c>
      <c r="N407" s="44">
        <v>44067.3625</v>
      </c>
    </row>
    <row r="408">
      <c r="A408" s="39" t="s">
        <v>957</v>
      </c>
      <c r="B408" s="39" t="s">
        <v>2748</v>
      </c>
      <c r="C408" s="39" t="s">
        <v>19</v>
      </c>
      <c r="D408" s="39">
        <v>66750.0</v>
      </c>
      <c r="F408" s="39" t="s">
        <v>2749</v>
      </c>
      <c r="G408" s="39" t="s">
        <v>724</v>
      </c>
      <c r="H408" s="39" t="s">
        <v>872</v>
      </c>
      <c r="I408" s="39" t="s">
        <v>724</v>
      </c>
      <c r="J408" s="39" t="s">
        <v>872</v>
      </c>
      <c r="K408" s="39" t="s">
        <v>2161</v>
      </c>
      <c r="L408" s="43">
        <v>44200.42916666667</v>
      </c>
      <c r="N408" s="43">
        <v>44168.47222222222</v>
      </c>
    </row>
    <row r="409">
      <c r="A409" s="39" t="s">
        <v>832</v>
      </c>
      <c r="B409" s="39" t="s">
        <v>1405</v>
      </c>
      <c r="C409" s="39" t="s">
        <v>19</v>
      </c>
      <c r="D409" s="39">
        <v>55973.0</v>
      </c>
      <c r="F409" s="39" t="s">
        <v>1406</v>
      </c>
      <c r="G409" s="39" t="s">
        <v>724</v>
      </c>
      <c r="H409" s="39" t="s">
        <v>872</v>
      </c>
      <c r="I409" s="39" t="s">
        <v>724</v>
      </c>
      <c r="J409" s="39" t="s">
        <v>872</v>
      </c>
      <c r="K409" s="39" t="s">
        <v>2188</v>
      </c>
      <c r="L409" s="43">
        <v>44200.42916666667</v>
      </c>
      <c r="M409" s="39">
        <v>155700.0</v>
      </c>
      <c r="N409" s="44">
        <v>43872.540972222225</v>
      </c>
    </row>
    <row r="410">
      <c r="A410" s="39" t="s">
        <v>832</v>
      </c>
      <c r="B410" s="39" t="s">
        <v>2750</v>
      </c>
      <c r="C410" s="39" t="s">
        <v>19</v>
      </c>
      <c r="D410" s="39">
        <v>55971.0</v>
      </c>
      <c r="F410" s="39" t="s">
        <v>2751</v>
      </c>
      <c r="I410" s="39" t="s">
        <v>724</v>
      </c>
      <c r="J410" s="39" t="s">
        <v>872</v>
      </c>
      <c r="K410" s="39" t="s">
        <v>2161</v>
      </c>
      <c r="L410" s="43">
        <v>44200.42916666667</v>
      </c>
      <c r="N410" s="44">
        <v>43872.53888888889</v>
      </c>
    </row>
    <row r="411">
      <c r="A411" s="39" t="s">
        <v>832</v>
      </c>
      <c r="B411" s="39" t="s">
        <v>2752</v>
      </c>
      <c r="C411" s="39" t="s">
        <v>19</v>
      </c>
      <c r="D411" s="39">
        <v>55881.0</v>
      </c>
      <c r="F411" s="39" t="s">
        <v>2753</v>
      </c>
      <c r="I411" s="39" t="s">
        <v>724</v>
      </c>
      <c r="J411" s="39" t="s">
        <v>872</v>
      </c>
      <c r="K411" s="39" t="s">
        <v>2161</v>
      </c>
      <c r="L411" s="43">
        <v>44200.42916666667</v>
      </c>
      <c r="N411" s="43">
        <v>43868.42916666667</v>
      </c>
    </row>
    <row r="412">
      <c r="A412" s="39" t="s">
        <v>832</v>
      </c>
      <c r="B412" s="39" t="s">
        <v>2754</v>
      </c>
      <c r="C412" s="39" t="s">
        <v>19</v>
      </c>
      <c r="D412" s="39">
        <v>55640.0</v>
      </c>
      <c r="F412" s="39" t="s">
        <v>2755</v>
      </c>
      <c r="I412" s="39" t="s">
        <v>724</v>
      </c>
      <c r="J412" s="39" t="s">
        <v>872</v>
      </c>
      <c r="K412" s="39" t="s">
        <v>2161</v>
      </c>
      <c r="L412" s="43">
        <v>44200.42916666667</v>
      </c>
      <c r="N412" s="44">
        <v>43857.459027777775</v>
      </c>
    </row>
    <row r="413">
      <c r="A413" s="39" t="s">
        <v>832</v>
      </c>
      <c r="B413" s="39" t="s">
        <v>2756</v>
      </c>
      <c r="C413" s="39" t="s">
        <v>19</v>
      </c>
      <c r="D413" s="39">
        <v>55882.0</v>
      </c>
      <c r="F413" s="39" t="s">
        <v>2757</v>
      </c>
      <c r="G413" s="39" t="s">
        <v>1060</v>
      </c>
      <c r="H413" s="39" t="s">
        <v>1059</v>
      </c>
      <c r="I413" s="39" t="s">
        <v>724</v>
      </c>
      <c r="J413" s="39" t="s">
        <v>872</v>
      </c>
      <c r="K413" s="39" t="s">
        <v>2158</v>
      </c>
      <c r="L413" s="43">
        <v>44200.42916666667</v>
      </c>
      <c r="N413" s="43">
        <v>43868.42986111111</v>
      </c>
    </row>
    <row r="414">
      <c r="A414" s="39" t="s">
        <v>957</v>
      </c>
      <c r="B414" s="39" t="s">
        <v>2758</v>
      </c>
      <c r="C414" s="39" t="s">
        <v>19</v>
      </c>
      <c r="D414" s="39">
        <v>66766.0</v>
      </c>
      <c r="F414" s="39" t="s">
        <v>2759</v>
      </c>
      <c r="G414" s="39" t="s">
        <v>724</v>
      </c>
      <c r="H414" s="39" t="s">
        <v>872</v>
      </c>
      <c r="I414" s="39" t="s">
        <v>724</v>
      </c>
      <c r="J414" s="39" t="s">
        <v>872</v>
      </c>
      <c r="K414" s="39" t="s">
        <v>2161</v>
      </c>
      <c r="L414" s="43">
        <v>44200.42916666667</v>
      </c>
      <c r="N414" s="43">
        <v>44168.49652777778</v>
      </c>
    </row>
    <row r="415">
      <c r="A415" s="39" t="s">
        <v>957</v>
      </c>
      <c r="B415" s="39" t="s">
        <v>2760</v>
      </c>
      <c r="C415" s="39" t="s">
        <v>19</v>
      </c>
      <c r="D415" s="39">
        <v>66888.0</v>
      </c>
      <c r="F415" s="39" t="s">
        <v>2761</v>
      </c>
      <c r="G415" s="39" t="s">
        <v>1060</v>
      </c>
      <c r="H415" s="39" t="s">
        <v>1059</v>
      </c>
      <c r="I415" s="39" t="s">
        <v>724</v>
      </c>
      <c r="J415" s="39" t="s">
        <v>872</v>
      </c>
      <c r="K415" s="39" t="s">
        <v>2188</v>
      </c>
      <c r="L415" s="43">
        <v>44200.42916666667</v>
      </c>
      <c r="N415" s="44">
        <v>44176.447222222225</v>
      </c>
    </row>
    <row r="416">
      <c r="A416" s="39" t="s">
        <v>832</v>
      </c>
      <c r="B416" s="39" t="s">
        <v>2762</v>
      </c>
      <c r="C416" s="39" t="s">
        <v>19</v>
      </c>
      <c r="D416" s="39">
        <v>66642.0</v>
      </c>
      <c r="F416" s="39" t="s">
        <v>2763</v>
      </c>
      <c r="I416" s="39" t="s">
        <v>724</v>
      </c>
      <c r="J416" s="39" t="s">
        <v>872</v>
      </c>
      <c r="K416" s="39" t="s">
        <v>2161</v>
      </c>
      <c r="L416" s="43">
        <v>44200.42916666667</v>
      </c>
      <c r="N416" s="44">
        <v>44165.73263888889</v>
      </c>
    </row>
    <row r="417">
      <c r="A417" s="39" t="s">
        <v>1746</v>
      </c>
      <c r="B417" s="39" t="s">
        <v>1744</v>
      </c>
      <c r="C417" s="39" t="s">
        <v>19</v>
      </c>
      <c r="D417" s="39">
        <v>64580.0</v>
      </c>
      <c r="F417" s="39" t="s">
        <v>1745</v>
      </c>
      <c r="I417" s="39" t="s">
        <v>724</v>
      </c>
      <c r="J417" s="39" t="s">
        <v>872</v>
      </c>
      <c r="K417" s="39" t="s">
        <v>2158</v>
      </c>
      <c r="L417" s="43">
        <v>44200.42916666667</v>
      </c>
      <c r="M417" s="39">
        <v>7200.0</v>
      </c>
      <c r="N417" s="43">
        <v>44113.68263888889</v>
      </c>
    </row>
    <row r="418">
      <c r="A418" s="39" t="s">
        <v>957</v>
      </c>
      <c r="B418" s="39" t="s">
        <v>2764</v>
      </c>
      <c r="C418" s="39" t="s">
        <v>19</v>
      </c>
      <c r="D418" s="39">
        <v>62281.0</v>
      </c>
      <c r="F418" s="39" t="s">
        <v>2765</v>
      </c>
      <c r="G418" s="39" t="s">
        <v>1154</v>
      </c>
      <c r="H418" s="39" t="s">
        <v>1153</v>
      </c>
      <c r="I418" s="39" t="s">
        <v>1154</v>
      </c>
      <c r="J418" s="39" t="s">
        <v>1153</v>
      </c>
      <c r="K418" s="39" t="s">
        <v>2158</v>
      </c>
      <c r="L418" s="43">
        <v>44200.42916666667</v>
      </c>
      <c r="N418" s="44">
        <v>44068.81875</v>
      </c>
    </row>
    <row r="419">
      <c r="A419" s="39" t="s">
        <v>957</v>
      </c>
      <c r="B419" s="39" t="s">
        <v>2766</v>
      </c>
      <c r="C419" s="39" t="s">
        <v>19</v>
      </c>
      <c r="D419" s="39">
        <v>65793.0</v>
      </c>
      <c r="F419" s="39" t="s">
        <v>2767</v>
      </c>
      <c r="G419" s="39" t="s">
        <v>1060</v>
      </c>
      <c r="H419" s="39" t="s">
        <v>1059</v>
      </c>
      <c r="I419" s="39" t="s">
        <v>724</v>
      </c>
      <c r="J419" s="39" t="s">
        <v>872</v>
      </c>
      <c r="K419" s="39" t="s">
        <v>2158</v>
      </c>
      <c r="L419" s="43">
        <v>44200.42916666667</v>
      </c>
      <c r="N419" s="43">
        <v>44144.76527777778</v>
      </c>
    </row>
    <row r="420">
      <c r="A420" s="39" t="s">
        <v>957</v>
      </c>
      <c r="B420" s="39" t="s">
        <v>1701</v>
      </c>
      <c r="C420" s="39" t="s">
        <v>19</v>
      </c>
      <c r="D420" s="39">
        <v>64340.0</v>
      </c>
      <c r="F420" s="39" t="s">
        <v>1702</v>
      </c>
      <c r="G420" s="39" t="s">
        <v>724</v>
      </c>
      <c r="H420" s="39" t="s">
        <v>872</v>
      </c>
      <c r="I420" s="39" t="s">
        <v>724</v>
      </c>
      <c r="J420" s="39" t="s">
        <v>872</v>
      </c>
      <c r="K420" s="39" t="s">
        <v>2158</v>
      </c>
      <c r="L420" s="43">
        <v>44200.42916666667</v>
      </c>
      <c r="M420" s="39">
        <v>1800.0</v>
      </c>
      <c r="N420" s="43">
        <v>44110.63888888889</v>
      </c>
    </row>
    <row r="421">
      <c r="A421" s="39" t="s">
        <v>832</v>
      </c>
      <c r="B421" s="39" t="s">
        <v>2768</v>
      </c>
      <c r="C421" s="39" t="s">
        <v>19</v>
      </c>
      <c r="D421" s="39">
        <v>55885.0</v>
      </c>
      <c r="F421" s="39" t="s">
        <v>2769</v>
      </c>
      <c r="I421" s="39" t="s">
        <v>724</v>
      </c>
      <c r="J421" s="39" t="s">
        <v>872</v>
      </c>
      <c r="K421" s="39" t="s">
        <v>2161</v>
      </c>
      <c r="L421" s="43">
        <v>44200.42916666667</v>
      </c>
      <c r="N421" s="43">
        <v>43868.43194444444</v>
      </c>
    </row>
    <row r="422">
      <c r="A422" s="39" t="s">
        <v>832</v>
      </c>
      <c r="B422" s="39" t="s">
        <v>2770</v>
      </c>
      <c r="C422" s="39" t="s">
        <v>19</v>
      </c>
      <c r="D422" s="39">
        <v>55886.0</v>
      </c>
      <c r="F422" s="39" t="s">
        <v>2771</v>
      </c>
      <c r="I422" s="39" t="s">
        <v>724</v>
      </c>
      <c r="J422" s="39" t="s">
        <v>872</v>
      </c>
      <c r="K422" s="39" t="s">
        <v>2161</v>
      </c>
      <c r="L422" s="43">
        <v>44200.42847222222</v>
      </c>
      <c r="N422" s="43">
        <v>43868.43402777778</v>
      </c>
    </row>
    <row r="423">
      <c r="A423" s="39" t="s">
        <v>832</v>
      </c>
      <c r="B423" s="39" t="s">
        <v>2772</v>
      </c>
      <c r="C423" s="39" t="s">
        <v>19</v>
      </c>
      <c r="D423" s="39">
        <v>55883.0</v>
      </c>
      <c r="F423" s="39" t="s">
        <v>2773</v>
      </c>
      <c r="I423" s="39" t="s">
        <v>724</v>
      </c>
      <c r="J423" s="39" t="s">
        <v>872</v>
      </c>
      <c r="K423" s="39" t="s">
        <v>2161</v>
      </c>
      <c r="L423" s="43">
        <v>44200.42847222222</v>
      </c>
      <c r="N423" s="43">
        <v>43868.430555555555</v>
      </c>
    </row>
    <row r="424">
      <c r="A424" s="39" t="s">
        <v>832</v>
      </c>
      <c r="B424" s="39" t="s">
        <v>2774</v>
      </c>
      <c r="C424" s="39" t="s">
        <v>19</v>
      </c>
      <c r="D424" s="39">
        <v>55884.0</v>
      </c>
      <c r="F424" s="39" t="s">
        <v>2775</v>
      </c>
      <c r="G424" s="39" t="s">
        <v>724</v>
      </c>
      <c r="H424" s="39" t="s">
        <v>872</v>
      </c>
      <c r="I424" s="39" t="s">
        <v>724</v>
      </c>
      <c r="J424" s="39" t="s">
        <v>872</v>
      </c>
      <c r="K424" s="39" t="s">
        <v>2161</v>
      </c>
      <c r="L424" s="43">
        <v>44200.42847222222</v>
      </c>
      <c r="N424" s="43">
        <v>43868.43125</v>
      </c>
    </row>
    <row r="425">
      <c r="A425" s="39" t="s">
        <v>832</v>
      </c>
      <c r="B425" s="39" t="s">
        <v>2776</v>
      </c>
      <c r="C425" s="39" t="s">
        <v>19</v>
      </c>
      <c r="D425" s="39">
        <v>55642.0</v>
      </c>
      <c r="F425" s="39" t="s">
        <v>2777</v>
      </c>
      <c r="I425" s="39" t="s">
        <v>724</v>
      </c>
      <c r="J425" s="39" t="s">
        <v>872</v>
      </c>
      <c r="K425" s="39" t="s">
        <v>2161</v>
      </c>
      <c r="L425" s="43">
        <v>44200.42847222222</v>
      </c>
      <c r="N425" s="44">
        <v>43857.46388888889</v>
      </c>
    </row>
    <row r="426">
      <c r="A426" s="39" t="s">
        <v>832</v>
      </c>
      <c r="B426" s="39" t="s">
        <v>2778</v>
      </c>
      <c r="C426" s="39" t="s">
        <v>19</v>
      </c>
      <c r="D426" s="39">
        <v>56858.0</v>
      </c>
      <c r="F426" s="39" t="s">
        <v>2779</v>
      </c>
      <c r="G426" s="39" t="s">
        <v>2197</v>
      </c>
      <c r="H426" s="39" t="s">
        <v>2198</v>
      </c>
      <c r="I426" s="39" t="s">
        <v>724</v>
      </c>
      <c r="J426" s="39" t="s">
        <v>872</v>
      </c>
      <c r="K426" s="39" t="s">
        <v>2158</v>
      </c>
      <c r="L426" s="43">
        <v>44200.42847222222</v>
      </c>
      <c r="N426" s="44">
        <v>43916.881944444445</v>
      </c>
    </row>
    <row r="427">
      <c r="A427" s="39" t="s">
        <v>832</v>
      </c>
      <c r="B427" s="39" t="s">
        <v>2780</v>
      </c>
      <c r="C427" s="39" t="s">
        <v>19</v>
      </c>
      <c r="D427" s="39">
        <v>55887.0</v>
      </c>
      <c r="F427" s="39" t="s">
        <v>2781</v>
      </c>
      <c r="I427" s="39" t="s">
        <v>724</v>
      </c>
      <c r="J427" s="39" t="s">
        <v>872</v>
      </c>
      <c r="K427" s="39" t="s">
        <v>2161</v>
      </c>
      <c r="L427" s="43">
        <v>44200.42847222222</v>
      </c>
      <c r="N427" s="43">
        <v>43868.43402777778</v>
      </c>
    </row>
    <row r="428">
      <c r="A428" s="39" t="s">
        <v>957</v>
      </c>
      <c r="B428" s="39" t="s">
        <v>1845</v>
      </c>
      <c r="C428" s="39" t="s">
        <v>19</v>
      </c>
      <c r="D428" s="39">
        <v>65204.0</v>
      </c>
      <c r="F428" s="39" t="s">
        <v>1846</v>
      </c>
      <c r="G428" s="39" t="s">
        <v>724</v>
      </c>
      <c r="H428" s="39" t="s">
        <v>872</v>
      </c>
      <c r="I428" s="39" t="s">
        <v>724</v>
      </c>
      <c r="J428" s="39" t="s">
        <v>872</v>
      </c>
      <c r="K428" s="39" t="s">
        <v>2199</v>
      </c>
      <c r="L428" s="43">
        <v>44200.42847222222</v>
      </c>
      <c r="M428" s="39">
        <v>167400.0</v>
      </c>
      <c r="N428" s="44">
        <v>44131.51736111111</v>
      </c>
    </row>
    <row r="429">
      <c r="A429" s="39" t="s">
        <v>957</v>
      </c>
      <c r="B429" s="39" t="s">
        <v>2782</v>
      </c>
      <c r="C429" s="39" t="s">
        <v>19</v>
      </c>
      <c r="D429" s="39">
        <v>64357.0</v>
      </c>
      <c r="F429" s="39" t="s">
        <v>2783</v>
      </c>
      <c r="G429" s="39" t="s">
        <v>724</v>
      </c>
      <c r="H429" s="39" t="s">
        <v>872</v>
      </c>
      <c r="I429" s="39" t="s">
        <v>724</v>
      </c>
      <c r="J429" s="39" t="s">
        <v>872</v>
      </c>
      <c r="K429" s="39" t="s">
        <v>2158</v>
      </c>
      <c r="L429" s="43">
        <v>44200.42847222222</v>
      </c>
      <c r="N429" s="43">
        <v>44111.45416666667</v>
      </c>
    </row>
    <row r="430">
      <c r="A430" s="39" t="s">
        <v>957</v>
      </c>
      <c r="B430" s="39" t="s">
        <v>2784</v>
      </c>
      <c r="C430" s="39" t="s">
        <v>19</v>
      </c>
      <c r="D430" s="39">
        <v>66657.0</v>
      </c>
      <c r="F430" s="39" t="s">
        <v>2785</v>
      </c>
      <c r="G430" s="39" t="s">
        <v>1049</v>
      </c>
      <c r="H430" s="39" t="s">
        <v>1048</v>
      </c>
      <c r="I430" s="39" t="s">
        <v>724</v>
      </c>
      <c r="J430" s="39" t="s">
        <v>872</v>
      </c>
      <c r="K430" s="39" t="s">
        <v>2161</v>
      </c>
      <c r="L430" s="43">
        <v>44200.42847222222</v>
      </c>
      <c r="N430" s="43">
        <v>44166.379166666666</v>
      </c>
    </row>
    <row r="431">
      <c r="A431" s="39" t="s">
        <v>957</v>
      </c>
      <c r="B431" s="39" t="s">
        <v>2101</v>
      </c>
      <c r="C431" s="39" t="s">
        <v>19</v>
      </c>
      <c r="D431" s="39">
        <v>66658.0</v>
      </c>
      <c r="F431" s="39" t="s">
        <v>2102</v>
      </c>
      <c r="G431" s="39" t="s">
        <v>1049</v>
      </c>
      <c r="H431" s="39" t="s">
        <v>1048</v>
      </c>
      <c r="I431" s="39" t="s">
        <v>724</v>
      </c>
      <c r="J431" s="39" t="s">
        <v>872</v>
      </c>
      <c r="K431" s="39" t="s">
        <v>2188</v>
      </c>
      <c r="L431" s="43">
        <v>44200.42847222222</v>
      </c>
      <c r="M431" s="39">
        <v>18000.0</v>
      </c>
      <c r="N431" s="43">
        <v>44166.379166666666</v>
      </c>
    </row>
    <row r="432">
      <c r="A432" s="39" t="s">
        <v>957</v>
      </c>
      <c r="B432" s="39" t="s">
        <v>2105</v>
      </c>
      <c r="C432" s="39" t="s">
        <v>19</v>
      </c>
      <c r="D432" s="39">
        <v>66659.0</v>
      </c>
      <c r="F432" s="39" t="s">
        <v>2106</v>
      </c>
      <c r="G432" s="39" t="s">
        <v>2197</v>
      </c>
      <c r="H432" s="39" t="s">
        <v>2198</v>
      </c>
      <c r="I432" s="39" t="s">
        <v>724</v>
      </c>
      <c r="J432" s="39" t="s">
        <v>872</v>
      </c>
      <c r="K432" s="39" t="s">
        <v>2188</v>
      </c>
      <c r="L432" s="43">
        <v>44200.42847222222</v>
      </c>
      <c r="M432" s="39">
        <v>41400.0</v>
      </c>
      <c r="N432" s="43">
        <v>44166.379166666666</v>
      </c>
    </row>
    <row r="433">
      <c r="A433" s="39" t="s">
        <v>957</v>
      </c>
      <c r="B433" s="39" t="s">
        <v>2786</v>
      </c>
      <c r="C433" s="39" t="s">
        <v>19</v>
      </c>
      <c r="D433" s="39">
        <v>64359.0</v>
      </c>
      <c r="F433" s="39" t="s">
        <v>2787</v>
      </c>
      <c r="I433" s="39" t="s">
        <v>724</v>
      </c>
      <c r="J433" s="39" t="s">
        <v>872</v>
      </c>
      <c r="K433" s="39" t="s">
        <v>2161</v>
      </c>
      <c r="L433" s="43">
        <v>44200.42847222222</v>
      </c>
      <c r="N433" s="43">
        <v>44111.49791666667</v>
      </c>
    </row>
    <row r="434">
      <c r="A434" s="39" t="s">
        <v>957</v>
      </c>
      <c r="B434" s="39" t="s">
        <v>2788</v>
      </c>
      <c r="C434" s="39" t="s">
        <v>19</v>
      </c>
      <c r="D434" s="39">
        <v>64354.0</v>
      </c>
      <c r="F434" s="39" t="s">
        <v>2789</v>
      </c>
      <c r="G434" s="39" t="s">
        <v>724</v>
      </c>
      <c r="H434" s="39" t="s">
        <v>872</v>
      </c>
      <c r="I434" s="39" t="s">
        <v>724</v>
      </c>
      <c r="J434" s="39" t="s">
        <v>872</v>
      </c>
      <c r="K434" s="39" t="s">
        <v>2158</v>
      </c>
      <c r="L434" s="43">
        <v>44200.42847222222</v>
      </c>
      <c r="N434" s="43">
        <v>44111.44583333333</v>
      </c>
    </row>
    <row r="435">
      <c r="A435" s="39" t="s">
        <v>957</v>
      </c>
      <c r="B435" s="39" t="s">
        <v>2790</v>
      </c>
      <c r="C435" s="39" t="s">
        <v>19</v>
      </c>
      <c r="D435" s="39">
        <v>65200.0</v>
      </c>
      <c r="F435" s="39" t="s">
        <v>2791</v>
      </c>
      <c r="G435" s="39" t="s">
        <v>724</v>
      </c>
      <c r="H435" s="39" t="s">
        <v>872</v>
      </c>
      <c r="I435" s="39" t="s">
        <v>724</v>
      </c>
      <c r="J435" s="39" t="s">
        <v>872</v>
      </c>
      <c r="K435" s="39" t="s">
        <v>2158</v>
      </c>
      <c r="L435" s="43">
        <v>44200.42847222222</v>
      </c>
      <c r="N435" s="44">
        <v>44131.455555555556</v>
      </c>
    </row>
    <row r="436">
      <c r="A436" s="39" t="s">
        <v>957</v>
      </c>
      <c r="B436" s="39" t="s">
        <v>2792</v>
      </c>
      <c r="C436" s="39" t="s">
        <v>19</v>
      </c>
      <c r="D436" s="39">
        <v>65201.0</v>
      </c>
      <c r="F436" s="39" t="s">
        <v>2793</v>
      </c>
      <c r="G436" s="39" t="s">
        <v>724</v>
      </c>
      <c r="H436" s="39" t="s">
        <v>872</v>
      </c>
      <c r="I436" s="39" t="s">
        <v>724</v>
      </c>
      <c r="J436" s="39" t="s">
        <v>872</v>
      </c>
      <c r="K436" s="39" t="s">
        <v>2158</v>
      </c>
      <c r="L436" s="43">
        <v>44200.42847222222</v>
      </c>
      <c r="N436" s="44">
        <v>44131.45694444444</v>
      </c>
    </row>
    <row r="437">
      <c r="A437" s="39" t="s">
        <v>957</v>
      </c>
      <c r="B437" s="39" t="s">
        <v>2794</v>
      </c>
      <c r="C437" s="39" t="s">
        <v>19</v>
      </c>
      <c r="D437" s="39">
        <v>64356.0</v>
      </c>
      <c r="F437" s="39" t="s">
        <v>2795</v>
      </c>
      <c r="G437" s="39" t="s">
        <v>724</v>
      </c>
      <c r="H437" s="39" t="s">
        <v>872</v>
      </c>
      <c r="I437" s="39" t="s">
        <v>724</v>
      </c>
      <c r="J437" s="39" t="s">
        <v>872</v>
      </c>
      <c r="K437" s="39" t="s">
        <v>2158</v>
      </c>
      <c r="L437" s="43">
        <v>44200.42847222222</v>
      </c>
      <c r="N437" s="43">
        <v>44111.450694444444</v>
      </c>
    </row>
    <row r="438">
      <c r="A438" s="39" t="s">
        <v>957</v>
      </c>
      <c r="B438" s="39" t="s">
        <v>1854</v>
      </c>
      <c r="C438" s="39" t="s">
        <v>19</v>
      </c>
      <c r="D438" s="39">
        <v>65202.0</v>
      </c>
      <c r="F438" s="39" t="s">
        <v>1855</v>
      </c>
      <c r="G438" s="39" t="s">
        <v>724</v>
      </c>
      <c r="H438" s="39" t="s">
        <v>872</v>
      </c>
      <c r="I438" s="39" t="s">
        <v>724</v>
      </c>
      <c r="J438" s="39" t="s">
        <v>872</v>
      </c>
      <c r="K438" s="39" t="s">
        <v>2158</v>
      </c>
      <c r="L438" s="43">
        <v>44200.42847222222</v>
      </c>
      <c r="M438" s="39">
        <v>900.0</v>
      </c>
      <c r="N438" s="44">
        <v>44131.470138888886</v>
      </c>
    </row>
    <row r="439">
      <c r="A439" s="39" t="s">
        <v>832</v>
      </c>
      <c r="B439" s="39" t="s">
        <v>1848</v>
      </c>
      <c r="C439" s="39" t="s">
        <v>19</v>
      </c>
      <c r="D439" s="39">
        <v>65203.0</v>
      </c>
      <c r="F439" s="39" t="s">
        <v>2796</v>
      </c>
      <c r="G439" s="39" t="s">
        <v>724</v>
      </c>
      <c r="H439" s="39" t="s">
        <v>872</v>
      </c>
      <c r="I439" s="39" t="s">
        <v>724</v>
      </c>
      <c r="J439" s="39" t="s">
        <v>872</v>
      </c>
      <c r="K439" s="39" t="s">
        <v>2188</v>
      </c>
      <c r="L439" s="43">
        <v>44200.42847222222</v>
      </c>
      <c r="M439" s="39">
        <v>248400.0</v>
      </c>
      <c r="N439" s="44">
        <v>44131.51666666667</v>
      </c>
    </row>
    <row r="440">
      <c r="A440" s="39" t="s">
        <v>957</v>
      </c>
      <c r="B440" s="39" t="s">
        <v>2797</v>
      </c>
      <c r="C440" s="39" t="s">
        <v>19</v>
      </c>
      <c r="D440" s="39">
        <v>64355.0</v>
      </c>
      <c r="F440" s="39" t="s">
        <v>2798</v>
      </c>
      <c r="G440" s="39" t="s">
        <v>724</v>
      </c>
      <c r="H440" s="39" t="s">
        <v>872</v>
      </c>
      <c r="I440" s="39" t="s">
        <v>724</v>
      </c>
      <c r="J440" s="39" t="s">
        <v>872</v>
      </c>
      <c r="K440" s="39" t="s">
        <v>2158</v>
      </c>
      <c r="L440" s="43">
        <v>44200.42847222222</v>
      </c>
      <c r="N440" s="43">
        <v>44111.447222222225</v>
      </c>
    </row>
    <row r="441">
      <c r="A441" s="39" t="s">
        <v>957</v>
      </c>
      <c r="B441" s="39" t="s">
        <v>1903</v>
      </c>
      <c r="C441" s="39" t="s">
        <v>19</v>
      </c>
      <c r="D441" s="39">
        <v>65680.0</v>
      </c>
      <c r="F441" s="39" t="s">
        <v>1904</v>
      </c>
      <c r="G441" s="39" t="s">
        <v>1060</v>
      </c>
      <c r="H441" s="39" t="s">
        <v>1059</v>
      </c>
      <c r="I441" s="39" t="s">
        <v>724</v>
      </c>
      <c r="J441" s="39" t="s">
        <v>872</v>
      </c>
      <c r="K441" s="39" t="s">
        <v>2158</v>
      </c>
      <c r="L441" s="43">
        <v>44200.42847222222</v>
      </c>
      <c r="M441" s="39">
        <v>1800.0</v>
      </c>
      <c r="N441" s="43">
        <v>44141.379166666666</v>
      </c>
    </row>
    <row r="442">
      <c r="A442" s="39" t="s">
        <v>957</v>
      </c>
      <c r="B442" s="39" t="s">
        <v>2799</v>
      </c>
      <c r="C442" s="39" t="s">
        <v>19</v>
      </c>
      <c r="D442" s="39">
        <v>64591.0</v>
      </c>
      <c r="F442" s="39" t="s">
        <v>2800</v>
      </c>
      <c r="G442" s="39" t="s">
        <v>724</v>
      </c>
      <c r="H442" s="39" t="s">
        <v>872</v>
      </c>
      <c r="I442" s="39" t="s">
        <v>724</v>
      </c>
      <c r="J442" s="39" t="s">
        <v>872</v>
      </c>
      <c r="K442" s="39" t="s">
        <v>2158</v>
      </c>
      <c r="L442" s="43">
        <v>44200.42847222222</v>
      </c>
      <c r="N442" s="44">
        <v>44114.43472222222</v>
      </c>
    </row>
    <row r="443">
      <c r="A443" s="39" t="s">
        <v>957</v>
      </c>
      <c r="B443" s="39" t="s">
        <v>1917</v>
      </c>
      <c r="C443" s="39" t="s">
        <v>19</v>
      </c>
      <c r="D443" s="39">
        <v>65681.0</v>
      </c>
      <c r="F443" s="39" t="s">
        <v>1918</v>
      </c>
      <c r="G443" s="39" t="s">
        <v>1060</v>
      </c>
      <c r="H443" s="39" t="s">
        <v>1059</v>
      </c>
      <c r="I443" s="39" t="s">
        <v>724</v>
      </c>
      <c r="J443" s="39" t="s">
        <v>872</v>
      </c>
      <c r="K443" s="39" t="s">
        <v>2158</v>
      </c>
      <c r="L443" s="43">
        <v>44200.42847222222</v>
      </c>
      <c r="M443" s="39">
        <v>27000.0</v>
      </c>
      <c r="N443" s="43">
        <v>44141.384722222225</v>
      </c>
    </row>
    <row r="444">
      <c r="A444" s="39" t="s">
        <v>832</v>
      </c>
      <c r="B444" s="39" t="s">
        <v>2801</v>
      </c>
      <c r="C444" s="39" t="s">
        <v>19</v>
      </c>
      <c r="D444" s="39">
        <v>55638.0</v>
      </c>
      <c r="F444" s="39" t="s">
        <v>2802</v>
      </c>
      <c r="I444" s="39" t="s">
        <v>724</v>
      </c>
      <c r="J444" s="39" t="s">
        <v>872</v>
      </c>
      <c r="K444" s="39" t="s">
        <v>2161</v>
      </c>
      <c r="L444" s="43">
        <v>44200.42847222222</v>
      </c>
      <c r="N444" s="44">
        <v>43857.45625</v>
      </c>
    </row>
    <row r="445">
      <c r="A445" s="39" t="s">
        <v>957</v>
      </c>
      <c r="B445" s="39" t="s">
        <v>1593</v>
      </c>
      <c r="C445" s="39" t="s">
        <v>19</v>
      </c>
      <c r="D445" s="39">
        <v>63384.0</v>
      </c>
      <c r="F445" s="39" t="s">
        <v>1594</v>
      </c>
      <c r="G445" s="39" t="s">
        <v>724</v>
      </c>
      <c r="H445" s="39" t="s">
        <v>872</v>
      </c>
      <c r="I445" s="39" t="s">
        <v>724</v>
      </c>
      <c r="J445" s="39" t="s">
        <v>872</v>
      </c>
      <c r="K445" s="39" t="s">
        <v>2158</v>
      </c>
      <c r="L445" s="43">
        <v>44200.42847222222</v>
      </c>
      <c r="M445" s="39">
        <v>137700.0</v>
      </c>
      <c r="N445" s="44">
        <v>44090.48402777778</v>
      </c>
    </row>
    <row r="446">
      <c r="A446" s="39" t="s">
        <v>832</v>
      </c>
      <c r="B446" s="39" t="s">
        <v>2803</v>
      </c>
      <c r="C446" s="39" t="s">
        <v>19</v>
      </c>
      <c r="D446" s="39">
        <v>64352.0</v>
      </c>
      <c r="F446" s="39" t="s">
        <v>2804</v>
      </c>
      <c r="G446" s="39" t="s">
        <v>724</v>
      </c>
      <c r="H446" s="39" t="s">
        <v>872</v>
      </c>
      <c r="I446" s="39" t="s">
        <v>724</v>
      </c>
      <c r="J446" s="39" t="s">
        <v>872</v>
      </c>
      <c r="K446" s="39" t="s">
        <v>2158</v>
      </c>
      <c r="L446" s="43">
        <v>44200.42847222222</v>
      </c>
      <c r="N446" s="43">
        <v>44111.44305555556</v>
      </c>
    </row>
    <row r="447">
      <c r="A447" s="39" t="s">
        <v>957</v>
      </c>
      <c r="B447" s="39" t="s">
        <v>1752</v>
      </c>
      <c r="C447" s="39" t="s">
        <v>19</v>
      </c>
      <c r="D447" s="39">
        <v>64351.0</v>
      </c>
      <c r="F447" s="39" t="s">
        <v>1753</v>
      </c>
      <c r="G447" s="39" t="s">
        <v>1060</v>
      </c>
      <c r="H447" s="39" t="s">
        <v>1059</v>
      </c>
      <c r="I447" s="39" t="s">
        <v>724</v>
      </c>
      <c r="J447" s="39" t="s">
        <v>872</v>
      </c>
      <c r="K447" s="39" t="s">
        <v>2158</v>
      </c>
      <c r="L447" s="43">
        <v>44200.42847222222</v>
      </c>
      <c r="M447" s="39">
        <v>57600.0</v>
      </c>
      <c r="N447" s="43">
        <v>44111.42916666667</v>
      </c>
    </row>
    <row r="448">
      <c r="A448" s="39" t="s">
        <v>832</v>
      </c>
      <c r="B448" s="39" t="s">
        <v>2805</v>
      </c>
      <c r="C448" s="39" t="s">
        <v>19</v>
      </c>
      <c r="D448" s="39">
        <v>55639.0</v>
      </c>
      <c r="F448" s="39" t="s">
        <v>2806</v>
      </c>
      <c r="I448" s="39" t="s">
        <v>724</v>
      </c>
      <c r="J448" s="39" t="s">
        <v>872</v>
      </c>
      <c r="K448" s="39" t="s">
        <v>2161</v>
      </c>
      <c r="L448" s="43">
        <v>44200.42847222222</v>
      </c>
      <c r="N448" s="44">
        <v>43857.45694444444</v>
      </c>
    </row>
    <row r="449">
      <c r="A449" s="39" t="s">
        <v>957</v>
      </c>
      <c r="B449" s="39" t="s">
        <v>2807</v>
      </c>
      <c r="C449" s="39" t="s">
        <v>19</v>
      </c>
      <c r="D449" s="39">
        <v>64590.0</v>
      </c>
      <c r="F449" s="39" t="s">
        <v>2808</v>
      </c>
      <c r="G449" s="39" t="s">
        <v>724</v>
      </c>
      <c r="H449" s="39" t="s">
        <v>872</v>
      </c>
      <c r="I449" s="39" t="s">
        <v>724</v>
      </c>
      <c r="J449" s="39" t="s">
        <v>872</v>
      </c>
      <c r="K449" s="39" t="s">
        <v>2158</v>
      </c>
      <c r="L449" s="43">
        <v>44200.42847222222</v>
      </c>
      <c r="N449" s="44">
        <v>44114.43263888889</v>
      </c>
    </row>
    <row r="450">
      <c r="A450" s="39" t="s">
        <v>72</v>
      </c>
      <c r="B450" s="39" t="s">
        <v>1265</v>
      </c>
      <c r="C450" s="39" t="s">
        <v>19</v>
      </c>
      <c r="D450" s="39">
        <v>55632.0</v>
      </c>
      <c r="F450" s="39" t="s">
        <v>1995</v>
      </c>
      <c r="I450" s="39" t="s">
        <v>724</v>
      </c>
      <c r="J450" s="39" t="s">
        <v>872</v>
      </c>
      <c r="K450" s="39" t="s">
        <v>2161</v>
      </c>
      <c r="L450" s="43">
        <v>44200.42847222222</v>
      </c>
      <c r="M450" s="39">
        <v>58500.0</v>
      </c>
      <c r="N450" s="44">
        <v>43857.44513888889</v>
      </c>
    </row>
    <row r="451">
      <c r="A451" s="39" t="s">
        <v>832</v>
      </c>
      <c r="B451" s="39" t="s">
        <v>2809</v>
      </c>
      <c r="C451" s="39" t="s">
        <v>19</v>
      </c>
      <c r="D451" s="39">
        <v>57932.0</v>
      </c>
      <c r="F451" s="39" t="s">
        <v>2810</v>
      </c>
      <c r="G451" s="39" t="s">
        <v>724</v>
      </c>
      <c r="H451" s="39" t="s">
        <v>872</v>
      </c>
      <c r="I451" s="39" t="s">
        <v>724</v>
      </c>
      <c r="J451" s="39" t="s">
        <v>872</v>
      </c>
      <c r="K451" s="39" t="s">
        <v>2161</v>
      </c>
      <c r="L451" s="43">
        <v>44200.42847222222</v>
      </c>
      <c r="N451" s="44">
        <v>43948.89722222222</v>
      </c>
    </row>
    <row r="452">
      <c r="A452" s="39" t="s">
        <v>832</v>
      </c>
      <c r="B452" s="39" t="s">
        <v>2811</v>
      </c>
      <c r="C452" s="39" t="s">
        <v>19</v>
      </c>
      <c r="D452" s="39">
        <v>55875.0</v>
      </c>
      <c r="F452" s="39" t="s">
        <v>2812</v>
      </c>
      <c r="I452" s="39" t="s">
        <v>724</v>
      </c>
      <c r="J452" s="39" t="s">
        <v>872</v>
      </c>
      <c r="K452" s="39" t="s">
        <v>2161</v>
      </c>
      <c r="L452" s="43">
        <v>44200.42847222222</v>
      </c>
      <c r="N452" s="43">
        <v>43868.04027777778</v>
      </c>
    </row>
    <row r="453">
      <c r="A453" s="39" t="s">
        <v>72</v>
      </c>
      <c r="B453" s="39" t="s">
        <v>1207</v>
      </c>
      <c r="C453" s="39" t="s">
        <v>19</v>
      </c>
      <c r="D453" s="39">
        <v>55630.0</v>
      </c>
      <c r="F453" s="39" t="s">
        <v>1252</v>
      </c>
      <c r="G453" s="39" t="s">
        <v>724</v>
      </c>
      <c r="H453" s="39" t="s">
        <v>872</v>
      </c>
      <c r="I453" s="39" t="s">
        <v>724</v>
      </c>
      <c r="J453" s="39" t="s">
        <v>872</v>
      </c>
      <c r="K453" s="39" t="s">
        <v>2188</v>
      </c>
      <c r="L453" s="43">
        <v>44200.42847222222</v>
      </c>
      <c r="M453" s="39">
        <v>189000.0</v>
      </c>
      <c r="N453" s="44">
        <v>43857.44513888889</v>
      </c>
    </row>
    <row r="454">
      <c r="A454" s="39" t="s">
        <v>72</v>
      </c>
      <c r="B454" s="39" t="s">
        <v>1131</v>
      </c>
      <c r="C454" s="39" t="s">
        <v>19</v>
      </c>
      <c r="D454" s="39">
        <v>55631.0</v>
      </c>
      <c r="F454" s="39" t="s">
        <v>1591</v>
      </c>
      <c r="G454" s="39" t="s">
        <v>724</v>
      </c>
      <c r="H454" s="39" t="s">
        <v>872</v>
      </c>
      <c r="I454" s="39" t="s">
        <v>724</v>
      </c>
      <c r="J454" s="39" t="s">
        <v>872</v>
      </c>
      <c r="K454" s="39" t="s">
        <v>2188</v>
      </c>
      <c r="L454" s="43">
        <v>44200.42847222222</v>
      </c>
      <c r="M454" s="39">
        <v>1691100.0</v>
      </c>
      <c r="N454" s="44">
        <v>43857.44513888889</v>
      </c>
    </row>
    <row r="455">
      <c r="A455" s="39" t="s">
        <v>832</v>
      </c>
      <c r="B455" s="39" t="s">
        <v>2813</v>
      </c>
      <c r="C455" s="39" t="s">
        <v>19</v>
      </c>
      <c r="D455" s="39">
        <v>55879.0</v>
      </c>
      <c r="F455" s="39" t="s">
        <v>2814</v>
      </c>
      <c r="I455" s="39" t="s">
        <v>724</v>
      </c>
      <c r="J455" s="39" t="s">
        <v>872</v>
      </c>
      <c r="K455" s="39" t="s">
        <v>2161</v>
      </c>
      <c r="L455" s="43">
        <v>44200.42847222222</v>
      </c>
      <c r="N455" s="43">
        <v>43868.36388888889</v>
      </c>
    </row>
    <row r="456">
      <c r="A456" s="39" t="s">
        <v>832</v>
      </c>
      <c r="B456" s="39" t="s">
        <v>2815</v>
      </c>
      <c r="C456" s="39" t="s">
        <v>19</v>
      </c>
      <c r="D456" s="39">
        <v>55876.0</v>
      </c>
      <c r="F456" s="39" t="s">
        <v>2816</v>
      </c>
      <c r="I456" s="39" t="s">
        <v>724</v>
      </c>
      <c r="J456" s="39" t="s">
        <v>872</v>
      </c>
      <c r="K456" s="39" t="s">
        <v>2161</v>
      </c>
      <c r="L456" s="43">
        <v>44200.42847222222</v>
      </c>
      <c r="N456" s="43">
        <v>43868.040972222225</v>
      </c>
    </row>
    <row r="457">
      <c r="A457" s="39" t="s">
        <v>832</v>
      </c>
      <c r="B457" s="39" t="s">
        <v>2817</v>
      </c>
      <c r="C457" s="39" t="s">
        <v>19</v>
      </c>
      <c r="D457" s="39">
        <v>55877.0</v>
      </c>
      <c r="F457" s="39" t="s">
        <v>2818</v>
      </c>
      <c r="I457" s="39" t="s">
        <v>724</v>
      </c>
      <c r="J457" s="39" t="s">
        <v>872</v>
      </c>
      <c r="K457" s="39" t="s">
        <v>2161</v>
      </c>
      <c r="L457" s="43">
        <v>44200.42847222222</v>
      </c>
      <c r="N457" s="43">
        <v>43868.05416666667</v>
      </c>
    </row>
    <row r="458">
      <c r="A458" s="39" t="s">
        <v>72</v>
      </c>
      <c r="B458" s="39" t="s">
        <v>1827</v>
      </c>
      <c r="C458" s="39" t="s">
        <v>19</v>
      </c>
      <c r="D458" s="39">
        <v>55635.0</v>
      </c>
      <c r="F458" s="39" t="s">
        <v>1828</v>
      </c>
      <c r="G458" s="39" t="s">
        <v>724</v>
      </c>
      <c r="H458" s="39" t="s">
        <v>872</v>
      </c>
      <c r="I458" s="39" t="s">
        <v>724</v>
      </c>
      <c r="J458" s="39" t="s">
        <v>872</v>
      </c>
      <c r="K458" s="39" t="s">
        <v>2188</v>
      </c>
      <c r="L458" s="43">
        <v>44200.42847222222</v>
      </c>
      <c r="M458" s="39">
        <v>22500.0</v>
      </c>
      <c r="N458" s="44">
        <v>43857.447916666664</v>
      </c>
    </row>
    <row r="459">
      <c r="A459" s="39" t="s">
        <v>957</v>
      </c>
      <c r="B459" s="39" t="s">
        <v>2819</v>
      </c>
      <c r="C459" s="39" t="s">
        <v>19</v>
      </c>
      <c r="D459" s="39">
        <v>64364.0</v>
      </c>
      <c r="F459" s="39" t="s">
        <v>2820</v>
      </c>
      <c r="G459" s="39" t="s">
        <v>724</v>
      </c>
      <c r="H459" s="39" t="s">
        <v>872</v>
      </c>
      <c r="I459" s="39" t="s">
        <v>724</v>
      </c>
      <c r="J459" s="39" t="s">
        <v>872</v>
      </c>
      <c r="K459" s="39" t="s">
        <v>2158</v>
      </c>
      <c r="L459" s="43">
        <v>44200.42847222222</v>
      </c>
      <c r="N459" s="43">
        <v>44111.558333333334</v>
      </c>
    </row>
    <row r="460">
      <c r="A460" s="39" t="s">
        <v>957</v>
      </c>
      <c r="B460" s="39" t="s">
        <v>1727</v>
      </c>
      <c r="C460" s="39" t="s">
        <v>19</v>
      </c>
      <c r="D460" s="39">
        <v>64367.0</v>
      </c>
      <c r="F460" s="39" t="s">
        <v>1728</v>
      </c>
      <c r="G460" s="39" t="s">
        <v>724</v>
      </c>
      <c r="H460" s="39" t="s">
        <v>872</v>
      </c>
      <c r="I460" s="39" t="s">
        <v>724</v>
      </c>
      <c r="J460" s="39" t="s">
        <v>872</v>
      </c>
      <c r="K460" s="39" t="s">
        <v>2158</v>
      </c>
      <c r="L460" s="43">
        <v>44200.42847222222</v>
      </c>
      <c r="M460" s="39">
        <v>50400.0</v>
      </c>
      <c r="N460" s="43">
        <v>44111.5625</v>
      </c>
    </row>
    <row r="461">
      <c r="A461" s="39" t="s">
        <v>957</v>
      </c>
      <c r="B461" s="39" t="s">
        <v>2821</v>
      </c>
      <c r="C461" s="39" t="s">
        <v>19</v>
      </c>
      <c r="D461" s="39">
        <v>64366.0</v>
      </c>
      <c r="F461" s="39" t="s">
        <v>2822</v>
      </c>
      <c r="G461" s="39" t="s">
        <v>724</v>
      </c>
      <c r="H461" s="39" t="s">
        <v>872</v>
      </c>
      <c r="I461" s="39" t="s">
        <v>724</v>
      </c>
      <c r="J461" s="39" t="s">
        <v>872</v>
      </c>
      <c r="K461" s="39" t="s">
        <v>2158</v>
      </c>
      <c r="L461" s="43">
        <v>44200.42847222222</v>
      </c>
      <c r="N461" s="43">
        <v>44111.56180555555</v>
      </c>
    </row>
    <row r="462">
      <c r="A462" s="39" t="s">
        <v>957</v>
      </c>
      <c r="B462" s="39" t="s">
        <v>2823</v>
      </c>
      <c r="C462" s="39" t="s">
        <v>19</v>
      </c>
      <c r="D462" s="39">
        <v>64363.0</v>
      </c>
      <c r="F462" s="39" t="s">
        <v>2824</v>
      </c>
      <c r="G462" s="39" t="s">
        <v>724</v>
      </c>
      <c r="H462" s="39" t="s">
        <v>872</v>
      </c>
      <c r="I462" s="39" t="s">
        <v>724</v>
      </c>
      <c r="J462" s="39" t="s">
        <v>872</v>
      </c>
      <c r="K462" s="39" t="s">
        <v>2158</v>
      </c>
      <c r="L462" s="43">
        <v>44200.42847222222</v>
      </c>
      <c r="N462" s="43">
        <v>44111.55694444444</v>
      </c>
    </row>
    <row r="463">
      <c r="A463" s="39" t="s">
        <v>957</v>
      </c>
      <c r="B463" s="39" t="s">
        <v>1763</v>
      </c>
      <c r="C463" s="39" t="s">
        <v>19</v>
      </c>
      <c r="D463" s="39">
        <v>64362.0</v>
      </c>
      <c r="F463" s="39" t="s">
        <v>1764</v>
      </c>
      <c r="G463" s="39" t="s">
        <v>1060</v>
      </c>
      <c r="H463" s="39" t="s">
        <v>1059</v>
      </c>
      <c r="I463" s="39" t="s">
        <v>724</v>
      </c>
      <c r="J463" s="39" t="s">
        <v>872</v>
      </c>
      <c r="K463" s="39" t="s">
        <v>2158</v>
      </c>
      <c r="L463" s="43">
        <v>44200.42847222222</v>
      </c>
      <c r="M463" s="39">
        <v>35100.0</v>
      </c>
      <c r="N463" s="43">
        <v>44111.552777777775</v>
      </c>
    </row>
    <row r="464">
      <c r="A464" s="39" t="s">
        <v>957</v>
      </c>
      <c r="B464" s="39" t="s">
        <v>1335</v>
      </c>
      <c r="C464" s="39" t="s">
        <v>19</v>
      </c>
      <c r="D464" s="39">
        <v>62078.0</v>
      </c>
      <c r="F464" s="39" t="s">
        <v>1336</v>
      </c>
      <c r="G464" s="39" t="s">
        <v>724</v>
      </c>
      <c r="H464" s="39" t="s">
        <v>872</v>
      </c>
      <c r="I464" s="39" t="s">
        <v>1060</v>
      </c>
      <c r="J464" s="39" t="s">
        <v>1059</v>
      </c>
      <c r="K464" s="39" t="s">
        <v>2158</v>
      </c>
      <c r="L464" s="43">
        <v>44200.42847222222</v>
      </c>
      <c r="M464" s="39">
        <v>21600.0</v>
      </c>
      <c r="N464" s="44">
        <v>44055.54236111111</v>
      </c>
    </row>
    <row r="465">
      <c r="A465" s="39" t="s">
        <v>832</v>
      </c>
      <c r="B465" s="39" t="s">
        <v>2086</v>
      </c>
      <c r="C465" s="39" t="s">
        <v>19</v>
      </c>
      <c r="D465" s="39">
        <v>62077.0</v>
      </c>
      <c r="F465" s="39" t="s">
        <v>2825</v>
      </c>
      <c r="G465" s="39" t="s">
        <v>724</v>
      </c>
      <c r="H465" s="39" t="s">
        <v>872</v>
      </c>
      <c r="I465" s="39" t="s">
        <v>724</v>
      </c>
      <c r="J465" s="39" t="s">
        <v>872</v>
      </c>
      <c r="K465" s="39" t="s">
        <v>2188</v>
      </c>
      <c r="L465" s="43">
        <v>44200.42847222222</v>
      </c>
      <c r="M465" s="39">
        <v>1800.0</v>
      </c>
      <c r="N465" s="44">
        <v>44055.538194444445</v>
      </c>
    </row>
    <row r="466">
      <c r="A466" s="39" t="s">
        <v>957</v>
      </c>
      <c r="B466" s="39" t="s">
        <v>2826</v>
      </c>
      <c r="C466" s="39" t="s">
        <v>19</v>
      </c>
      <c r="D466" s="39">
        <v>66677.0</v>
      </c>
      <c r="F466" s="39" t="s">
        <v>2827</v>
      </c>
      <c r="G466" s="39" t="s">
        <v>1060</v>
      </c>
      <c r="H466" s="39" t="s">
        <v>1059</v>
      </c>
      <c r="I466" s="39" t="s">
        <v>724</v>
      </c>
      <c r="J466" s="39" t="s">
        <v>872</v>
      </c>
      <c r="K466" s="39" t="s">
        <v>2158</v>
      </c>
      <c r="L466" s="43">
        <v>44200.42847222222</v>
      </c>
      <c r="N466" s="43">
        <v>44166.74930555555</v>
      </c>
    </row>
    <row r="467">
      <c r="A467" s="39" t="s">
        <v>957</v>
      </c>
      <c r="B467" s="39" t="s">
        <v>2065</v>
      </c>
      <c r="C467" s="39" t="s">
        <v>19</v>
      </c>
      <c r="D467" s="39">
        <v>66671.0</v>
      </c>
      <c r="F467" s="39" t="s">
        <v>2066</v>
      </c>
      <c r="G467" s="39" t="s">
        <v>2197</v>
      </c>
      <c r="H467" s="39" t="s">
        <v>2198</v>
      </c>
      <c r="I467" s="39" t="s">
        <v>724</v>
      </c>
      <c r="J467" s="39" t="s">
        <v>872</v>
      </c>
      <c r="K467" s="39" t="s">
        <v>2158</v>
      </c>
      <c r="L467" s="43">
        <v>44200.42847222222</v>
      </c>
      <c r="M467" s="39">
        <v>1800.0</v>
      </c>
      <c r="N467" s="43">
        <v>44166.62986111111</v>
      </c>
    </row>
    <row r="468">
      <c r="A468" s="39" t="s">
        <v>832</v>
      </c>
      <c r="B468" s="39" t="s">
        <v>2092</v>
      </c>
      <c r="C468" s="39" t="s">
        <v>19</v>
      </c>
      <c r="D468" s="39">
        <v>66793.0</v>
      </c>
      <c r="F468" s="39" t="s">
        <v>2093</v>
      </c>
      <c r="G468" s="39" t="s">
        <v>1060</v>
      </c>
      <c r="H468" s="39" t="s">
        <v>1059</v>
      </c>
      <c r="I468" s="39" t="s">
        <v>724</v>
      </c>
      <c r="J468" s="39" t="s">
        <v>872</v>
      </c>
      <c r="K468" s="39" t="s">
        <v>2158</v>
      </c>
      <c r="L468" s="43">
        <v>44200.42847222222</v>
      </c>
      <c r="M468" s="39">
        <v>28800.0</v>
      </c>
      <c r="N468" s="43">
        <v>44171.364583333336</v>
      </c>
    </row>
    <row r="469">
      <c r="A469" s="39" t="s">
        <v>957</v>
      </c>
      <c r="B469" s="39" t="s">
        <v>2828</v>
      </c>
      <c r="C469" s="39" t="s">
        <v>19</v>
      </c>
      <c r="D469" s="39">
        <v>66673.0</v>
      </c>
      <c r="F469" s="39" t="s">
        <v>2829</v>
      </c>
      <c r="G469" s="39" t="s">
        <v>1060</v>
      </c>
      <c r="H469" s="39" t="s">
        <v>1059</v>
      </c>
      <c r="I469" s="39" t="s">
        <v>724</v>
      </c>
      <c r="J469" s="39" t="s">
        <v>872</v>
      </c>
      <c r="K469" s="39" t="s">
        <v>2158</v>
      </c>
      <c r="L469" s="43">
        <v>44200.42847222222</v>
      </c>
      <c r="N469" s="43">
        <v>44166.65277777778</v>
      </c>
    </row>
    <row r="470">
      <c r="A470" s="39" t="s">
        <v>832</v>
      </c>
      <c r="B470" s="39" t="s">
        <v>2830</v>
      </c>
      <c r="C470" s="39" t="s">
        <v>19</v>
      </c>
      <c r="D470" s="39">
        <v>55654.0</v>
      </c>
      <c r="F470" s="39" t="s">
        <v>2831</v>
      </c>
      <c r="I470" s="39" t="s">
        <v>724</v>
      </c>
      <c r="J470" s="39" t="s">
        <v>872</v>
      </c>
      <c r="K470" s="39" t="s">
        <v>2161</v>
      </c>
      <c r="L470" s="43">
        <v>44200.42847222222</v>
      </c>
      <c r="N470" s="44">
        <v>43860.4625</v>
      </c>
    </row>
    <row r="471">
      <c r="A471" s="39" t="s">
        <v>832</v>
      </c>
      <c r="B471" s="39" t="s">
        <v>2832</v>
      </c>
      <c r="C471" s="39" t="s">
        <v>19</v>
      </c>
      <c r="D471" s="39">
        <v>55655.0</v>
      </c>
      <c r="F471" s="39" t="s">
        <v>2833</v>
      </c>
      <c r="I471" s="39" t="s">
        <v>724</v>
      </c>
      <c r="J471" s="39" t="s">
        <v>872</v>
      </c>
      <c r="K471" s="39" t="s">
        <v>2161</v>
      </c>
      <c r="L471" s="43">
        <v>44200.42847222222</v>
      </c>
      <c r="N471" s="44">
        <v>43860.4625</v>
      </c>
    </row>
    <row r="472">
      <c r="A472" s="39" t="s">
        <v>832</v>
      </c>
      <c r="B472" s="39" t="s">
        <v>2834</v>
      </c>
      <c r="C472" s="39" t="s">
        <v>19</v>
      </c>
      <c r="D472" s="39">
        <v>55658.0</v>
      </c>
      <c r="F472" s="39" t="s">
        <v>2835</v>
      </c>
      <c r="G472" s="39" t="s">
        <v>724</v>
      </c>
      <c r="H472" s="39" t="s">
        <v>872</v>
      </c>
      <c r="I472" s="39" t="s">
        <v>724</v>
      </c>
      <c r="J472" s="39" t="s">
        <v>872</v>
      </c>
      <c r="K472" s="39" t="s">
        <v>2161</v>
      </c>
      <c r="L472" s="43">
        <v>44200.42847222222</v>
      </c>
      <c r="N472" s="44">
        <v>43860.47708333333</v>
      </c>
    </row>
    <row r="473">
      <c r="A473" s="39" t="s">
        <v>832</v>
      </c>
      <c r="B473" s="39" t="s">
        <v>2836</v>
      </c>
      <c r="C473" s="39" t="s">
        <v>19</v>
      </c>
      <c r="D473" s="39">
        <v>55656.0</v>
      </c>
      <c r="F473" s="39" t="s">
        <v>2837</v>
      </c>
      <c r="I473" s="39" t="s">
        <v>724</v>
      </c>
      <c r="J473" s="39" t="s">
        <v>872</v>
      </c>
      <c r="K473" s="39" t="s">
        <v>2161</v>
      </c>
      <c r="L473" s="43">
        <v>44200.42847222222</v>
      </c>
      <c r="N473" s="44">
        <v>43860.47708333333</v>
      </c>
    </row>
    <row r="474">
      <c r="A474" s="39" t="s">
        <v>832</v>
      </c>
      <c r="B474" s="39" t="s">
        <v>2838</v>
      </c>
      <c r="C474" s="39" t="s">
        <v>19</v>
      </c>
      <c r="D474" s="39">
        <v>55657.0</v>
      </c>
      <c r="F474" s="39" t="s">
        <v>2839</v>
      </c>
      <c r="I474" s="39" t="s">
        <v>724</v>
      </c>
      <c r="J474" s="39" t="s">
        <v>872</v>
      </c>
      <c r="K474" s="39" t="s">
        <v>2161</v>
      </c>
      <c r="L474" s="43">
        <v>44200.42847222222</v>
      </c>
      <c r="N474" s="44">
        <v>43860.47708333333</v>
      </c>
    </row>
    <row r="475">
      <c r="A475" s="39" t="s">
        <v>832</v>
      </c>
      <c r="B475" s="39" t="s">
        <v>1387</v>
      </c>
      <c r="C475" s="39" t="s">
        <v>19</v>
      </c>
      <c r="D475" s="39">
        <v>62087.0</v>
      </c>
      <c r="F475" s="39" t="s">
        <v>1388</v>
      </c>
      <c r="G475" s="39" t="s">
        <v>1154</v>
      </c>
      <c r="H475" s="39" t="s">
        <v>1153</v>
      </c>
      <c r="I475" s="39" t="s">
        <v>724</v>
      </c>
      <c r="J475" s="39" t="s">
        <v>872</v>
      </c>
      <c r="K475" s="39" t="s">
        <v>2199</v>
      </c>
      <c r="L475" s="43">
        <v>44200.42847222222</v>
      </c>
      <c r="M475" s="39">
        <v>43200.0</v>
      </c>
      <c r="N475" s="44">
        <v>44058.61041666667</v>
      </c>
    </row>
    <row r="476">
      <c r="A476" s="39" t="s">
        <v>832</v>
      </c>
      <c r="B476" s="39" t="s">
        <v>2840</v>
      </c>
      <c r="C476" s="39" t="s">
        <v>19</v>
      </c>
      <c r="D476" s="39">
        <v>62088.0</v>
      </c>
      <c r="F476" s="39" t="s">
        <v>2841</v>
      </c>
      <c r="I476" s="39" t="s">
        <v>724</v>
      </c>
      <c r="J476" s="39" t="s">
        <v>872</v>
      </c>
      <c r="K476" s="39" t="s">
        <v>2161</v>
      </c>
      <c r="L476" s="43">
        <v>44200.42847222222</v>
      </c>
      <c r="N476" s="44">
        <v>44058.657638888886</v>
      </c>
    </row>
    <row r="477">
      <c r="A477" s="39" t="s">
        <v>957</v>
      </c>
      <c r="B477" s="39" t="s">
        <v>2842</v>
      </c>
      <c r="C477" s="39" t="s">
        <v>19</v>
      </c>
      <c r="D477" s="39">
        <v>62083.0</v>
      </c>
      <c r="F477" s="39" t="s">
        <v>2843</v>
      </c>
      <c r="G477" s="39" t="s">
        <v>1060</v>
      </c>
      <c r="H477" s="39" t="s">
        <v>1059</v>
      </c>
      <c r="I477" s="39" t="s">
        <v>724</v>
      </c>
      <c r="J477" s="39" t="s">
        <v>872</v>
      </c>
      <c r="K477" s="39" t="s">
        <v>2158</v>
      </c>
      <c r="L477" s="43">
        <v>44200.42847222222</v>
      </c>
      <c r="N477" s="44">
        <v>44056.77013888889</v>
      </c>
    </row>
    <row r="478">
      <c r="A478" s="39" t="s">
        <v>957</v>
      </c>
      <c r="B478" s="39" t="s">
        <v>2844</v>
      </c>
      <c r="C478" s="39" t="s">
        <v>19</v>
      </c>
      <c r="D478" s="39">
        <v>64384.0</v>
      </c>
      <c r="F478" s="39" t="s">
        <v>2845</v>
      </c>
      <c r="G478" s="39" t="s">
        <v>724</v>
      </c>
      <c r="H478" s="39" t="s">
        <v>872</v>
      </c>
      <c r="I478" s="39" t="s">
        <v>724</v>
      </c>
      <c r="J478" s="39" t="s">
        <v>872</v>
      </c>
      <c r="K478" s="39" t="s">
        <v>2158</v>
      </c>
      <c r="L478" s="43">
        <v>44200.42847222222</v>
      </c>
      <c r="N478" s="43">
        <v>44111.86875</v>
      </c>
    </row>
    <row r="479">
      <c r="A479" s="39" t="s">
        <v>957</v>
      </c>
      <c r="B479" s="39" t="s">
        <v>2846</v>
      </c>
      <c r="C479" s="39" t="s">
        <v>19</v>
      </c>
      <c r="D479" s="39">
        <v>62084.0</v>
      </c>
      <c r="F479" s="39" t="s">
        <v>2847</v>
      </c>
      <c r="G479" s="39" t="s">
        <v>724</v>
      </c>
      <c r="H479" s="39" t="s">
        <v>872</v>
      </c>
      <c r="I479" s="39" t="s">
        <v>724</v>
      </c>
      <c r="J479" s="39" t="s">
        <v>872</v>
      </c>
      <c r="K479" s="39" t="s">
        <v>2158</v>
      </c>
      <c r="L479" s="43">
        <v>44200.42847222222</v>
      </c>
      <c r="N479" s="44">
        <v>44056.77291666667</v>
      </c>
    </row>
    <row r="480">
      <c r="A480" s="39" t="s">
        <v>957</v>
      </c>
      <c r="B480" s="39" t="s">
        <v>1352</v>
      </c>
      <c r="C480" s="39" t="s">
        <v>19</v>
      </c>
      <c r="D480" s="39">
        <v>62081.0</v>
      </c>
      <c r="F480" s="39" t="s">
        <v>1353</v>
      </c>
      <c r="G480" s="39" t="s">
        <v>724</v>
      </c>
      <c r="H480" s="39" t="s">
        <v>872</v>
      </c>
      <c r="I480" s="39" t="s">
        <v>724</v>
      </c>
      <c r="J480" s="39" t="s">
        <v>872</v>
      </c>
      <c r="K480" s="39" t="s">
        <v>2158</v>
      </c>
      <c r="L480" s="43">
        <v>44200.42847222222</v>
      </c>
      <c r="M480" s="39">
        <v>25200.0</v>
      </c>
      <c r="N480" s="44">
        <v>44056.51666666667</v>
      </c>
    </row>
    <row r="481">
      <c r="A481" s="39" t="s">
        <v>957</v>
      </c>
      <c r="B481" s="39" t="s">
        <v>2848</v>
      </c>
      <c r="C481" s="39" t="s">
        <v>19</v>
      </c>
      <c r="D481" s="39">
        <v>62082.0</v>
      </c>
      <c r="F481" s="39" t="s">
        <v>2849</v>
      </c>
      <c r="G481" s="39" t="s">
        <v>1060</v>
      </c>
      <c r="H481" s="39" t="s">
        <v>1059</v>
      </c>
      <c r="I481" s="39" t="s">
        <v>1060</v>
      </c>
      <c r="J481" s="39" t="s">
        <v>1059</v>
      </c>
      <c r="K481" s="39" t="s">
        <v>2158</v>
      </c>
      <c r="L481" s="43">
        <v>44200.42847222222</v>
      </c>
      <c r="N481" s="44">
        <v>44056.52361111111</v>
      </c>
    </row>
    <row r="482">
      <c r="A482" s="39" t="s">
        <v>832</v>
      </c>
      <c r="B482" s="39" t="s">
        <v>1895</v>
      </c>
      <c r="C482" s="39" t="s">
        <v>19</v>
      </c>
      <c r="D482" s="39">
        <v>65590.0</v>
      </c>
      <c r="F482" s="39" t="s">
        <v>1896</v>
      </c>
      <c r="G482" s="39" t="s">
        <v>724</v>
      </c>
      <c r="H482" s="39" t="s">
        <v>872</v>
      </c>
      <c r="I482" s="39" t="s">
        <v>724</v>
      </c>
      <c r="J482" s="39" t="s">
        <v>872</v>
      </c>
      <c r="K482" s="39" t="s">
        <v>2188</v>
      </c>
      <c r="L482" s="43">
        <v>44200.42847222222</v>
      </c>
      <c r="M482" s="39">
        <v>150300.0</v>
      </c>
      <c r="N482" s="43">
        <v>44139.5625</v>
      </c>
    </row>
    <row r="483">
      <c r="A483" s="39" t="s">
        <v>832</v>
      </c>
      <c r="B483" s="39" t="s">
        <v>1838</v>
      </c>
      <c r="C483" s="39" t="s">
        <v>19</v>
      </c>
      <c r="D483" s="39">
        <v>65009.0</v>
      </c>
      <c r="F483" s="39" t="s">
        <v>1839</v>
      </c>
      <c r="G483" s="39" t="s">
        <v>724</v>
      </c>
      <c r="H483" s="39" t="s">
        <v>872</v>
      </c>
      <c r="I483" s="39" t="s">
        <v>724</v>
      </c>
      <c r="J483" s="39" t="s">
        <v>872</v>
      </c>
      <c r="K483" s="39" t="s">
        <v>2158</v>
      </c>
      <c r="L483" s="43">
        <v>44200.42847222222</v>
      </c>
      <c r="M483" s="39">
        <v>32400.0</v>
      </c>
      <c r="N483" s="44">
        <v>44127.64444444444</v>
      </c>
    </row>
    <row r="484">
      <c r="A484" s="39" t="s">
        <v>832</v>
      </c>
      <c r="B484" s="39" t="s">
        <v>1356</v>
      </c>
      <c r="C484" s="39" t="s">
        <v>19</v>
      </c>
      <c r="D484" s="39">
        <v>62096.0</v>
      </c>
      <c r="F484" s="39" t="s">
        <v>1357</v>
      </c>
      <c r="G484" s="39" t="s">
        <v>1154</v>
      </c>
      <c r="H484" s="39" t="s">
        <v>1153</v>
      </c>
      <c r="I484" s="39" t="s">
        <v>1154</v>
      </c>
      <c r="J484" s="39" t="s">
        <v>1153</v>
      </c>
      <c r="K484" s="39" t="s">
        <v>2158</v>
      </c>
      <c r="L484" s="43">
        <v>44200.42847222222</v>
      </c>
      <c r="M484" s="39">
        <v>25200.0</v>
      </c>
      <c r="N484" s="44">
        <v>44060.57986111111</v>
      </c>
    </row>
    <row r="485">
      <c r="A485" s="39" t="s">
        <v>957</v>
      </c>
      <c r="B485" s="39" t="s">
        <v>2850</v>
      </c>
      <c r="C485" s="39" t="s">
        <v>19</v>
      </c>
      <c r="D485" s="39">
        <v>62097.0</v>
      </c>
      <c r="F485" s="39" t="s">
        <v>2851</v>
      </c>
      <c r="G485" s="39" t="s">
        <v>724</v>
      </c>
      <c r="H485" s="39" t="s">
        <v>872</v>
      </c>
      <c r="I485" s="39" t="s">
        <v>1060</v>
      </c>
      <c r="J485" s="39" t="s">
        <v>1059</v>
      </c>
      <c r="K485" s="39" t="s">
        <v>2158</v>
      </c>
      <c r="L485" s="43">
        <v>44200.42847222222</v>
      </c>
      <c r="N485" s="44">
        <v>44060.68194444444</v>
      </c>
    </row>
    <row r="486">
      <c r="A486" s="39" t="s">
        <v>957</v>
      </c>
      <c r="B486" s="39" t="s">
        <v>2852</v>
      </c>
      <c r="C486" s="39" t="s">
        <v>19</v>
      </c>
      <c r="D486" s="39">
        <v>62094.0</v>
      </c>
      <c r="F486" s="39" t="s">
        <v>2853</v>
      </c>
      <c r="G486" s="39" t="s">
        <v>724</v>
      </c>
      <c r="H486" s="39" t="s">
        <v>872</v>
      </c>
      <c r="I486" s="39" t="s">
        <v>1060</v>
      </c>
      <c r="J486" s="39" t="s">
        <v>1059</v>
      </c>
      <c r="K486" s="39" t="s">
        <v>2158</v>
      </c>
      <c r="L486" s="43">
        <v>44200.42847222222</v>
      </c>
      <c r="N486" s="44">
        <v>44060.55069444444</v>
      </c>
    </row>
    <row r="487">
      <c r="A487" s="39" t="s">
        <v>957</v>
      </c>
      <c r="B487" s="39" t="s">
        <v>2854</v>
      </c>
      <c r="C487" s="39" t="s">
        <v>19</v>
      </c>
      <c r="D487" s="39">
        <v>62095.0</v>
      </c>
      <c r="F487" s="39" t="s">
        <v>2855</v>
      </c>
      <c r="I487" s="39" t="s">
        <v>1049</v>
      </c>
      <c r="J487" s="39" t="s">
        <v>1048</v>
      </c>
      <c r="K487" s="39" t="s">
        <v>2199</v>
      </c>
      <c r="L487" s="43">
        <v>44200.42847222222</v>
      </c>
      <c r="N487" s="44">
        <v>44060.575</v>
      </c>
    </row>
    <row r="488">
      <c r="A488" s="39" t="s">
        <v>957</v>
      </c>
      <c r="B488" s="39" t="s">
        <v>2856</v>
      </c>
      <c r="C488" s="39" t="s">
        <v>19</v>
      </c>
      <c r="D488" s="39">
        <v>60803.0</v>
      </c>
      <c r="F488" s="39" t="s">
        <v>2857</v>
      </c>
      <c r="G488" s="39" t="s">
        <v>724</v>
      </c>
      <c r="H488" s="39" t="s">
        <v>872</v>
      </c>
      <c r="I488" s="39" t="s">
        <v>724</v>
      </c>
      <c r="J488" s="39" t="s">
        <v>872</v>
      </c>
      <c r="K488" s="39" t="s">
        <v>2158</v>
      </c>
      <c r="L488" s="43">
        <v>44200.42847222222</v>
      </c>
      <c r="N488" s="43">
        <v>44021.74652777778</v>
      </c>
    </row>
    <row r="489">
      <c r="A489" s="39" t="s">
        <v>957</v>
      </c>
      <c r="B489" s="39" t="s">
        <v>2858</v>
      </c>
      <c r="C489" s="39" t="s">
        <v>19</v>
      </c>
      <c r="D489" s="39">
        <v>60802.0</v>
      </c>
      <c r="F489" s="39" t="s">
        <v>2859</v>
      </c>
      <c r="G489" s="39" t="s">
        <v>724</v>
      </c>
      <c r="H489" s="39" t="s">
        <v>872</v>
      </c>
      <c r="I489" s="39" t="s">
        <v>724</v>
      </c>
      <c r="J489" s="39" t="s">
        <v>872</v>
      </c>
      <c r="K489" s="39" t="s">
        <v>2158</v>
      </c>
      <c r="L489" s="43">
        <v>44200.42847222222</v>
      </c>
      <c r="N489" s="43">
        <v>44021.74375</v>
      </c>
    </row>
    <row r="490">
      <c r="A490" s="39" t="s">
        <v>957</v>
      </c>
      <c r="B490" s="39" t="s">
        <v>2860</v>
      </c>
      <c r="C490" s="39" t="s">
        <v>19</v>
      </c>
      <c r="D490" s="39">
        <v>60801.0</v>
      </c>
      <c r="F490" s="39" t="s">
        <v>2861</v>
      </c>
      <c r="G490" s="39" t="s">
        <v>724</v>
      </c>
      <c r="H490" s="39" t="s">
        <v>872</v>
      </c>
      <c r="I490" s="39" t="s">
        <v>724</v>
      </c>
      <c r="J490" s="39" t="s">
        <v>872</v>
      </c>
      <c r="K490" s="39" t="s">
        <v>2158</v>
      </c>
      <c r="L490" s="43">
        <v>44200.42847222222</v>
      </c>
      <c r="N490" s="43">
        <v>44021.73472222222</v>
      </c>
    </row>
    <row r="491">
      <c r="A491" s="39" t="s">
        <v>957</v>
      </c>
      <c r="B491" s="39" t="s">
        <v>2862</v>
      </c>
      <c r="C491" s="39" t="s">
        <v>19</v>
      </c>
      <c r="D491" s="39">
        <v>60800.0</v>
      </c>
      <c r="F491" s="39" t="s">
        <v>2863</v>
      </c>
      <c r="G491" s="39" t="s">
        <v>724</v>
      </c>
      <c r="H491" s="39" t="s">
        <v>872</v>
      </c>
      <c r="I491" s="39" t="s">
        <v>724</v>
      </c>
      <c r="J491" s="39" t="s">
        <v>872</v>
      </c>
      <c r="K491" s="39" t="s">
        <v>2158</v>
      </c>
      <c r="L491" s="43">
        <v>44200.42847222222</v>
      </c>
      <c r="N491" s="43">
        <v>44021.73263888889</v>
      </c>
    </row>
    <row r="492">
      <c r="A492" s="39" t="s">
        <v>832</v>
      </c>
      <c r="B492" s="39" t="s">
        <v>1849</v>
      </c>
      <c r="C492" s="39" t="s">
        <v>19</v>
      </c>
      <c r="D492" s="39">
        <v>60815.0</v>
      </c>
      <c r="F492" s="39" t="s">
        <v>1850</v>
      </c>
      <c r="G492" s="39" t="s">
        <v>724</v>
      </c>
      <c r="H492" s="39" t="s">
        <v>872</v>
      </c>
      <c r="I492" s="39" t="s">
        <v>724</v>
      </c>
      <c r="J492" s="39" t="s">
        <v>872</v>
      </c>
      <c r="K492" s="39" t="s">
        <v>2158</v>
      </c>
      <c r="L492" s="43">
        <v>44200.42847222222</v>
      </c>
      <c r="M492" s="39">
        <v>53100.0</v>
      </c>
      <c r="N492" s="44">
        <v>44022.57777777778</v>
      </c>
    </row>
    <row r="493">
      <c r="A493" s="39" t="s">
        <v>957</v>
      </c>
      <c r="B493" s="39" t="s">
        <v>2864</v>
      </c>
      <c r="C493" s="39" t="s">
        <v>19</v>
      </c>
      <c r="D493" s="39">
        <v>60814.0</v>
      </c>
      <c r="F493" s="39" t="s">
        <v>2865</v>
      </c>
      <c r="G493" s="39" t="s">
        <v>1060</v>
      </c>
      <c r="H493" s="39" t="s">
        <v>1059</v>
      </c>
      <c r="I493" s="39" t="s">
        <v>724</v>
      </c>
      <c r="J493" s="39" t="s">
        <v>872</v>
      </c>
      <c r="K493" s="39" t="s">
        <v>2158</v>
      </c>
      <c r="L493" s="43">
        <v>44200.42847222222</v>
      </c>
      <c r="N493" s="44">
        <v>44022.57708333333</v>
      </c>
    </row>
    <row r="494">
      <c r="A494" s="39" t="s">
        <v>957</v>
      </c>
      <c r="B494" s="39" t="s">
        <v>2866</v>
      </c>
      <c r="C494" s="39" t="s">
        <v>19</v>
      </c>
      <c r="D494" s="39">
        <v>60813.0</v>
      </c>
      <c r="F494" s="39" t="s">
        <v>2867</v>
      </c>
      <c r="G494" s="39" t="s">
        <v>724</v>
      </c>
      <c r="H494" s="39" t="s">
        <v>872</v>
      </c>
      <c r="I494" s="39" t="s">
        <v>724</v>
      </c>
      <c r="J494" s="39" t="s">
        <v>872</v>
      </c>
      <c r="K494" s="39" t="s">
        <v>2158</v>
      </c>
      <c r="L494" s="43">
        <v>44200.42847222222</v>
      </c>
      <c r="N494" s="44">
        <v>44022.57708333333</v>
      </c>
    </row>
    <row r="495">
      <c r="A495" s="39" t="s">
        <v>957</v>
      </c>
      <c r="B495" s="39" t="s">
        <v>2868</v>
      </c>
      <c r="C495" s="39" t="s">
        <v>19</v>
      </c>
      <c r="D495" s="39">
        <v>61901.0</v>
      </c>
      <c r="F495" s="39" t="s">
        <v>2869</v>
      </c>
      <c r="G495" s="39" t="s">
        <v>724</v>
      </c>
      <c r="H495" s="39" t="s">
        <v>872</v>
      </c>
      <c r="I495" s="39" t="s">
        <v>724</v>
      </c>
      <c r="J495" s="39" t="s">
        <v>872</v>
      </c>
      <c r="K495" s="39" t="s">
        <v>2158</v>
      </c>
      <c r="L495" s="43">
        <v>44200.42847222222</v>
      </c>
      <c r="N495" s="43">
        <v>44052.9125</v>
      </c>
    </row>
    <row r="496">
      <c r="A496" s="39" t="s">
        <v>957</v>
      </c>
      <c r="B496" s="39" t="s">
        <v>2870</v>
      </c>
      <c r="C496" s="39" t="s">
        <v>19</v>
      </c>
      <c r="D496" s="39">
        <v>60812.0</v>
      </c>
      <c r="F496" s="39" t="s">
        <v>2871</v>
      </c>
      <c r="G496" s="39" t="s">
        <v>724</v>
      </c>
      <c r="H496" s="39" t="s">
        <v>872</v>
      </c>
      <c r="I496" s="39" t="s">
        <v>724</v>
      </c>
      <c r="J496" s="39" t="s">
        <v>872</v>
      </c>
      <c r="K496" s="39" t="s">
        <v>2158</v>
      </c>
      <c r="L496" s="43">
        <v>44200.42847222222</v>
      </c>
      <c r="N496" s="44">
        <v>44022.57430555556</v>
      </c>
    </row>
    <row r="497">
      <c r="A497" s="39" t="s">
        <v>957</v>
      </c>
      <c r="B497" s="39" t="s">
        <v>2872</v>
      </c>
      <c r="C497" s="39" t="s">
        <v>19</v>
      </c>
      <c r="D497" s="39">
        <v>60811.0</v>
      </c>
      <c r="F497" s="39" t="s">
        <v>2873</v>
      </c>
      <c r="G497" s="39" t="s">
        <v>724</v>
      </c>
      <c r="H497" s="39" t="s">
        <v>872</v>
      </c>
      <c r="I497" s="39" t="s">
        <v>724</v>
      </c>
      <c r="J497" s="39" t="s">
        <v>872</v>
      </c>
      <c r="K497" s="39" t="s">
        <v>2158</v>
      </c>
      <c r="L497" s="43">
        <v>44200.42847222222</v>
      </c>
      <c r="N497" s="44">
        <v>44022.572916666664</v>
      </c>
    </row>
    <row r="498">
      <c r="A498" s="39" t="s">
        <v>832</v>
      </c>
      <c r="B498" s="39" t="s">
        <v>2874</v>
      </c>
      <c r="C498" s="39" t="s">
        <v>19</v>
      </c>
      <c r="D498" s="39">
        <v>60810.0</v>
      </c>
      <c r="F498" s="39" t="s">
        <v>2875</v>
      </c>
      <c r="G498" s="39" t="s">
        <v>1060</v>
      </c>
      <c r="H498" s="39" t="s">
        <v>1059</v>
      </c>
      <c r="I498" s="39" t="s">
        <v>724</v>
      </c>
      <c r="J498" s="39" t="s">
        <v>872</v>
      </c>
      <c r="K498" s="39" t="s">
        <v>2158</v>
      </c>
      <c r="L498" s="43">
        <v>44200.42847222222</v>
      </c>
      <c r="N498" s="44">
        <v>44022.57013888889</v>
      </c>
    </row>
    <row r="499">
      <c r="A499" s="39" t="s">
        <v>832</v>
      </c>
      <c r="B499" s="39" t="s">
        <v>1331</v>
      </c>
      <c r="C499" s="39" t="s">
        <v>19</v>
      </c>
      <c r="D499" s="39">
        <v>61900.0</v>
      </c>
      <c r="F499" s="39" t="s">
        <v>1332</v>
      </c>
      <c r="G499" s="39" t="s">
        <v>1154</v>
      </c>
      <c r="H499" s="39" t="s">
        <v>1153</v>
      </c>
      <c r="I499" s="39" t="s">
        <v>724</v>
      </c>
      <c r="J499" s="39" t="s">
        <v>872</v>
      </c>
      <c r="K499" s="39" t="s">
        <v>2158</v>
      </c>
      <c r="L499" s="43">
        <v>44200.42847222222</v>
      </c>
      <c r="M499" s="39">
        <v>18000.0</v>
      </c>
      <c r="N499" s="43">
        <v>44052.899305555555</v>
      </c>
    </row>
    <row r="500">
      <c r="A500" s="39" t="s">
        <v>832</v>
      </c>
      <c r="B500" s="39" t="s">
        <v>1347</v>
      </c>
      <c r="C500" s="39" t="s">
        <v>19</v>
      </c>
      <c r="D500" s="39">
        <v>60809.0</v>
      </c>
      <c r="F500" s="39" t="s">
        <v>1378</v>
      </c>
      <c r="G500" s="39" t="s">
        <v>724</v>
      </c>
      <c r="H500" s="39" t="s">
        <v>872</v>
      </c>
      <c r="I500" s="39" t="s">
        <v>724</v>
      </c>
      <c r="J500" s="39" t="s">
        <v>872</v>
      </c>
      <c r="K500" s="39" t="s">
        <v>2158</v>
      </c>
      <c r="L500" s="43">
        <v>44200.42847222222</v>
      </c>
      <c r="M500" s="39">
        <v>247500.0</v>
      </c>
      <c r="N500" s="44">
        <v>44022.55972222222</v>
      </c>
    </row>
    <row r="501">
      <c r="A501" s="39" t="s">
        <v>957</v>
      </c>
      <c r="B501" s="39" t="s">
        <v>2876</v>
      </c>
      <c r="C501" s="39" t="s">
        <v>19</v>
      </c>
      <c r="D501" s="39">
        <v>60807.0</v>
      </c>
      <c r="F501" s="39" t="s">
        <v>2877</v>
      </c>
      <c r="G501" s="39" t="s">
        <v>724</v>
      </c>
      <c r="H501" s="39" t="s">
        <v>872</v>
      </c>
      <c r="I501" s="39" t="s">
        <v>724</v>
      </c>
      <c r="J501" s="39" t="s">
        <v>872</v>
      </c>
      <c r="K501" s="39" t="s">
        <v>2158</v>
      </c>
      <c r="L501" s="43">
        <v>44200.42847222222</v>
      </c>
      <c r="N501" s="44">
        <v>44022.529861111114</v>
      </c>
    </row>
    <row r="502">
      <c r="A502" s="39" t="s">
        <v>832</v>
      </c>
      <c r="B502" s="39" t="s">
        <v>2878</v>
      </c>
      <c r="C502" s="39" t="s">
        <v>19</v>
      </c>
      <c r="D502" s="39">
        <v>60806.0</v>
      </c>
      <c r="F502" s="39" t="s">
        <v>2879</v>
      </c>
      <c r="G502" s="39" t="s">
        <v>724</v>
      </c>
      <c r="H502" s="39" t="s">
        <v>872</v>
      </c>
      <c r="I502" s="39" t="s">
        <v>724</v>
      </c>
      <c r="J502" s="39" t="s">
        <v>872</v>
      </c>
      <c r="K502" s="39" t="s">
        <v>2161</v>
      </c>
      <c r="L502" s="43">
        <v>44200.42847222222</v>
      </c>
      <c r="N502" s="44">
        <v>44022.524305555555</v>
      </c>
    </row>
    <row r="503">
      <c r="A503" s="39" t="s">
        <v>957</v>
      </c>
      <c r="B503" s="39" t="s">
        <v>1344</v>
      </c>
      <c r="C503" s="39" t="s">
        <v>19</v>
      </c>
      <c r="D503" s="39">
        <v>61914.0</v>
      </c>
      <c r="F503" s="39" t="s">
        <v>1345</v>
      </c>
      <c r="G503" s="39" t="s">
        <v>1049</v>
      </c>
      <c r="H503" s="39" t="s">
        <v>1048</v>
      </c>
      <c r="I503" s="39" t="s">
        <v>724</v>
      </c>
      <c r="J503" s="39" t="s">
        <v>872</v>
      </c>
      <c r="K503" s="39" t="s">
        <v>2158</v>
      </c>
      <c r="L503" s="43">
        <v>44200.42847222222</v>
      </c>
      <c r="M503" s="39">
        <v>7200.0</v>
      </c>
      <c r="N503" s="44">
        <v>44053.68680555555</v>
      </c>
    </row>
    <row r="504">
      <c r="A504" s="39" t="s">
        <v>957</v>
      </c>
      <c r="B504" s="39" t="s">
        <v>2880</v>
      </c>
      <c r="C504" s="39" t="s">
        <v>19</v>
      </c>
      <c r="D504" s="39">
        <v>61912.0</v>
      </c>
      <c r="F504" s="39" t="s">
        <v>2881</v>
      </c>
      <c r="G504" s="39" t="s">
        <v>1049</v>
      </c>
      <c r="H504" s="39" t="s">
        <v>1048</v>
      </c>
      <c r="I504" s="39" t="s">
        <v>724</v>
      </c>
      <c r="J504" s="39" t="s">
        <v>872</v>
      </c>
      <c r="K504" s="39" t="s">
        <v>2158</v>
      </c>
      <c r="L504" s="43">
        <v>44200.42847222222</v>
      </c>
      <c r="N504" s="44">
        <v>44053.592361111114</v>
      </c>
    </row>
    <row r="505">
      <c r="A505" s="39" t="s">
        <v>957</v>
      </c>
      <c r="B505" s="39" t="s">
        <v>2882</v>
      </c>
      <c r="C505" s="39" t="s">
        <v>19</v>
      </c>
      <c r="D505" s="39">
        <v>60823.0</v>
      </c>
      <c r="F505" s="39" t="s">
        <v>2883</v>
      </c>
      <c r="G505" s="39" t="s">
        <v>724</v>
      </c>
      <c r="H505" s="39" t="s">
        <v>872</v>
      </c>
      <c r="I505" s="39" t="s">
        <v>724</v>
      </c>
      <c r="J505" s="39" t="s">
        <v>872</v>
      </c>
      <c r="K505" s="39" t="s">
        <v>2158</v>
      </c>
      <c r="L505" s="43">
        <v>44200.42847222222</v>
      </c>
      <c r="N505" s="44">
        <v>44025.416666666664</v>
      </c>
    </row>
    <row r="506">
      <c r="A506" s="39" t="s">
        <v>832</v>
      </c>
      <c r="B506" s="39" t="s">
        <v>2884</v>
      </c>
      <c r="C506" s="39" t="s">
        <v>19</v>
      </c>
      <c r="D506" s="39">
        <v>60821.0</v>
      </c>
      <c r="F506" s="39" t="s">
        <v>2885</v>
      </c>
      <c r="G506" s="39" t="s">
        <v>724</v>
      </c>
      <c r="H506" s="39" t="s">
        <v>872</v>
      </c>
      <c r="I506" s="39" t="s">
        <v>724</v>
      </c>
      <c r="J506" s="39" t="s">
        <v>872</v>
      </c>
      <c r="K506" s="39" t="s">
        <v>2161</v>
      </c>
      <c r="L506" s="43">
        <v>44200.42847222222</v>
      </c>
      <c r="N506" s="44">
        <v>44022.697222222225</v>
      </c>
    </row>
    <row r="507">
      <c r="A507" s="39" t="s">
        <v>832</v>
      </c>
      <c r="B507" s="39" t="s">
        <v>2886</v>
      </c>
      <c r="C507" s="39" t="s">
        <v>19</v>
      </c>
      <c r="D507" s="39">
        <v>61911.0</v>
      </c>
      <c r="F507" s="39" t="s">
        <v>2887</v>
      </c>
      <c r="I507" s="39" t="s">
        <v>724</v>
      </c>
      <c r="J507" s="39" t="s">
        <v>872</v>
      </c>
      <c r="K507" s="39" t="s">
        <v>2188</v>
      </c>
      <c r="L507" s="43">
        <v>44200.42847222222</v>
      </c>
      <c r="N507" s="44">
        <v>44053.5875</v>
      </c>
    </row>
    <row r="508">
      <c r="A508" s="39" t="s">
        <v>832</v>
      </c>
      <c r="B508" s="39" t="s">
        <v>2140</v>
      </c>
      <c r="C508" s="39" t="s">
        <v>19</v>
      </c>
      <c r="D508" s="39">
        <v>65399.0</v>
      </c>
      <c r="F508" s="39" t="s">
        <v>2141</v>
      </c>
      <c r="G508" s="39" t="s">
        <v>1049</v>
      </c>
      <c r="H508" s="39" t="s">
        <v>1048</v>
      </c>
      <c r="I508" s="39" t="s">
        <v>724</v>
      </c>
      <c r="J508" s="39" t="s">
        <v>872</v>
      </c>
      <c r="K508" s="39" t="s">
        <v>2188</v>
      </c>
      <c r="L508" s="43">
        <v>44200.42847222222</v>
      </c>
      <c r="M508" s="39">
        <v>7200.0</v>
      </c>
      <c r="N508" s="43">
        <v>44136.62847222222</v>
      </c>
    </row>
    <row r="509">
      <c r="A509" s="39" t="s">
        <v>957</v>
      </c>
      <c r="B509" s="39" t="s">
        <v>1858</v>
      </c>
      <c r="C509" s="39" t="s">
        <v>19</v>
      </c>
      <c r="D509" s="39">
        <v>65271.0</v>
      </c>
      <c r="F509" s="39" t="s">
        <v>1859</v>
      </c>
      <c r="G509" s="39" t="s">
        <v>724</v>
      </c>
      <c r="H509" s="39" t="s">
        <v>872</v>
      </c>
      <c r="I509" s="39" t="s">
        <v>1060</v>
      </c>
      <c r="J509" s="39" t="s">
        <v>1059</v>
      </c>
      <c r="K509" s="39" t="s">
        <v>2158</v>
      </c>
      <c r="L509" s="43">
        <v>44200.42847222222</v>
      </c>
      <c r="M509" s="39">
        <v>27000.0</v>
      </c>
      <c r="N509" s="44">
        <v>44132.50833333333</v>
      </c>
    </row>
    <row r="510">
      <c r="A510" s="39" t="s">
        <v>957</v>
      </c>
      <c r="B510" s="39" t="s">
        <v>1538</v>
      </c>
      <c r="C510" s="39" t="s">
        <v>19</v>
      </c>
      <c r="D510" s="39">
        <v>61907.0</v>
      </c>
      <c r="F510" s="39" t="s">
        <v>1539</v>
      </c>
      <c r="G510" s="39" t="s">
        <v>1049</v>
      </c>
      <c r="H510" s="39" t="s">
        <v>1048</v>
      </c>
      <c r="I510" s="39" t="s">
        <v>724</v>
      </c>
      <c r="J510" s="39" t="s">
        <v>872</v>
      </c>
      <c r="K510" s="39" t="s">
        <v>2199</v>
      </c>
      <c r="L510" s="43">
        <v>44200.42847222222</v>
      </c>
      <c r="M510" s="39">
        <v>10800.0</v>
      </c>
      <c r="N510" s="44">
        <v>44053.49444444444</v>
      </c>
    </row>
    <row r="511">
      <c r="A511" s="39" t="s">
        <v>832</v>
      </c>
      <c r="B511" s="39" t="s">
        <v>1596</v>
      </c>
      <c r="C511" s="39" t="s">
        <v>19</v>
      </c>
      <c r="D511" s="39">
        <v>60819.0</v>
      </c>
      <c r="F511" s="39" t="s">
        <v>1614</v>
      </c>
      <c r="G511" s="39" t="s">
        <v>724</v>
      </c>
      <c r="H511" s="39" t="s">
        <v>872</v>
      </c>
      <c r="I511" s="39" t="s">
        <v>724</v>
      </c>
      <c r="J511" s="39" t="s">
        <v>872</v>
      </c>
      <c r="K511" s="39" t="s">
        <v>2158</v>
      </c>
      <c r="L511" s="43">
        <v>44200.42847222222</v>
      </c>
      <c r="M511" s="39">
        <v>191100.0</v>
      </c>
      <c r="N511" s="44">
        <v>44022.61388888889</v>
      </c>
    </row>
    <row r="512">
      <c r="A512" s="39" t="s">
        <v>832</v>
      </c>
      <c r="B512" s="39" t="s">
        <v>2888</v>
      </c>
      <c r="C512" s="39" t="s">
        <v>19</v>
      </c>
      <c r="D512" s="39">
        <v>60818.0</v>
      </c>
      <c r="F512" s="39" t="s">
        <v>2889</v>
      </c>
      <c r="G512" s="39" t="s">
        <v>724</v>
      </c>
      <c r="H512" s="39" t="s">
        <v>872</v>
      </c>
      <c r="I512" s="39" t="s">
        <v>724</v>
      </c>
      <c r="J512" s="39" t="s">
        <v>872</v>
      </c>
      <c r="K512" s="39" t="s">
        <v>2161</v>
      </c>
      <c r="L512" s="43">
        <v>44200.42847222222</v>
      </c>
      <c r="N512" s="44">
        <v>44022.60763888889</v>
      </c>
    </row>
    <row r="513">
      <c r="A513" s="39" t="s">
        <v>957</v>
      </c>
      <c r="B513" s="39" t="s">
        <v>1341</v>
      </c>
      <c r="C513" s="39" t="s">
        <v>19</v>
      </c>
      <c r="D513" s="39">
        <v>61908.0</v>
      </c>
      <c r="F513" s="39" t="s">
        <v>1342</v>
      </c>
      <c r="G513" s="39" t="s">
        <v>724</v>
      </c>
      <c r="H513" s="39" t="s">
        <v>872</v>
      </c>
      <c r="I513" s="39" t="s">
        <v>1049</v>
      </c>
      <c r="J513" s="39" t="s">
        <v>1048</v>
      </c>
      <c r="K513" s="39" t="s">
        <v>2199</v>
      </c>
      <c r="L513" s="43">
        <v>44200.42847222222</v>
      </c>
      <c r="M513" s="39">
        <v>18000.0</v>
      </c>
      <c r="N513" s="44">
        <v>44053.54513888889</v>
      </c>
    </row>
    <row r="514">
      <c r="A514" s="39" t="s">
        <v>957</v>
      </c>
      <c r="B514" s="39" t="s">
        <v>2890</v>
      </c>
      <c r="C514" s="39" t="s">
        <v>19</v>
      </c>
      <c r="D514" s="39">
        <v>60817.0</v>
      </c>
      <c r="F514" s="39" t="s">
        <v>2891</v>
      </c>
      <c r="G514" s="39" t="s">
        <v>1060</v>
      </c>
      <c r="H514" s="39" t="s">
        <v>1059</v>
      </c>
      <c r="I514" s="39" t="s">
        <v>724</v>
      </c>
      <c r="J514" s="39" t="s">
        <v>872</v>
      </c>
      <c r="K514" s="39" t="s">
        <v>2158</v>
      </c>
      <c r="L514" s="43">
        <v>44200.42847222222</v>
      </c>
      <c r="N514" s="44">
        <v>44022.58263888889</v>
      </c>
    </row>
    <row r="515">
      <c r="A515" s="39" t="s">
        <v>957</v>
      </c>
      <c r="B515" s="39" t="s">
        <v>2892</v>
      </c>
      <c r="C515" s="39" t="s">
        <v>19</v>
      </c>
      <c r="D515" s="39">
        <v>60816.0</v>
      </c>
      <c r="F515" s="39" t="s">
        <v>2893</v>
      </c>
      <c r="G515" s="39" t="s">
        <v>1060</v>
      </c>
      <c r="H515" s="39" t="s">
        <v>1059</v>
      </c>
      <c r="I515" s="39" t="s">
        <v>724</v>
      </c>
      <c r="J515" s="39" t="s">
        <v>872</v>
      </c>
      <c r="K515" s="39" t="s">
        <v>2158</v>
      </c>
      <c r="L515" s="43">
        <v>44200.42847222222</v>
      </c>
      <c r="N515" s="44">
        <v>44022.580555555556</v>
      </c>
    </row>
    <row r="516">
      <c r="A516" s="39" t="s">
        <v>957</v>
      </c>
      <c r="B516" s="39" t="s">
        <v>2894</v>
      </c>
      <c r="C516" s="39" t="s">
        <v>19</v>
      </c>
      <c r="D516" s="39">
        <v>60958.0</v>
      </c>
      <c r="F516" s="39" t="s">
        <v>2895</v>
      </c>
      <c r="G516" s="39" t="s">
        <v>1060</v>
      </c>
      <c r="H516" s="39" t="s">
        <v>1059</v>
      </c>
      <c r="I516" s="39" t="s">
        <v>724</v>
      </c>
      <c r="J516" s="39" t="s">
        <v>872</v>
      </c>
      <c r="K516" s="39" t="s">
        <v>2158</v>
      </c>
      <c r="L516" s="43">
        <v>44200.42847222222</v>
      </c>
      <c r="N516" s="44">
        <v>44027.39722222222</v>
      </c>
    </row>
    <row r="517">
      <c r="A517" s="39" t="s">
        <v>957</v>
      </c>
      <c r="B517" s="39" t="s">
        <v>2896</v>
      </c>
      <c r="C517" s="39" t="s">
        <v>19</v>
      </c>
      <c r="D517" s="39">
        <v>60957.0</v>
      </c>
      <c r="F517" s="39" t="s">
        <v>2897</v>
      </c>
      <c r="G517" s="39" t="s">
        <v>1060</v>
      </c>
      <c r="H517" s="39" t="s">
        <v>1059</v>
      </c>
      <c r="I517" s="39" t="s">
        <v>724</v>
      </c>
      <c r="J517" s="39" t="s">
        <v>872</v>
      </c>
      <c r="K517" s="39" t="s">
        <v>2158</v>
      </c>
      <c r="L517" s="43">
        <v>44200.42847222222</v>
      </c>
      <c r="N517" s="44">
        <v>44027.395833333336</v>
      </c>
    </row>
    <row r="518">
      <c r="A518" s="39" t="s">
        <v>957</v>
      </c>
      <c r="B518" s="39" t="s">
        <v>2898</v>
      </c>
      <c r="C518" s="39" t="s">
        <v>19</v>
      </c>
      <c r="D518" s="39">
        <v>60956.0</v>
      </c>
      <c r="F518" s="39" t="s">
        <v>2899</v>
      </c>
      <c r="G518" s="39" t="s">
        <v>1060</v>
      </c>
      <c r="H518" s="39" t="s">
        <v>1059</v>
      </c>
      <c r="I518" s="39" t="s">
        <v>724</v>
      </c>
      <c r="J518" s="39" t="s">
        <v>872</v>
      </c>
      <c r="K518" s="39" t="s">
        <v>2158</v>
      </c>
      <c r="L518" s="43">
        <v>44200.42847222222</v>
      </c>
      <c r="N518" s="44">
        <v>44027.39166666667</v>
      </c>
    </row>
    <row r="519">
      <c r="A519" s="39" t="s">
        <v>957</v>
      </c>
      <c r="B519" s="39" t="s">
        <v>2900</v>
      </c>
      <c r="C519" s="39" t="s">
        <v>19</v>
      </c>
      <c r="D519" s="39">
        <v>61923.0</v>
      </c>
      <c r="F519" s="39" t="s">
        <v>2901</v>
      </c>
      <c r="G519" s="39" t="s">
        <v>724</v>
      </c>
      <c r="H519" s="39" t="s">
        <v>872</v>
      </c>
      <c r="I519" s="39" t="s">
        <v>1049</v>
      </c>
      <c r="J519" s="39" t="s">
        <v>1048</v>
      </c>
      <c r="K519" s="39" t="s">
        <v>2199</v>
      </c>
      <c r="L519" s="43">
        <v>44200.42847222222</v>
      </c>
      <c r="N519" s="44">
        <v>44054.572916666664</v>
      </c>
    </row>
    <row r="520">
      <c r="A520" s="39" t="s">
        <v>957</v>
      </c>
      <c r="B520" s="39" t="s">
        <v>2902</v>
      </c>
      <c r="C520" s="39" t="s">
        <v>19</v>
      </c>
      <c r="D520" s="39">
        <v>60955.0</v>
      </c>
      <c r="F520" s="39" t="s">
        <v>2903</v>
      </c>
      <c r="G520" s="39" t="s">
        <v>1060</v>
      </c>
      <c r="H520" s="39" t="s">
        <v>1059</v>
      </c>
      <c r="I520" s="39" t="s">
        <v>724</v>
      </c>
      <c r="J520" s="39" t="s">
        <v>872</v>
      </c>
      <c r="K520" s="39" t="s">
        <v>2158</v>
      </c>
      <c r="L520" s="43">
        <v>44200.42847222222</v>
      </c>
      <c r="N520" s="44">
        <v>44027.3875</v>
      </c>
    </row>
    <row r="521">
      <c r="A521" s="39" t="s">
        <v>957</v>
      </c>
      <c r="B521" s="39" t="s">
        <v>2904</v>
      </c>
      <c r="C521" s="39" t="s">
        <v>19</v>
      </c>
      <c r="D521" s="39">
        <v>60833.0</v>
      </c>
      <c r="F521" s="39" t="s">
        <v>2905</v>
      </c>
      <c r="G521" s="39" t="s">
        <v>1060</v>
      </c>
      <c r="H521" s="39" t="s">
        <v>1059</v>
      </c>
      <c r="I521" s="39" t="s">
        <v>1060</v>
      </c>
      <c r="J521" s="39" t="s">
        <v>1059</v>
      </c>
      <c r="K521" s="39" t="s">
        <v>2158</v>
      </c>
      <c r="L521" s="43">
        <v>44200.42847222222</v>
      </c>
      <c r="N521" s="44">
        <v>44025.53680555556</v>
      </c>
    </row>
    <row r="522">
      <c r="A522" s="39" t="s">
        <v>957</v>
      </c>
      <c r="B522" s="39" t="s">
        <v>2906</v>
      </c>
      <c r="C522" s="39" t="s">
        <v>19</v>
      </c>
      <c r="D522" s="39">
        <v>60954.0</v>
      </c>
      <c r="F522" s="39" t="s">
        <v>2907</v>
      </c>
      <c r="G522" s="39" t="s">
        <v>1060</v>
      </c>
      <c r="H522" s="39" t="s">
        <v>1059</v>
      </c>
      <c r="I522" s="39" t="s">
        <v>724</v>
      </c>
      <c r="J522" s="39" t="s">
        <v>872</v>
      </c>
      <c r="K522" s="39" t="s">
        <v>2158</v>
      </c>
      <c r="L522" s="43">
        <v>44200.42847222222</v>
      </c>
      <c r="N522" s="44">
        <v>44027.38611111111</v>
      </c>
    </row>
    <row r="523">
      <c r="A523" s="39" t="s">
        <v>957</v>
      </c>
      <c r="B523" s="39" t="s">
        <v>2908</v>
      </c>
      <c r="C523" s="39" t="s">
        <v>19</v>
      </c>
      <c r="D523" s="39">
        <v>60953.0</v>
      </c>
      <c r="F523" s="39" t="s">
        <v>2909</v>
      </c>
      <c r="G523" s="39" t="s">
        <v>724</v>
      </c>
      <c r="H523" s="39" t="s">
        <v>872</v>
      </c>
      <c r="I523" s="39" t="s">
        <v>1049</v>
      </c>
      <c r="J523" s="39" t="s">
        <v>1048</v>
      </c>
      <c r="K523" s="39" t="s">
        <v>2158</v>
      </c>
      <c r="L523" s="43">
        <v>44200.42847222222</v>
      </c>
      <c r="N523" s="44">
        <v>44026.71875</v>
      </c>
    </row>
    <row r="524">
      <c r="A524" s="39" t="s">
        <v>957</v>
      </c>
      <c r="B524" s="39" t="s">
        <v>2910</v>
      </c>
      <c r="C524" s="39" t="s">
        <v>19</v>
      </c>
      <c r="D524" s="39">
        <v>60832.0</v>
      </c>
      <c r="F524" s="39" t="s">
        <v>2911</v>
      </c>
      <c r="G524" s="39" t="s">
        <v>724</v>
      </c>
      <c r="H524" s="39" t="s">
        <v>872</v>
      </c>
      <c r="I524" s="39" t="s">
        <v>1060</v>
      </c>
      <c r="J524" s="39" t="s">
        <v>1059</v>
      </c>
      <c r="K524" s="39" t="s">
        <v>2158</v>
      </c>
      <c r="L524" s="43">
        <v>44200.42847222222</v>
      </c>
      <c r="N524" s="44">
        <v>44025.535416666666</v>
      </c>
    </row>
    <row r="525">
      <c r="A525" s="39" t="s">
        <v>957</v>
      </c>
      <c r="B525" s="39" t="s">
        <v>2912</v>
      </c>
      <c r="C525" s="39" t="s">
        <v>19</v>
      </c>
      <c r="D525" s="39">
        <v>60831.0</v>
      </c>
      <c r="F525" s="39" t="s">
        <v>2913</v>
      </c>
      <c r="G525" s="39" t="s">
        <v>724</v>
      </c>
      <c r="H525" s="39" t="s">
        <v>872</v>
      </c>
      <c r="I525" s="39" t="s">
        <v>1060</v>
      </c>
      <c r="J525" s="39" t="s">
        <v>1059</v>
      </c>
      <c r="K525" s="39" t="s">
        <v>2158</v>
      </c>
      <c r="L525" s="43">
        <v>44200.42847222222</v>
      </c>
      <c r="N525" s="44">
        <v>44025.535416666666</v>
      </c>
    </row>
    <row r="526">
      <c r="A526" s="39" t="s">
        <v>957</v>
      </c>
      <c r="B526" s="39" t="s">
        <v>2914</v>
      </c>
      <c r="C526" s="39" t="s">
        <v>19</v>
      </c>
      <c r="D526" s="39">
        <v>60952.0</v>
      </c>
      <c r="F526" s="39" t="s">
        <v>2915</v>
      </c>
      <c r="G526" s="39" t="s">
        <v>724</v>
      </c>
      <c r="H526" s="39" t="s">
        <v>872</v>
      </c>
      <c r="I526" s="39" t="s">
        <v>1049</v>
      </c>
      <c r="J526" s="39" t="s">
        <v>1048</v>
      </c>
      <c r="K526" s="39" t="s">
        <v>2158</v>
      </c>
      <c r="L526" s="43">
        <v>44200.42847222222</v>
      </c>
      <c r="N526" s="44">
        <v>44026.71666666667</v>
      </c>
    </row>
    <row r="527">
      <c r="A527" s="39" t="s">
        <v>957</v>
      </c>
      <c r="B527" s="39" t="s">
        <v>2916</v>
      </c>
      <c r="C527" s="39" t="s">
        <v>19</v>
      </c>
      <c r="D527" s="39">
        <v>60830.0</v>
      </c>
      <c r="F527" s="39" t="s">
        <v>2917</v>
      </c>
      <c r="G527" s="39" t="s">
        <v>724</v>
      </c>
      <c r="H527" s="39" t="s">
        <v>872</v>
      </c>
      <c r="I527" s="39" t="s">
        <v>1060</v>
      </c>
      <c r="J527" s="39" t="s">
        <v>1059</v>
      </c>
      <c r="K527" s="39" t="s">
        <v>2158</v>
      </c>
      <c r="L527" s="43">
        <v>44200.42847222222</v>
      </c>
      <c r="N527" s="44">
        <v>44025.53333333333</v>
      </c>
    </row>
    <row r="528">
      <c r="A528" s="39" t="s">
        <v>957</v>
      </c>
      <c r="B528" s="39" t="s">
        <v>2918</v>
      </c>
      <c r="C528" s="39" t="s">
        <v>19</v>
      </c>
      <c r="D528" s="39">
        <v>60951.0</v>
      </c>
      <c r="F528" s="39" t="s">
        <v>2919</v>
      </c>
      <c r="I528" s="39" t="s">
        <v>1049</v>
      </c>
      <c r="J528" s="39" t="s">
        <v>1048</v>
      </c>
      <c r="K528" s="39" t="s">
        <v>2158</v>
      </c>
      <c r="L528" s="43">
        <v>44200.42847222222</v>
      </c>
      <c r="N528" s="44">
        <v>44026.67847222222</v>
      </c>
    </row>
    <row r="529">
      <c r="A529" s="39" t="s">
        <v>957</v>
      </c>
      <c r="B529" s="39" t="s">
        <v>2920</v>
      </c>
      <c r="C529" s="39" t="s">
        <v>19</v>
      </c>
      <c r="D529" s="39">
        <v>60950.0</v>
      </c>
      <c r="F529" s="39" t="s">
        <v>2921</v>
      </c>
      <c r="G529" s="39" t="s">
        <v>724</v>
      </c>
      <c r="H529" s="39" t="s">
        <v>872</v>
      </c>
      <c r="I529" s="39" t="s">
        <v>1049</v>
      </c>
      <c r="J529" s="39" t="s">
        <v>1048</v>
      </c>
      <c r="K529" s="39" t="s">
        <v>2158</v>
      </c>
      <c r="L529" s="43">
        <v>44200.42847222222</v>
      </c>
      <c r="N529" s="44">
        <v>44026.675</v>
      </c>
    </row>
    <row r="530">
      <c r="A530" s="39" t="s">
        <v>957</v>
      </c>
      <c r="B530" s="39" t="s">
        <v>2922</v>
      </c>
      <c r="C530" s="39" t="s">
        <v>19</v>
      </c>
      <c r="D530" s="39">
        <v>65285.0</v>
      </c>
      <c r="F530" s="39" t="s">
        <v>2923</v>
      </c>
      <c r="G530" s="39" t="s">
        <v>1049</v>
      </c>
      <c r="H530" s="39" t="s">
        <v>1048</v>
      </c>
      <c r="I530" s="39" t="s">
        <v>1049</v>
      </c>
      <c r="J530" s="39" t="s">
        <v>1048</v>
      </c>
      <c r="K530" s="39" t="s">
        <v>2161</v>
      </c>
      <c r="L530" s="43">
        <v>44200.42847222222</v>
      </c>
      <c r="N530" s="44">
        <v>44133.54583333333</v>
      </c>
    </row>
    <row r="531">
      <c r="A531" s="39" t="s">
        <v>832</v>
      </c>
      <c r="B531" s="39" t="s">
        <v>1383</v>
      </c>
      <c r="C531" s="39" t="s">
        <v>19</v>
      </c>
      <c r="D531" s="39">
        <v>61918.0</v>
      </c>
      <c r="F531" s="39" t="s">
        <v>1384</v>
      </c>
      <c r="G531" s="39" t="s">
        <v>724</v>
      </c>
      <c r="H531" s="39" t="s">
        <v>872</v>
      </c>
      <c r="I531" s="39" t="s">
        <v>724</v>
      </c>
      <c r="J531" s="39" t="s">
        <v>872</v>
      </c>
      <c r="K531" s="39" t="s">
        <v>2161</v>
      </c>
      <c r="L531" s="43">
        <v>44200.42847222222</v>
      </c>
      <c r="M531" s="39">
        <v>43200.0</v>
      </c>
      <c r="N531" s="44">
        <v>44054.03055555555</v>
      </c>
    </row>
    <row r="532">
      <c r="A532" s="39" t="s">
        <v>957</v>
      </c>
      <c r="B532" s="39" t="s">
        <v>2924</v>
      </c>
      <c r="C532" s="39" t="s">
        <v>19</v>
      </c>
      <c r="D532" s="39">
        <v>60829.0</v>
      </c>
      <c r="F532" s="39" t="s">
        <v>2925</v>
      </c>
      <c r="G532" s="39" t="s">
        <v>724</v>
      </c>
      <c r="H532" s="39" t="s">
        <v>872</v>
      </c>
      <c r="I532" s="39" t="s">
        <v>1060</v>
      </c>
      <c r="J532" s="39" t="s">
        <v>1059</v>
      </c>
      <c r="K532" s="39" t="s">
        <v>2158</v>
      </c>
      <c r="L532" s="43">
        <v>44200.42847222222</v>
      </c>
      <c r="N532" s="44">
        <v>44025.53333333333</v>
      </c>
    </row>
    <row r="533">
      <c r="A533" s="39" t="s">
        <v>957</v>
      </c>
      <c r="B533" s="39" t="s">
        <v>2926</v>
      </c>
      <c r="C533" s="39" t="s">
        <v>19</v>
      </c>
      <c r="D533" s="39">
        <v>60949.0</v>
      </c>
      <c r="F533" s="39" t="s">
        <v>2927</v>
      </c>
      <c r="G533" s="39" t="s">
        <v>724</v>
      </c>
      <c r="H533" s="39" t="s">
        <v>872</v>
      </c>
      <c r="I533" s="39" t="s">
        <v>1049</v>
      </c>
      <c r="J533" s="39" t="s">
        <v>1048</v>
      </c>
      <c r="K533" s="39" t="s">
        <v>2158</v>
      </c>
      <c r="L533" s="43">
        <v>44200.42847222222</v>
      </c>
      <c r="N533" s="44">
        <v>44026.67291666667</v>
      </c>
    </row>
    <row r="534">
      <c r="A534" s="39" t="s">
        <v>957</v>
      </c>
      <c r="B534" s="39" t="s">
        <v>2928</v>
      </c>
      <c r="C534" s="39" t="s">
        <v>19</v>
      </c>
      <c r="D534" s="39">
        <v>60948.0</v>
      </c>
      <c r="F534" s="39" t="s">
        <v>2929</v>
      </c>
      <c r="G534" s="39" t="s">
        <v>724</v>
      </c>
      <c r="H534" s="39" t="s">
        <v>872</v>
      </c>
      <c r="I534" s="39" t="s">
        <v>1049</v>
      </c>
      <c r="J534" s="39" t="s">
        <v>1048</v>
      </c>
      <c r="K534" s="39" t="s">
        <v>2158</v>
      </c>
      <c r="L534" s="43">
        <v>44200.42847222222</v>
      </c>
      <c r="N534" s="44">
        <v>44026.67222222222</v>
      </c>
    </row>
    <row r="535">
      <c r="A535" s="39" t="s">
        <v>957</v>
      </c>
      <c r="B535" s="39" t="s">
        <v>2930</v>
      </c>
      <c r="C535" s="39" t="s">
        <v>19</v>
      </c>
      <c r="D535" s="39">
        <v>60606.0</v>
      </c>
      <c r="F535" s="39" t="s">
        <v>2931</v>
      </c>
      <c r="G535" s="39" t="s">
        <v>724</v>
      </c>
      <c r="H535" s="39" t="s">
        <v>872</v>
      </c>
      <c r="I535" s="39" t="s">
        <v>1060</v>
      </c>
      <c r="J535" s="39" t="s">
        <v>1059</v>
      </c>
      <c r="K535" s="39" t="s">
        <v>2158</v>
      </c>
      <c r="L535" s="43">
        <v>44200.42847222222</v>
      </c>
      <c r="N535" s="43">
        <v>44019.67569444444</v>
      </c>
    </row>
    <row r="536">
      <c r="A536" s="39" t="s">
        <v>957</v>
      </c>
      <c r="B536" s="39" t="s">
        <v>2932</v>
      </c>
      <c r="C536" s="39" t="s">
        <v>19</v>
      </c>
      <c r="D536" s="39">
        <v>60969.0</v>
      </c>
      <c r="F536" s="39" t="s">
        <v>2933</v>
      </c>
      <c r="G536" s="39" t="s">
        <v>1060</v>
      </c>
      <c r="H536" s="39" t="s">
        <v>1059</v>
      </c>
      <c r="I536" s="39" t="s">
        <v>1060</v>
      </c>
      <c r="J536" s="39" t="s">
        <v>1059</v>
      </c>
      <c r="K536" s="39" t="s">
        <v>2158</v>
      </c>
      <c r="L536" s="43">
        <v>44200.42847222222</v>
      </c>
      <c r="N536" s="44">
        <v>44027.53680555556</v>
      </c>
    </row>
    <row r="537">
      <c r="A537" s="39" t="s">
        <v>957</v>
      </c>
      <c r="B537" s="39" t="s">
        <v>2934</v>
      </c>
      <c r="C537" s="39" t="s">
        <v>19</v>
      </c>
      <c r="D537" s="39">
        <v>60968.0</v>
      </c>
      <c r="F537" s="39" t="s">
        <v>2935</v>
      </c>
      <c r="G537" s="39" t="s">
        <v>1060</v>
      </c>
      <c r="H537" s="39" t="s">
        <v>1059</v>
      </c>
      <c r="I537" s="39" t="s">
        <v>1060</v>
      </c>
      <c r="J537" s="39" t="s">
        <v>1059</v>
      </c>
      <c r="K537" s="39" t="s">
        <v>2158</v>
      </c>
      <c r="L537" s="43">
        <v>44200.42847222222</v>
      </c>
      <c r="N537" s="44">
        <v>44027.529861111114</v>
      </c>
    </row>
    <row r="538">
      <c r="A538" s="39" t="s">
        <v>957</v>
      </c>
      <c r="B538" s="39" t="s">
        <v>2936</v>
      </c>
      <c r="C538" s="39" t="s">
        <v>19</v>
      </c>
      <c r="D538" s="39">
        <v>60605.0</v>
      </c>
      <c r="F538" s="39" t="s">
        <v>2937</v>
      </c>
      <c r="G538" s="39" t="s">
        <v>724</v>
      </c>
      <c r="H538" s="39" t="s">
        <v>872</v>
      </c>
      <c r="I538" s="39" t="s">
        <v>1060</v>
      </c>
      <c r="J538" s="39" t="s">
        <v>1059</v>
      </c>
      <c r="K538" s="39" t="s">
        <v>2158</v>
      </c>
      <c r="L538" s="43">
        <v>44200.42847222222</v>
      </c>
      <c r="N538" s="43">
        <v>44019.675</v>
      </c>
    </row>
    <row r="539">
      <c r="A539" s="39" t="s">
        <v>957</v>
      </c>
      <c r="B539" s="39" t="s">
        <v>2938</v>
      </c>
      <c r="C539" s="39" t="s">
        <v>19</v>
      </c>
      <c r="D539" s="39">
        <v>60604.0</v>
      </c>
      <c r="F539" s="39" t="s">
        <v>2939</v>
      </c>
      <c r="G539" s="39" t="s">
        <v>724</v>
      </c>
      <c r="H539" s="39" t="s">
        <v>872</v>
      </c>
      <c r="I539" s="39" t="s">
        <v>1060</v>
      </c>
      <c r="J539" s="39" t="s">
        <v>1059</v>
      </c>
      <c r="K539" s="39" t="s">
        <v>2158</v>
      </c>
      <c r="L539" s="43">
        <v>44200.42847222222</v>
      </c>
      <c r="N539" s="43">
        <v>44019.67083333333</v>
      </c>
    </row>
    <row r="540">
      <c r="A540" s="39" t="s">
        <v>957</v>
      </c>
      <c r="B540" s="39" t="s">
        <v>2940</v>
      </c>
      <c r="C540" s="39" t="s">
        <v>19</v>
      </c>
      <c r="D540" s="39">
        <v>60967.0</v>
      </c>
      <c r="F540" s="39" t="s">
        <v>2941</v>
      </c>
      <c r="G540" s="39" t="s">
        <v>1060</v>
      </c>
      <c r="H540" s="39" t="s">
        <v>1059</v>
      </c>
      <c r="I540" s="39" t="s">
        <v>1060</v>
      </c>
      <c r="J540" s="39" t="s">
        <v>1059</v>
      </c>
      <c r="K540" s="39" t="s">
        <v>2158</v>
      </c>
      <c r="L540" s="43">
        <v>44200.42847222222</v>
      </c>
      <c r="N540" s="44">
        <v>44027.52916666667</v>
      </c>
    </row>
    <row r="541">
      <c r="A541" s="39" t="s">
        <v>957</v>
      </c>
      <c r="B541" s="39" t="s">
        <v>2942</v>
      </c>
      <c r="C541" s="39" t="s">
        <v>19</v>
      </c>
      <c r="D541" s="39">
        <v>60603.0</v>
      </c>
      <c r="F541" s="39" t="s">
        <v>2943</v>
      </c>
      <c r="G541" s="39" t="s">
        <v>724</v>
      </c>
      <c r="H541" s="39" t="s">
        <v>872</v>
      </c>
      <c r="I541" s="39" t="s">
        <v>1060</v>
      </c>
      <c r="J541" s="39" t="s">
        <v>1059</v>
      </c>
      <c r="K541" s="39" t="s">
        <v>2158</v>
      </c>
      <c r="L541" s="43">
        <v>44200.42847222222</v>
      </c>
      <c r="N541" s="43">
        <v>44019.67083333333</v>
      </c>
    </row>
    <row r="542">
      <c r="A542" s="39" t="s">
        <v>957</v>
      </c>
      <c r="B542" s="39" t="s">
        <v>2944</v>
      </c>
      <c r="C542" s="39" t="s">
        <v>19</v>
      </c>
      <c r="D542" s="39">
        <v>60966.0</v>
      </c>
      <c r="F542" s="39" t="s">
        <v>2945</v>
      </c>
      <c r="G542" s="39" t="s">
        <v>1060</v>
      </c>
      <c r="H542" s="39" t="s">
        <v>1059</v>
      </c>
      <c r="I542" s="39" t="s">
        <v>1060</v>
      </c>
      <c r="J542" s="39" t="s">
        <v>1059</v>
      </c>
      <c r="K542" s="39" t="s">
        <v>2158</v>
      </c>
      <c r="L542" s="43">
        <v>44200.42847222222</v>
      </c>
      <c r="N542" s="44">
        <v>44027.527083333334</v>
      </c>
    </row>
    <row r="543">
      <c r="A543" s="39" t="s">
        <v>957</v>
      </c>
      <c r="B543" s="39" t="s">
        <v>2946</v>
      </c>
      <c r="C543" s="39" t="s">
        <v>19</v>
      </c>
      <c r="D543" s="39">
        <v>60602.0</v>
      </c>
      <c r="F543" s="39" t="s">
        <v>2947</v>
      </c>
      <c r="G543" s="39" t="s">
        <v>724</v>
      </c>
      <c r="H543" s="39" t="s">
        <v>872</v>
      </c>
      <c r="I543" s="39" t="s">
        <v>1060</v>
      </c>
      <c r="J543" s="39" t="s">
        <v>1059</v>
      </c>
      <c r="K543" s="39" t="s">
        <v>2158</v>
      </c>
      <c r="L543" s="43">
        <v>44200.42847222222</v>
      </c>
      <c r="N543" s="43">
        <v>44019.669444444444</v>
      </c>
    </row>
    <row r="544">
      <c r="A544" s="39" t="s">
        <v>832</v>
      </c>
      <c r="B544" s="39" t="s">
        <v>1276</v>
      </c>
      <c r="C544" s="39" t="s">
        <v>19</v>
      </c>
      <c r="D544" s="39">
        <v>60965.0</v>
      </c>
      <c r="F544" s="39" t="s">
        <v>2948</v>
      </c>
      <c r="G544" s="39" t="s">
        <v>1049</v>
      </c>
      <c r="H544" s="39" t="s">
        <v>1048</v>
      </c>
      <c r="I544" s="39" t="s">
        <v>724</v>
      </c>
      <c r="J544" s="39" t="s">
        <v>872</v>
      </c>
      <c r="K544" s="39" t="s">
        <v>2158</v>
      </c>
      <c r="L544" s="43">
        <v>44200.42847222222</v>
      </c>
      <c r="M544" s="39">
        <v>108000.0</v>
      </c>
      <c r="N544" s="44">
        <v>44027.49236111111</v>
      </c>
    </row>
    <row r="545">
      <c r="A545" s="39" t="s">
        <v>957</v>
      </c>
      <c r="B545" s="39" t="s">
        <v>2949</v>
      </c>
      <c r="C545" s="39" t="s">
        <v>19</v>
      </c>
      <c r="D545" s="39">
        <v>60601.0</v>
      </c>
      <c r="F545" s="39" t="s">
        <v>2950</v>
      </c>
      <c r="G545" s="39" t="s">
        <v>724</v>
      </c>
      <c r="H545" s="39" t="s">
        <v>872</v>
      </c>
      <c r="I545" s="39" t="s">
        <v>1060</v>
      </c>
      <c r="J545" s="39" t="s">
        <v>1059</v>
      </c>
      <c r="K545" s="39" t="s">
        <v>2158</v>
      </c>
      <c r="L545" s="43">
        <v>44200.42847222222</v>
      </c>
      <c r="N545" s="43">
        <v>44019.66458333333</v>
      </c>
    </row>
    <row r="546">
      <c r="A546" s="39" t="s">
        <v>72</v>
      </c>
      <c r="B546" s="39" t="s">
        <v>1671</v>
      </c>
      <c r="C546" s="39" t="s">
        <v>19</v>
      </c>
      <c r="D546" s="39">
        <v>60964.0</v>
      </c>
      <c r="F546" s="39" t="s">
        <v>1981</v>
      </c>
      <c r="I546" s="39" t="s">
        <v>724</v>
      </c>
      <c r="J546" s="39" t="s">
        <v>872</v>
      </c>
      <c r="K546" s="39" t="s">
        <v>2161</v>
      </c>
      <c r="L546" s="43">
        <v>44200.42847222222</v>
      </c>
      <c r="M546" s="39">
        <v>2700.0</v>
      </c>
      <c r="N546" s="44">
        <v>44027.41180555556</v>
      </c>
    </row>
    <row r="547">
      <c r="A547" s="39" t="s">
        <v>957</v>
      </c>
      <c r="B547" s="39" t="s">
        <v>2951</v>
      </c>
      <c r="C547" s="39" t="s">
        <v>19</v>
      </c>
      <c r="D547" s="39">
        <v>60963.0</v>
      </c>
      <c r="F547" s="39" t="s">
        <v>2952</v>
      </c>
      <c r="G547" s="39" t="s">
        <v>1060</v>
      </c>
      <c r="H547" s="39" t="s">
        <v>1059</v>
      </c>
      <c r="I547" s="39" t="s">
        <v>724</v>
      </c>
      <c r="J547" s="39" t="s">
        <v>872</v>
      </c>
      <c r="K547" s="39" t="s">
        <v>2158</v>
      </c>
      <c r="L547" s="43">
        <v>44200.42847222222</v>
      </c>
      <c r="N547" s="44">
        <v>44027.40902777778</v>
      </c>
    </row>
    <row r="548">
      <c r="A548" s="39" t="s">
        <v>957</v>
      </c>
      <c r="B548" s="39" t="s">
        <v>2953</v>
      </c>
      <c r="C548" s="39" t="s">
        <v>19</v>
      </c>
      <c r="D548" s="39">
        <v>60600.0</v>
      </c>
      <c r="F548" s="39" t="s">
        <v>2954</v>
      </c>
      <c r="G548" s="39" t="s">
        <v>724</v>
      </c>
      <c r="H548" s="39" t="s">
        <v>872</v>
      </c>
      <c r="I548" s="39" t="s">
        <v>1060</v>
      </c>
      <c r="J548" s="39" t="s">
        <v>1059</v>
      </c>
      <c r="K548" s="39" t="s">
        <v>2158</v>
      </c>
      <c r="L548" s="43">
        <v>44200.42847222222</v>
      </c>
      <c r="N548" s="43">
        <v>44019.66388888889</v>
      </c>
    </row>
    <row r="549">
      <c r="A549" s="39" t="s">
        <v>957</v>
      </c>
      <c r="B549" s="39" t="s">
        <v>2955</v>
      </c>
      <c r="C549" s="39" t="s">
        <v>19</v>
      </c>
      <c r="D549" s="39">
        <v>60962.0</v>
      </c>
      <c r="F549" s="39" t="s">
        <v>2956</v>
      </c>
      <c r="G549" s="39" t="s">
        <v>1060</v>
      </c>
      <c r="H549" s="39" t="s">
        <v>1059</v>
      </c>
      <c r="I549" s="39" t="s">
        <v>724</v>
      </c>
      <c r="J549" s="39" t="s">
        <v>872</v>
      </c>
      <c r="K549" s="39" t="s">
        <v>2158</v>
      </c>
      <c r="L549" s="43">
        <v>44200.42847222222</v>
      </c>
      <c r="N549" s="44">
        <v>44027.407638888886</v>
      </c>
    </row>
    <row r="550">
      <c r="A550" s="39" t="s">
        <v>957</v>
      </c>
      <c r="B550" s="39" t="s">
        <v>2957</v>
      </c>
      <c r="C550" s="39" t="s">
        <v>19</v>
      </c>
      <c r="D550" s="39">
        <v>60961.0</v>
      </c>
      <c r="F550" s="39" t="s">
        <v>2958</v>
      </c>
      <c r="G550" s="39" t="s">
        <v>1060</v>
      </c>
      <c r="H550" s="39" t="s">
        <v>1059</v>
      </c>
      <c r="I550" s="39" t="s">
        <v>724</v>
      </c>
      <c r="J550" s="39" t="s">
        <v>872</v>
      </c>
      <c r="K550" s="39" t="s">
        <v>2158</v>
      </c>
      <c r="L550" s="43">
        <v>44200.42847222222</v>
      </c>
      <c r="N550" s="44">
        <v>44027.404861111114</v>
      </c>
    </row>
    <row r="551">
      <c r="A551" s="39" t="s">
        <v>957</v>
      </c>
      <c r="B551" s="39" t="s">
        <v>2959</v>
      </c>
      <c r="C551" s="39" t="s">
        <v>19</v>
      </c>
      <c r="D551" s="39">
        <v>60960.0</v>
      </c>
      <c r="F551" s="39" t="s">
        <v>2960</v>
      </c>
      <c r="G551" s="39" t="s">
        <v>1060</v>
      </c>
      <c r="H551" s="39" t="s">
        <v>1059</v>
      </c>
      <c r="I551" s="39" t="s">
        <v>724</v>
      </c>
      <c r="J551" s="39" t="s">
        <v>872</v>
      </c>
      <c r="K551" s="39" t="s">
        <v>2158</v>
      </c>
      <c r="L551" s="43">
        <v>44200.42847222222</v>
      </c>
      <c r="N551" s="44">
        <v>44027.40138888889</v>
      </c>
    </row>
    <row r="552">
      <c r="A552" s="39" t="s">
        <v>832</v>
      </c>
      <c r="B552" s="39" t="s">
        <v>2961</v>
      </c>
      <c r="C552" s="39" t="s">
        <v>19</v>
      </c>
      <c r="D552" s="39">
        <v>66025.0</v>
      </c>
      <c r="F552" s="39" t="s">
        <v>2962</v>
      </c>
      <c r="G552" s="39" t="s">
        <v>724</v>
      </c>
      <c r="H552" s="39" t="s">
        <v>872</v>
      </c>
      <c r="I552" s="39" t="s">
        <v>724</v>
      </c>
      <c r="J552" s="39" t="s">
        <v>872</v>
      </c>
      <c r="K552" s="39" t="s">
        <v>2161</v>
      </c>
      <c r="L552" s="43">
        <v>44200.42847222222</v>
      </c>
      <c r="N552" s="44">
        <v>44159.59722222222</v>
      </c>
    </row>
    <row r="553">
      <c r="A553" s="39" t="s">
        <v>957</v>
      </c>
      <c r="B553" s="39" t="s">
        <v>2963</v>
      </c>
      <c r="C553" s="39" t="s">
        <v>19</v>
      </c>
      <c r="D553" s="39">
        <v>60959.0</v>
      </c>
      <c r="F553" s="39" t="s">
        <v>2964</v>
      </c>
      <c r="G553" s="39" t="s">
        <v>1060</v>
      </c>
      <c r="H553" s="39" t="s">
        <v>1059</v>
      </c>
      <c r="I553" s="39" t="s">
        <v>724</v>
      </c>
      <c r="J553" s="39" t="s">
        <v>872</v>
      </c>
      <c r="K553" s="39" t="s">
        <v>2158</v>
      </c>
      <c r="L553" s="43">
        <v>44200.42847222222</v>
      </c>
      <c r="N553" s="44">
        <v>44027.399305555555</v>
      </c>
    </row>
    <row r="554">
      <c r="A554" s="39" t="s">
        <v>957</v>
      </c>
      <c r="B554" s="39" t="s">
        <v>2965</v>
      </c>
      <c r="C554" s="39" t="s">
        <v>19</v>
      </c>
      <c r="D554" s="39">
        <v>60859.0</v>
      </c>
      <c r="F554" s="39" t="s">
        <v>2966</v>
      </c>
      <c r="G554" s="39" t="s">
        <v>1060</v>
      </c>
      <c r="H554" s="39" t="s">
        <v>1059</v>
      </c>
      <c r="I554" s="39" t="s">
        <v>1060</v>
      </c>
      <c r="J554" s="39" t="s">
        <v>1059</v>
      </c>
      <c r="K554" s="39" t="s">
        <v>2158</v>
      </c>
      <c r="L554" s="43">
        <v>44200.42847222222</v>
      </c>
      <c r="N554" s="44">
        <v>44026.50625</v>
      </c>
    </row>
    <row r="555">
      <c r="A555" s="39" t="s">
        <v>957</v>
      </c>
      <c r="B555" s="39" t="s">
        <v>2967</v>
      </c>
      <c r="C555" s="39" t="s">
        <v>19</v>
      </c>
      <c r="D555" s="39">
        <v>60979.0</v>
      </c>
      <c r="F555" s="39" t="s">
        <v>2234</v>
      </c>
      <c r="G555" s="39" t="s">
        <v>724</v>
      </c>
      <c r="H555" s="39" t="s">
        <v>872</v>
      </c>
      <c r="I555" s="39" t="s">
        <v>1049</v>
      </c>
      <c r="J555" s="39" t="s">
        <v>1048</v>
      </c>
      <c r="K555" s="39" t="s">
        <v>2158</v>
      </c>
      <c r="L555" s="43">
        <v>44200.42847222222</v>
      </c>
      <c r="N555" s="44">
        <v>44028.68194444444</v>
      </c>
    </row>
    <row r="556">
      <c r="A556" s="39" t="s">
        <v>957</v>
      </c>
      <c r="B556" s="39" t="s">
        <v>2968</v>
      </c>
      <c r="C556" s="39" t="s">
        <v>19</v>
      </c>
      <c r="D556" s="39">
        <v>60978.0</v>
      </c>
      <c r="F556" s="39" t="s">
        <v>2969</v>
      </c>
      <c r="G556" s="39" t="s">
        <v>1049</v>
      </c>
      <c r="H556" s="39" t="s">
        <v>1048</v>
      </c>
      <c r="I556" s="39" t="s">
        <v>1049</v>
      </c>
      <c r="J556" s="39" t="s">
        <v>1048</v>
      </c>
      <c r="K556" s="39" t="s">
        <v>2158</v>
      </c>
      <c r="L556" s="43">
        <v>44200.42847222222</v>
      </c>
      <c r="N556" s="44">
        <v>44028.67986111111</v>
      </c>
    </row>
    <row r="557">
      <c r="A557" s="39" t="s">
        <v>957</v>
      </c>
      <c r="B557" s="39" t="s">
        <v>2970</v>
      </c>
      <c r="C557" s="39" t="s">
        <v>19</v>
      </c>
      <c r="D557" s="39">
        <v>60977.0</v>
      </c>
      <c r="F557" s="39" t="s">
        <v>2971</v>
      </c>
      <c r="I557" s="39" t="s">
        <v>1049</v>
      </c>
      <c r="J557" s="39" t="s">
        <v>1048</v>
      </c>
      <c r="K557" s="39" t="s">
        <v>2158</v>
      </c>
      <c r="L557" s="43">
        <v>44200.42847222222</v>
      </c>
      <c r="N557" s="44">
        <v>44028.67638888889</v>
      </c>
    </row>
    <row r="558">
      <c r="A558" s="39" t="s">
        <v>832</v>
      </c>
      <c r="B558" s="39" t="s">
        <v>1204</v>
      </c>
      <c r="C558" s="39" t="s">
        <v>19</v>
      </c>
      <c r="D558" s="39">
        <v>60976.0</v>
      </c>
      <c r="F558" s="39" t="s">
        <v>1205</v>
      </c>
      <c r="G558" s="39" t="s">
        <v>1060</v>
      </c>
      <c r="H558" s="39" t="s">
        <v>1059</v>
      </c>
      <c r="I558" s="39" t="s">
        <v>1060</v>
      </c>
      <c r="J558" s="39" t="s">
        <v>1059</v>
      </c>
      <c r="K558" s="39" t="s">
        <v>2158</v>
      </c>
      <c r="L558" s="43">
        <v>44200.42847222222</v>
      </c>
      <c r="M558" s="39">
        <v>133200.0</v>
      </c>
      <c r="N558" s="44">
        <v>44028.59444444445</v>
      </c>
    </row>
    <row r="559">
      <c r="A559" s="39" t="s">
        <v>957</v>
      </c>
      <c r="B559" s="39" t="s">
        <v>2972</v>
      </c>
      <c r="C559" s="39" t="s">
        <v>19</v>
      </c>
      <c r="D559" s="39">
        <v>60975.0</v>
      </c>
      <c r="F559" s="39" t="s">
        <v>2973</v>
      </c>
      <c r="G559" s="39" t="s">
        <v>724</v>
      </c>
      <c r="H559" s="39" t="s">
        <v>872</v>
      </c>
      <c r="I559" s="39" t="s">
        <v>724</v>
      </c>
      <c r="J559" s="39" t="s">
        <v>872</v>
      </c>
      <c r="K559" s="39" t="s">
        <v>2161</v>
      </c>
      <c r="L559" s="43">
        <v>44200.42847222222</v>
      </c>
      <c r="N559" s="44">
        <v>44028.53125</v>
      </c>
    </row>
    <row r="560">
      <c r="A560" s="39" t="s">
        <v>957</v>
      </c>
      <c r="B560" s="39" t="s">
        <v>2974</v>
      </c>
      <c r="C560" s="39" t="s">
        <v>19</v>
      </c>
      <c r="D560" s="39">
        <v>60974.0</v>
      </c>
      <c r="F560" s="39" t="s">
        <v>2975</v>
      </c>
      <c r="G560" s="39" t="s">
        <v>724</v>
      </c>
      <c r="H560" s="39" t="s">
        <v>872</v>
      </c>
      <c r="I560" s="39" t="s">
        <v>1049</v>
      </c>
      <c r="J560" s="39" t="s">
        <v>1048</v>
      </c>
      <c r="K560" s="39" t="s">
        <v>2158</v>
      </c>
      <c r="L560" s="43">
        <v>44200.42847222222</v>
      </c>
      <c r="N560" s="44">
        <v>44027.67291666667</v>
      </c>
    </row>
    <row r="561">
      <c r="A561" s="39" t="s">
        <v>957</v>
      </c>
      <c r="B561" s="39" t="s">
        <v>2976</v>
      </c>
      <c r="C561" s="39" t="s">
        <v>19</v>
      </c>
      <c r="D561" s="39">
        <v>60973.0</v>
      </c>
      <c r="F561" s="39" t="s">
        <v>2977</v>
      </c>
      <c r="G561" s="39" t="s">
        <v>724</v>
      </c>
      <c r="H561" s="39" t="s">
        <v>872</v>
      </c>
      <c r="I561" s="39" t="s">
        <v>1049</v>
      </c>
      <c r="J561" s="39" t="s">
        <v>1048</v>
      </c>
      <c r="K561" s="39" t="s">
        <v>2158</v>
      </c>
      <c r="L561" s="43">
        <v>44200.42847222222</v>
      </c>
      <c r="N561" s="44">
        <v>44027.67222222222</v>
      </c>
    </row>
    <row r="562">
      <c r="A562" s="39" t="s">
        <v>957</v>
      </c>
      <c r="B562" s="39" t="s">
        <v>2978</v>
      </c>
      <c r="C562" s="39" t="s">
        <v>19</v>
      </c>
      <c r="D562" s="39">
        <v>60970.0</v>
      </c>
      <c r="F562" s="39" t="s">
        <v>2979</v>
      </c>
      <c r="I562" s="39" t="s">
        <v>1060</v>
      </c>
      <c r="J562" s="39" t="s">
        <v>1059</v>
      </c>
      <c r="K562" s="39" t="s">
        <v>2158</v>
      </c>
      <c r="L562" s="43">
        <v>44200.42847222222</v>
      </c>
      <c r="N562" s="44">
        <v>44027.53888888889</v>
      </c>
    </row>
    <row r="563">
      <c r="A563" s="39" t="s">
        <v>957</v>
      </c>
      <c r="B563" s="39" t="s">
        <v>2980</v>
      </c>
      <c r="C563" s="39" t="s">
        <v>19</v>
      </c>
      <c r="D563" s="39">
        <v>60607.0</v>
      </c>
      <c r="F563" s="39" t="s">
        <v>2981</v>
      </c>
      <c r="G563" s="39" t="s">
        <v>724</v>
      </c>
      <c r="H563" s="39" t="s">
        <v>872</v>
      </c>
      <c r="I563" s="39" t="s">
        <v>1060</v>
      </c>
      <c r="J563" s="39" t="s">
        <v>1059</v>
      </c>
      <c r="K563" s="39" t="s">
        <v>2158</v>
      </c>
      <c r="L563" s="43">
        <v>44200.42847222222</v>
      </c>
      <c r="N563" s="43">
        <v>44019.67847222222</v>
      </c>
    </row>
    <row r="564">
      <c r="A564" s="39" t="s">
        <v>832</v>
      </c>
      <c r="B564" s="39" t="s">
        <v>2982</v>
      </c>
      <c r="C564" s="39" t="s">
        <v>16</v>
      </c>
      <c r="D564" s="39">
        <v>58032.0</v>
      </c>
      <c r="F564" s="39" t="s">
        <v>2983</v>
      </c>
      <c r="G564" s="39" t="s">
        <v>724</v>
      </c>
      <c r="H564" s="39" t="s">
        <v>872</v>
      </c>
      <c r="I564" s="39" t="s">
        <v>724</v>
      </c>
      <c r="J564" s="39" t="s">
        <v>872</v>
      </c>
      <c r="K564" s="39" t="s">
        <v>2984</v>
      </c>
      <c r="L564" s="43">
        <v>44200.42638888889</v>
      </c>
      <c r="N564" s="44">
        <v>43951.48333333333</v>
      </c>
    </row>
    <row r="565">
      <c r="A565" s="39" t="s">
        <v>832</v>
      </c>
      <c r="B565" s="39" t="s">
        <v>1821</v>
      </c>
      <c r="C565" s="39" t="s">
        <v>16</v>
      </c>
      <c r="D565" s="39">
        <v>60507.0</v>
      </c>
      <c r="F565" s="39" t="s">
        <v>1822</v>
      </c>
      <c r="G565" s="39" t="s">
        <v>1154</v>
      </c>
      <c r="H565" s="39" t="s">
        <v>1153</v>
      </c>
      <c r="I565" s="39" t="s">
        <v>724</v>
      </c>
      <c r="J565" s="39" t="s">
        <v>872</v>
      </c>
      <c r="K565" s="39" t="s">
        <v>2188</v>
      </c>
      <c r="L565" s="43">
        <v>44200.42638888889</v>
      </c>
      <c r="M565" s="39">
        <v>13500.0</v>
      </c>
      <c r="N565" s="44">
        <v>44006.45208333333</v>
      </c>
    </row>
    <row r="566">
      <c r="A566" s="39" t="s">
        <v>832</v>
      </c>
      <c r="B566" s="39" t="s">
        <v>1624</v>
      </c>
      <c r="C566" s="39" t="s">
        <v>16</v>
      </c>
      <c r="D566" s="39">
        <v>63619.0</v>
      </c>
      <c r="F566" s="39" t="s">
        <v>1625</v>
      </c>
      <c r="G566" s="39" t="s">
        <v>829</v>
      </c>
      <c r="H566" s="39" t="s">
        <v>828</v>
      </c>
      <c r="I566" s="39" t="s">
        <v>1292</v>
      </c>
      <c r="J566" s="39" t="s">
        <v>1291</v>
      </c>
      <c r="K566" s="39" t="s">
        <v>2984</v>
      </c>
      <c r="L566" s="43">
        <v>44200.42638888889</v>
      </c>
      <c r="M566" s="39">
        <v>5400.0</v>
      </c>
      <c r="N566" s="44">
        <v>44095.37430555555</v>
      </c>
    </row>
    <row r="567">
      <c r="A567" s="39" t="s">
        <v>832</v>
      </c>
      <c r="B567" s="39" t="s">
        <v>2985</v>
      </c>
      <c r="C567" s="39" t="s">
        <v>16</v>
      </c>
      <c r="D567" s="39">
        <v>62768.0</v>
      </c>
      <c r="F567" s="39" t="s">
        <v>2986</v>
      </c>
      <c r="G567" s="39" t="s">
        <v>829</v>
      </c>
      <c r="H567" s="39" t="s">
        <v>828</v>
      </c>
      <c r="I567" s="39" t="s">
        <v>1154</v>
      </c>
      <c r="J567" s="39" t="s">
        <v>1153</v>
      </c>
      <c r="K567" s="39" t="s">
        <v>2161</v>
      </c>
      <c r="L567" s="43">
        <v>44200.42638888889</v>
      </c>
      <c r="N567" s="44">
        <v>44084.675</v>
      </c>
    </row>
    <row r="568">
      <c r="A568" s="39" t="s">
        <v>957</v>
      </c>
      <c r="B568" s="39" t="s">
        <v>1006</v>
      </c>
      <c r="C568" s="39" t="s">
        <v>16</v>
      </c>
      <c r="D568" s="39">
        <v>59487.0</v>
      </c>
      <c r="F568" s="39" t="s">
        <v>1007</v>
      </c>
      <c r="G568" s="39" t="s">
        <v>829</v>
      </c>
      <c r="H568" s="39" t="s">
        <v>828</v>
      </c>
      <c r="I568" s="39" t="s">
        <v>829</v>
      </c>
      <c r="J568" s="39" t="s">
        <v>828</v>
      </c>
      <c r="K568" s="39" t="s">
        <v>2987</v>
      </c>
      <c r="L568" s="43">
        <v>44200.42638888889</v>
      </c>
      <c r="M568" s="39">
        <v>1380.0</v>
      </c>
      <c r="N568" s="45">
        <v>43977.56875</v>
      </c>
    </row>
    <row r="569">
      <c r="A569" s="39" t="s">
        <v>957</v>
      </c>
      <c r="B569" s="39" t="s">
        <v>1189</v>
      </c>
      <c r="C569" s="39" t="s">
        <v>16</v>
      </c>
      <c r="D569" s="39">
        <v>60589.0</v>
      </c>
      <c r="F569" s="39" t="s">
        <v>1190</v>
      </c>
      <c r="G569" s="39" t="s">
        <v>829</v>
      </c>
      <c r="H569" s="39" t="s">
        <v>828</v>
      </c>
      <c r="I569" s="39" t="s">
        <v>724</v>
      </c>
      <c r="J569" s="39" t="s">
        <v>872</v>
      </c>
      <c r="K569" s="39" t="s">
        <v>2987</v>
      </c>
      <c r="L569" s="43">
        <v>44200.42638888889</v>
      </c>
      <c r="M569" s="39">
        <v>3000.0</v>
      </c>
      <c r="N569" s="43">
        <v>44018.50069444445</v>
      </c>
    </row>
    <row r="570">
      <c r="A570" s="39" t="s">
        <v>832</v>
      </c>
      <c r="B570" s="39" t="s">
        <v>1562</v>
      </c>
      <c r="C570" s="39" t="s">
        <v>16</v>
      </c>
      <c r="D570" s="39">
        <v>62766.0</v>
      </c>
      <c r="F570" s="39" t="s">
        <v>1563</v>
      </c>
      <c r="G570" s="39" t="s">
        <v>829</v>
      </c>
      <c r="H570" s="39" t="s">
        <v>828</v>
      </c>
      <c r="I570" s="39" t="s">
        <v>1154</v>
      </c>
      <c r="J570" s="39" t="s">
        <v>1153</v>
      </c>
      <c r="K570" s="39" t="s">
        <v>2984</v>
      </c>
      <c r="L570" s="43">
        <v>44200.42638888889</v>
      </c>
      <c r="M570" s="39">
        <v>2700.0</v>
      </c>
      <c r="N570" s="44">
        <v>44084.65347222222</v>
      </c>
    </row>
    <row r="571">
      <c r="A571" s="39" t="s">
        <v>957</v>
      </c>
      <c r="B571" s="39" t="s">
        <v>1234</v>
      </c>
      <c r="C571" s="39" t="s">
        <v>16</v>
      </c>
      <c r="D571" s="39">
        <v>60588.0</v>
      </c>
      <c r="F571" s="39" t="s">
        <v>1235</v>
      </c>
      <c r="G571" s="39" t="s">
        <v>829</v>
      </c>
      <c r="H571" s="39" t="s">
        <v>828</v>
      </c>
      <c r="I571" s="39" t="s">
        <v>724</v>
      </c>
      <c r="J571" s="39" t="s">
        <v>872</v>
      </c>
      <c r="K571" s="39" t="s">
        <v>2987</v>
      </c>
      <c r="L571" s="43">
        <v>44200.42638888889</v>
      </c>
      <c r="M571" s="39">
        <v>2820.0</v>
      </c>
      <c r="N571" s="43">
        <v>44018.498611111114</v>
      </c>
    </row>
    <row r="572">
      <c r="A572" s="39" t="s">
        <v>832</v>
      </c>
      <c r="B572" s="39" t="s">
        <v>1511</v>
      </c>
      <c r="C572" s="39" t="s">
        <v>16</v>
      </c>
      <c r="D572" s="39">
        <v>62767.0</v>
      </c>
      <c r="F572" s="39" t="s">
        <v>2988</v>
      </c>
      <c r="G572" s="39" t="s">
        <v>829</v>
      </c>
      <c r="H572" s="39" t="s">
        <v>828</v>
      </c>
      <c r="I572" s="39" t="s">
        <v>829</v>
      </c>
      <c r="J572" s="39" t="s">
        <v>828</v>
      </c>
      <c r="K572" s="39" t="s">
        <v>2984</v>
      </c>
      <c r="L572" s="43">
        <v>44200.42638888889</v>
      </c>
      <c r="M572" s="39">
        <v>108420.0</v>
      </c>
      <c r="N572" s="44">
        <v>44084.67152777778</v>
      </c>
    </row>
    <row r="573">
      <c r="A573" s="39" t="s">
        <v>957</v>
      </c>
      <c r="B573" s="39" t="s">
        <v>1239</v>
      </c>
      <c r="C573" s="39" t="s">
        <v>16</v>
      </c>
      <c r="D573" s="39">
        <v>60587.0</v>
      </c>
      <c r="F573" s="39" t="s">
        <v>1240</v>
      </c>
      <c r="G573" s="39" t="s">
        <v>829</v>
      </c>
      <c r="H573" s="39" t="s">
        <v>828</v>
      </c>
      <c r="I573" s="39" t="s">
        <v>724</v>
      </c>
      <c r="J573" s="39" t="s">
        <v>872</v>
      </c>
      <c r="K573" s="39" t="s">
        <v>2987</v>
      </c>
      <c r="L573" s="43">
        <v>44200.42638888889</v>
      </c>
      <c r="M573" s="39">
        <v>1020.0</v>
      </c>
      <c r="N573" s="43">
        <v>44018.495833333334</v>
      </c>
    </row>
    <row r="574">
      <c r="A574" s="39" t="s">
        <v>832</v>
      </c>
      <c r="B574" s="39" t="s">
        <v>2989</v>
      </c>
      <c r="C574" s="39" t="s">
        <v>16</v>
      </c>
      <c r="D574" s="39">
        <v>62764.0</v>
      </c>
      <c r="F574" s="39" t="s">
        <v>2990</v>
      </c>
      <c r="G574" s="39" t="s">
        <v>1154</v>
      </c>
      <c r="H574" s="39" t="s">
        <v>1153</v>
      </c>
      <c r="I574" s="39" t="s">
        <v>1154</v>
      </c>
      <c r="J574" s="39" t="s">
        <v>1153</v>
      </c>
      <c r="K574" s="39" t="s">
        <v>2984</v>
      </c>
      <c r="L574" s="43">
        <v>44200.42638888889</v>
      </c>
      <c r="N574" s="44">
        <v>44084.635416666664</v>
      </c>
    </row>
    <row r="575">
      <c r="A575" s="39" t="s">
        <v>832</v>
      </c>
      <c r="B575" s="39" t="s">
        <v>1565</v>
      </c>
      <c r="C575" s="39" t="s">
        <v>16</v>
      </c>
      <c r="D575" s="39">
        <v>62765.0</v>
      </c>
      <c r="F575" s="39" t="s">
        <v>1566</v>
      </c>
      <c r="G575" s="39" t="s">
        <v>829</v>
      </c>
      <c r="H575" s="39" t="s">
        <v>828</v>
      </c>
      <c r="I575" s="39" t="s">
        <v>1154</v>
      </c>
      <c r="J575" s="39" t="s">
        <v>1153</v>
      </c>
      <c r="K575" s="39" t="s">
        <v>2984</v>
      </c>
      <c r="L575" s="43">
        <v>44200.42638888889</v>
      </c>
      <c r="M575" s="39">
        <v>3600.0</v>
      </c>
      <c r="N575" s="44">
        <v>44084.65138888889</v>
      </c>
    </row>
    <row r="576">
      <c r="A576" s="39" t="s">
        <v>957</v>
      </c>
      <c r="B576" s="39" t="s">
        <v>1259</v>
      </c>
      <c r="C576" s="39" t="s">
        <v>16</v>
      </c>
      <c r="D576" s="39">
        <v>60586.0</v>
      </c>
      <c r="F576" s="39" t="s">
        <v>1260</v>
      </c>
      <c r="G576" s="39" t="s">
        <v>829</v>
      </c>
      <c r="H576" s="39" t="s">
        <v>828</v>
      </c>
      <c r="I576" s="39" t="s">
        <v>724</v>
      </c>
      <c r="J576" s="39" t="s">
        <v>872</v>
      </c>
      <c r="K576" s="39" t="s">
        <v>2987</v>
      </c>
      <c r="L576" s="43">
        <v>44200.42638888889</v>
      </c>
      <c r="M576" s="39">
        <v>3960.0</v>
      </c>
      <c r="N576" s="43">
        <v>44018.49166666667</v>
      </c>
    </row>
    <row r="577">
      <c r="A577" s="39" t="s">
        <v>957</v>
      </c>
      <c r="B577" s="39" t="s">
        <v>1231</v>
      </c>
      <c r="C577" s="39" t="s">
        <v>16</v>
      </c>
      <c r="D577" s="39">
        <v>60585.0</v>
      </c>
      <c r="F577" s="39" t="s">
        <v>1232</v>
      </c>
      <c r="G577" s="39" t="s">
        <v>829</v>
      </c>
      <c r="H577" s="39" t="s">
        <v>828</v>
      </c>
      <c r="I577" s="39" t="s">
        <v>724</v>
      </c>
      <c r="J577" s="39" t="s">
        <v>872</v>
      </c>
      <c r="K577" s="39" t="s">
        <v>2987</v>
      </c>
      <c r="L577" s="43">
        <v>44200.42638888889</v>
      </c>
      <c r="M577" s="39">
        <v>180.0</v>
      </c>
      <c r="N577" s="43">
        <v>44018.48819444444</v>
      </c>
    </row>
    <row r="578">
      <c r="A578" s="39" t="s">
        <v>957</v>
      </c>
      <c r="B578" s="39" t="s">
        <v>1228</v>
      </c>
      <c r="C578" s="39" t="s">
        <v>16</v>
      </c>
      <c r="D578" s="39">
        <v>60584.0</v>
      </c>
      <c r="F578" s="39" t="s">
        <v>1229</v>
      </c>
      <c r="G578" s="39" t="s">
        <v>829</v>
      </c>
      <c r="H578" s="39" t="s">
        <v>828</v>
      </c>
      <c r="I578" s="39" t="s">
        <v>724</v>
      </c>
      <c r="J578" s="39" t="s">
        <v>872</v>
      </c>
      <c r="K578" s="39" t="s">
        <v>2987</v>
      </c>
      <c r="L578" s="43">
        <v>44200.42638888889</v>
      </c>
      <c r="M578" s="39">
        <v>2940.0</v>
      </c>
      <c r="N578" s="43">
        <v>44018.4875</v>
      </c>
    </row>
    <row r="579">
      <c r="A579" s="39" t="s">
        <v>957</v>
      </c>
      <c r="B579" s="39" t="s">
        <v>1213</v>
      </c>
      <c r="C579" s="39" t="s">
        <v>16</v>
      </c>
      <c r="D579" s="39">
        <v>60583.0</v>
      </c>
      <c r="F579" s="39" t="s">
        <v>1214</v>
      </c>
      <c r="G579" s="39" t="s">
        <v>829</v>
      </c>
      <c r="H579" s="39" t="s">
        <v>828</v>
      </c>
      <c r="I579" s="39" t="s">
        <v>724</v>
      </c>
      <c r="J579" s="39" t="s">
        <v>872</v>
      </c>
      <c r="K579" s="39" t="s">
        <v>2987</v>
      </c>
      <c r="L579" s="43">
        <v>44200.42638888889</v>
      </c>
      <c r="M579" s="39">
        <v>240.0</v>
      </c>
      <c r="N579" s="43">
        <v>44018.48611111111</v>
      </c>
    </row>
    <row r="580">
      <c r="A580" s="39" t="s">
        <v>832</v>
      </c>
      <c r="B580" s="39" t="s">
        <v>1098</v>
      </c>
      <c r="C580" s="39" t="s">
        <v>16</v>
      </c>
      <c r="D580" s="39">
        <v>60462.0</v>
      </c>
      <c r="F580" s="39" t="s">
        <v>1099</v>
      </c>
      <c r="G580" s="39" t="s">
        <v>829</v>
      </c>
      <c r="H580" s="39" t="s">
        <v>828</v>
      </c>
      <c r="I580" s="39" t="s">
        <v>829</v>
      </c>
      <c r="J580" s="39" t="s">
        <v>828</v>
      </c>
      <c r="K580" s="39" t="s">
        <v>2984</v>
      </c>
      <c r="L580" s="43">
        <v>44200.42638888889</v>
      </c>
      <c r="M580" s="39">
        <v>6240.0</v>
      </c>
      <c r="N580" s="44">
        <v>44001.6875</v>
      </c>
    </row>
    <row r="581">
      <c r="A581" s="39" t="s">
        <v>957</v>
      </c>
      <c r="B581" s="39" t="s">
        <v>2991</v>
      </c>
      <c r="C581" s="39" t="s">
        <v>16</v>
      </c>
      <c r="D581" s="39">
        <v>60582.0</v>
      </c>
      <c r="F581" s="39" t="s">
        <v>2992</v>
      </c>
      <c r="G581" s="39" t="s">
        <v>1292</v>
      </c>
      <c r="H581" s="39" t="s">
        <v>1291</v>
      </c>
      <c r="I581" s="39" t="s">
        <v>724</v>
      </c>
      <c r="J581" s="39" t="s">
        <v>872</v>
      </c>
      <c r="K581" s="39" t="s">
        <v>2987</v>
      </c>
      <c r="L581" s="43">
        <v>44200.42638888889</v>
      </c>
      <c r="N581" s="43">
        <v>44018.48402777778</v>
      </c>
    </row>
    <row r="582">
      <c r="A582" s="39" t="s">
        <v>832</v>
      </c>
      <c r="B582" s="39" t="s">
        <v>1531</v>
      </c>
      <c r="C582" s="39" t="s">
        <v>16</v>
      </c>
      <c r="D582" s="39">
        <v>60514.0</v>
      </c>
      <c r="F582" s="39" t="s">
        <v>1532</v>
      </c>
      <c r="G582" s="39" t="s">
        <v>829</v>
      </c>
      <c r="H582" s="39" t="s">
        <v>828</v>
      </c>
      <c r="I582" s="39" t="s">
        <v>724</v>
      </c>
      <c r="J582" s="39" t="s">
        <v>872</v>
      </c>
      <c r="K582" s="39" t="s">
        <v>2984</v>
      </c>
      <c r="L582" s="43">
        <v>44200.42638888889</v>
      </c>
      <c r="M582" s="39">
        <v>4020.0</v>
      </c>
      <c r="N582" s="44">
        <v>44007.47152777778</v>
      </c>
    </row>
    <row r="583">
      <c r="A583" s="39" t="s">
        <v>72</v>
      </c>
      <c r="B583" s="39" t="s">
        <v>1074</v>
      </c>
      <c r="C583" s="39" t="s">
        <v>16</v>
      </c>
      <c r="D583" s="39">
        <v>60513.0</v>
      </c>
      <c r="F583" s="39" t="s">
        <v>1571</v>
      </c>
      <c r="G583" s="39" t="s">
        <v>829</v>
      </c>
      <c r="H583" s="39" t="s">
        <v>828</v>
      </c>
      <c r="I583" s="39" t="s">
        <v>724</v>
      </c>
      <c r="J583" s="39" t="s">
        <v>872</v>
      </c>
      <c r="K583" s="39" t="s">
        <v>2188</v>
      </c>
      <c r="L583" s="43">
        <v>44200.42638888889</v>
      </c>
      <c r="M583" s="39">
        <v>124680.0</v>
      </c>
      <c r="N583" s="44">
        <v>44007.413194444445</v>
      </c>
    </row>
    <row r="584">
      <c r="A584" s="39" t="s">
        <v>957</v>
      </c>
      <c r="B584" s="39" t="s">
        <v>1528</v>
      </c>
      <c r="C584" s="39" t="s">
        <v>16</v>
      </c>
      <c r="D584" s="39">
        <v>62139.0</v>
      </c>
      <c r="F584" s="39" t="s">
        <v>1529</v>
      </c>
      <c r="G584" s="39" t="s">
        <v>886</v>
      </c>
      <c r="H584" s="39" t="s">
        <v>837</v>
      </c>
      <c r="I584" s="39" t="s">
        <v>724</v>
      </c>
      <c r="J584" s="39" t="s">
        <v>872</v>
      </c>
      <c r="K584" s="39" t="s">
        <v>2987</v>
      </c>
      <c r="L584" s="43">
        <v>44200.42638888889</v>
      </c>
      <c r="M584" s="39">
        <v>1980.0</v>
      </c>
      <c r="N584" s="44">
        <v>44066.33888888889</v>
      </c>
    </row>
    <row r="585">
      <c r="A585" s="39" t="s">
        <v>957</v>
      </c>
      <c r="B585" s="39" t="s">
        <v>2993</v>
      </c>
      <c r="C585" s="39" t="s">
        <v>16</v>
      </c>
      <c r="D585" s="39">
        <v>58940.0</v>
      </c>
      <c r="F585" s="39" t="s">
        <v>2994</v>
      </c>
      <c r="G585" s="39" t="s">
        <v>829</v>
      </c>
      <c r="H585" s="39" t="s">
        <v>828</v>
      </c>
      <c r="I585" s="39" t="s">
        <v>829</v>
      </c>
      <c r="J585" s="39" t="s">
        <v>828</v>
      </c>
      <c r="K585" s="39" t="s">
        <v>2987</v>
      </c>
      <c r="L585" s="43">
        <v>44200.42638888889</v>
      </c>
      <c r="N585" s="45">
        <v>43966.47777777778</v>
      </c>
    </row>
    <row r="586">
      <c r="A586" s="39" t="s">
        <v>832</v>
      </c>
      <c r="B586" s="39" t="s">
        <v>1575</v>
      </c>
      <c r="C586" s="39" t="s">
        <v>16</v>
      </c>
      <c r="D586" s="39">
        <v>63626.0</v>
      </c>
      <c r="F586" s="39" t="s">
        <v>1576</v>
      </c>
      <c r="G586" s="39" t="s">
        <v>829</v>
      </c>
      <c r="H586" s="39" t="s">
        <v>828</v>
      </c>
      <c r="I586" s="39" t="s">
        <v>829</v>
      </c>
      <c r="J586" s="39" t="s">
        <v>828</v>
      </c>
      <c r="K586" s="39" t="s">
        <v>2161</v>
      </c>
      <c r="L586" s="43">
        <v>44200.42638888889</v>
      </c>
      <c r="M586" s="39">
        <v>1500.0</v>
      </c>
      <c r="N586" s="44">
        <v>44096.441666666666</v>
      </c>
    </row>
    <row r="587">
      <c r="A587" s="39" t="s">
        <v>832</v>
      </c>
      <c r="B587" s="39" t="s">
        <v>2995</v>
      </c>
      <c r="C587" s="39" t="s">
        <v>16</v>
      </c>
      <c r="D587" s="39">
        <v>60599.0</v>
      </c>
      <c r="F587" s="39" t="s">
        <v>2996</v>
      </c>
      <c r="G587" s="39" t="s">
        <v>829</v>
      </c>
      <c r="H587" s="39" t="s">
        <v>828</v>
      </c>
      <c r="I587" s="39" t="s">
        <v>724</v>
      </c>
      <c r="J587" s="39" t="s">
        <v>872</v>
      </c>
      <c r="K587" s="39" t="s">
        <v>2984</v>
      </c>
      <c r="L587" s="43">
        <v>44200.42638888889</v>
      </c>
      <c r="M587" s="39">
        <v>0.0</v>
      </c>
      <c r="N587" s="43">
        <v>44019.44861111111</v>
      </c>
    </row>
    <row r="588">
      <c r="A588" s="39" t="s">
        <v>832</v>
      </c>
      <c r="B588" s="39" t="s">
        <v>1143</v>
      </c>
      <c r="C588" s="39" t="s">
        <v>16</v>
      </c>
      <c r="D588" s="39">
        <v>60510.0</v>
      </c>
      <c r="F588" s="39" t="s">
        <v>1144</v>
      </c>
      <c r="G588" s="39" t="s">
        <v>829</v>
      </c>
      <c r="H588" s="39" t="s">
        <v>828</v>
      </c>
      <c r="I588" s="39" t="s">
        <v>724</v>
      </c>
      <c r="J588" s="39" t="s">
        <v>872</v>
      </c>
      <c r="K588" s="39" t="s">
        <v>2984</v>
      </c>
      <c r="L588" s="43">
        <v>44200.42638888889</v>
      </c>
      <c r="M588" s="39">
        <v>1440.0</v>
      </c>
      <c r="N588" s="44">
        <v>44007.39722222222</v>
      </c>
    </row>
    <row r="589">
      <c r="A589" s="39" t="s">
        <v>957</v>
      </c>
      <c r="B589" s="39" t="s">
        <v>1036</v>
      </c>
      <c r="C589" s="39" t="s">
        <v>16</v>
      </c>
      <c r="D589" s="39">
        <v>60353.0</v>
      </c>
      <c r="F589" s="39" t="s">
        <v>1037</v>
      </c>
      <c r="G589" s="39" t="s">
        <v>829</v>
      </c>
      <c r="H589" s="39" t="s">
        <v>828</v>
      </c>
      <c r="I589" s="39" t="s">
        <v>724</v>
      </c>
      <c r="J589" s="39" t="s">
        <v>872</v>
      </c>
      <c r="K589" s="39" t="s">
        <v>2987</v>
      </c>
      <c r="L589" s="43">
        <v>44200.42638888889</v>
      </c>
      <c r="M589" s="39">
        <v>2460.0</v>
      </c>
      <c r="N589" s="43">
        <v>43990.606944444444</v>
      </c>
    </row>
    <row r="590">
      <c r="A590" s="39" t="s">
        <v>832</v>
      </c>
      <c r="B590" s="39" t="s">
        <v>1552</v>
      </c>
      <c r="C590" s="39" t="s">
        <v>16</v>
      </c>
      <c r="D590" s="39">
        <v>62771.0</v>
      </c>
      <c r="F590" s="39" t="s">
        <v>1553</v>
      </c>
      <c r="G590" s="39" t="s">
        <v>1154</v>
      </c>
      <c r="H590" s="39" t="s">
        <v>1153</v>
      </c>
      <c r="I590" s="39" t="s">
        <v>1154</v>
      </c>
      <c r="J590" s="39" t="s">
        <v>1153</v>
      </c>
      <c r="K590" s="39" t="s">
        <v>2984</v>
      </c>
      <c r="L590" s="43">
        <v>44200.42638888889</v>
      </c>
      <c r="M590" s="39">
        <v>7200.0</v>
      </c>
      <c r="N590" s="44">
        <v>44084.876388888886</v>
      </c>
    </row>
    <row r="591">
      <c r="A591" s="39" t="s">
        <v>832</v>
      </c>
      <c r="B591" s="39" t="s">
        <v>1024</v>
      </c>
      <c r="C591" s="39" t="s">
        <v>16</v>
      </c>
      <c r="D591" s="39">
        <v>60351.0</v>
      </c>
      <c r="F591" s="39" t="s">
        <v>1025</v>
      </c>
      <c r="G591" s="39" t="s">
        <v>829</v>
      </c>
      <c r="H591" s="39" t="s">
        <v>828</v>
      </c>
      <c r="I591" s="39" t="s">
        <v>829</v>
      </c>
      <c r="J591" s="39" t="s">
        <v>828</v>
      </c>
      <c r="K591" s="39" t="s">
        <v>2984</v>
      </c>
      <c r="L591" s="43">
        <v>44200.42638888889</v>
      </c>
      <c r="M591" s="39">
        <v>2160.0</v>
      </c>
      <c r="N591" s="43">
        <v>43990.47152777778</v>
      </c>
    </row>
    <row r="592">
      <c r="A592" s="39" t="s">
        <v>832</v>
      </c>
      <c r="B592" s="39" t="s">
        <v>1834</v>
      </c>
      <c r="C592" s="39" t="s">
        <v>16</v>
      </c>
      <c r="D592" s="39">
        <v>62770.0</v>
      </c>
      <c r="F592" s="39" t="s">
        <v>1835</v>
      </c>
      <c r="G592" s="39" t="s">
        <v>829</v>
      </c>
      <c r="H592" s="39" t="s">
        <v>828</v>
      </c>
      <c r="I592" s="39" t="s">
        <v>1154</v>
      </c>
      <c r="J592" s="39" t="s">
        <v>1153</v>
      </c>
      <c r="K592" s="39" t="s">
        <v>2188</v>
      </c>
      <c r="L592" s="43">
        <v>44200.42638888889</v>
      </c>
      <c r="M592" s="39">
        <v>600.0</v>
      </c>
      <c r="N592" s="44">
        <v>44084.87152777778</v>
      </c>
    </row>
    <row r="593">
      <c r="A593" s="39" t="s">
        <v>957</v>
      </c>
      <c r="B593" s="39" t="s">
        <v>1242</v>
      </c>
      <c r="C593" s="39" t="s">
        <v>16</v>
      </c>
      <c r="D593" s="39">
        <v>60590.0</v>
      </c>
      <c r="F593" s="39" t="s">
        <v>1243</v>
      </c>
      <c r="G593" s="39" t="s">
        <v>829</v>
      </c>
      <c r="H593" s="39" t="s">
        <v>828</v>
      </c>
      <c r="I593" s="39" t="s">
        <v>724</v>
      </c>
      <c r="J593" s="39" t="s">
        <v>872</v>
      </c>
      <c r="K593" s="39" t="s">
        <v>2987</v>
      </c>
      <c r="L593" s="43">
        <v>44200.42638888889</v>
      </c>
      <c r="M593" s="39">
        <v>1500.0</v>
      </c>
      <c r="N593" s="43">
        <v>44018.501388888886</v>
      </c>
    </row>
    <row r="594">
      <c r="A594" s="39" t="s">
        <v>957</v>
      </c>
      <c r="B594" s="39" t="s">
        <v>1391</v>
      </c>
      <c r="C594" s="39" t="s">
        <v>16</v>
      </c>
      <c r="D594" s="39">
        <v>62092.0</v>
      </c>
      <c r="F594" s="39" t="s">
        <v>1392</v>
      </c>
      <c r="G594" s="39" t="s">
        <v>829</v>
      </c>
      <c r="H594" s="39" t="s">
        <v>828</v>
      </c>
      <c r="I594" s="39" t="s">
        <v>724</v>
      </c>
      <c r="J594" s="39" t="s">
        <v>872</v>
      </c>
      <c r="K594" s="39" t="s">
        <v>2987</v>
      </c>
      <c r="L594" s="43">
        <v>44200.42638888889</v>
      </c>
      <c r="M594" s="39">
        <v>780.0</v>
      </c>
      <c r="N594" s="44">
        <v>44060.39722222222</v>
      </c>
    </row>
    <row r="595">
      <c r="A595" s="39" t="s">
        <v>957</v>
      </c>
      <c r="B595" s="39" t="s">
        <v>1464</v>
      </c>
      <c r="C595" s="39" t="s">
        <v>16</v>
      </c>
      <c r="D595" s="39">
        <v>62091.0</v>
      </c>
      <c r="F595" s="39" t="s">
        <v>1465</v>
      </c>
      <c r="G595" s="39" t="s">
        <v>829</v>
      </c>
      <c r="H595" s="39" t="s">
        <v>828</v>
      </c>
      <c r="I595" s="39" t="s">
        <v>724</v>
      </c>
      <c r="J595" s="39" t="s">
        <v>872</v>
      </c>
      <c r="K595" s="39" t="s">
        <v>2188</v>
      </c>
      <c r="L595" s="43">
        <v>44200.42638888889</v>
      </c>
      <c r="M595" s="39">
        <v>4980.0</v>
      </c>
      <c r="N595" s="44">
        <v>44060.39513888889</v>
      </c>
    </row>
    <row r="596">
      <c r="A596" s="39" t="s">
        <v>957</v>
      </c>
      <c r="B596" s="39" t="s">
        <v>974</v>
      </c>
      <c r="C596" s="39" t="s">
        <v>16</v>
      </c>
      <c r="D596" s="39">
        <v>58942.0</v>
      </c>
      <c r="F596" s="39" t="s">
        <v>975</v>
      </c>
      <c r="G596" s="39" t="s">
        <v>829</v>
      </c>
      <c r="H596" s="39" t="s">
        <v>828</v>
      </c>
      <c r="I596" s="39" t="s">
        <v>829</v>
      </c>
      <c r="J596" s="39" t="s">
        <v>828</v>
      </c>
      <c r="K596" s="39" t="s">
        <v>2987</v>
      </c>
      <c r="L596" s="43">
        <v>44200.42638888889</v>
      </c>
      <c r="M596" s="39">
        <v>480.0</v>
      </c>
      <c r="N596" s="45">
        <v>43966.538194444445</v>
      </c>
    </row>
    <row r="597">
      <c r="A597" s="39" t="s">
        <v>832</v>
      </c>
      <c r="B597" s="39" t="s">
        <v>941</v>
      </c>
      <c r="C597" s="39" t="s">
        <v>16</v>
      </c>
      <c r="D597" s="39">
        <v>57854.0</v>
      </c>
      <c r="F597" s="39" t="s">
        <v>942</v>
      </c>
      <c r="G597" s="39" t="s">
        <v>829</v>
      </c>
      <c r="H597" s="39" t="s">
        <v>828</v>
      </c>
      <c r="I597" s="39" t="s">
        <v>724</v>
      </c>
      <c r="J597" s="39" t="s">
        <v>872</v>
      </c>
      <c r="K597" s="39" t="s">
        <v>2984</v>
      </c>
      <c r="L597" s="43">
        <v>44200.42638888889</v>
      </c>
      <c r="M597" s="39">
        <v>85020.0</v>
      </c>
      <c r="N597" s="44">
        <v>43942.728472222225</v>
      </c>
    </row>
    <row r="598">
      <c r="A598" s="39" t="s">
        <v>957</v>
      </c>
      <c r="B598" s="39" t="s">
        <v>977</v>
      </c>
      <c r="C598" s="39" t="s">
        <v>16</v>
      </c>
      <c r="D598" s="39">
        <v>58941.0</v>
      </c>
      <c r="F598" s="39" t="s">
        <v>978</v>
      </c>
      <c r="G598" s="39" t="s">
        <v>829</v>
      </c>
      <c r="H598" s="39" t="s">
        <v>828</v>
      </c>
      <c r="I598" s="39" t="s">
        <v>829</v>
      </c>
      <c r="J598" s="39" t="s">
        <v>828</v>
      </c>
      <c r="K598" s="39" t="s">
        <v>2987</v>
      </c>
      <c r="L598" s="43">
        <v>44200.42638888889</v>
      </c>
      <c r="M598" s="39">
        <v>9540.0</v>
      </c>
      <c r="N598" s="45">
        <v>43966.479166666664</v>
      </c>
    </row>
    <row r="599">
      <c r="A599" s="39" t="s">
        <v>832</v>
      </c>
      <c r="B599" s="39" t="s">
        <v>952</v>
      </c>
      <c r="C599" s="39" t="s">
        <v>16</v>
      </c>
      <c r="D599" s="39">
        <v>57855.0</v>
      </c>
      <c r="F599" s="39" t="s">
        <v>953</v>
      </c>
      <c r="G599" s="39" t="s">
        <v>829</v>
      </c>
      <c r="H599" s="39" t="s">
        <v>828</v>
      </c>
      <c r="I599" s="39" t="s">
        <v>724</v>
      </c>
      <c r="J599" s="39" t="s">
        <v>872</v>
      </c>
      <c r="K599" s="39" t="s">
        <v>2984</v>
      </c>
      <c r="L599" s="43">
        <v>44200.42638888889</v>
      </c>
      <c r="M599" s="39">
        <v>14100.0</v>
      </c>
      <c r="N599" s="44">
        <v>43942.782638888886</v>
      </c>
    </row>
    <row r="600">
      <c r="A600" s="39" t="s">
        <v>832</v>
      </c>
      <c r="B600" s="39" t="s">
        <v>1192</v>
      </c>
      <c r="C600" s="39" t="s">
        <v>16</v>
      </c>
      <c r="D600" s="39">
        <v>57219.0</v>
      </c>
      <c r="F600" s="39" t="s">
        <v>1401</v>
      </c>
      <c r="G600" s="39" t="s">
        <v>1292</v>
      </c>
      <c r="H600" s="39" t="s">
        <v>1291</v>
      </c>
      <c r="I600" s="39" t="s">
        <v>724</v>
      </c>
      <c r="J600" s="39" t="s">
        <v>872</v>
      </c>
      <c r="K600" s="39" t="s">
        <v>2984</v>
      </c>
      <c r="L600" s="43">
        <v>44200.42638888889</v>
      </c>
      <c r="M600" s="39">
        <v>32820.0</v>
      </c>
      <c r="N600" s="43">
        <v>43930.69861111111</v>
      </c>
    </row>
    <row r="601">
      <c r="A601" s="39" t="s">
        <v>957</v>
      </c>
      <c r="B601" s="39" t="s">
        <v>955</v>
      </c>
      <c r="C601" s="39" t="s">
        <v>16</v>
      </c>
      <c r="D601" s="39">
        <v>58056.0</v>
      </c>
      <c r="F601" s="39" t="s">
        <v>956</v>
      </c>
      <c r="G601" s="39" t="s">
        <v>829</v>
      </c>
      <c r="H601" s="39" t="s">
        <v>828</v>
      </c>
      <c r="I601" s="39" t="s">
        <v>829</v>
      </c>
      <c r="J601" s="39" t="s">
        <v>828</v>
      </c>
      <c r="K601" s="39" t="s">
        <v>2984</v>
      </c>
      <c r="L601" s="43">
        <v>44200.42638888889</v>
      </c>
      <c r="M601" s="39">
        <v>10080.0</v>
      </c>
      <c r="N601" s="46">
        <v>43955.45972222222</v>
      </c>
    </row>
    <row r="602">
      <c r="A602" s="39" t="s">
        <v>957</v>
      </c>
      <c r="B602" s="39" t="s">
        <v>2997</v>
      </c>
      <c r="C602" s="39" t="s">
        <v>16</v>
      </c>
      <c r="D602" s="39">
        <v>58055.0</v>
      </c>
      <c r="F602" s="39" t="s">
        <v>2998</v>
      </c>
      <c r="I602" s="39" t="s">
        <v>724</v>
      </c>
      <c r="J602" s="39" t="s">
        <v>872</v>
      </c>
      <c r="K602" s="39" t="s">
        <v>2987</v>
      </c>
      <c r="L602" s="43">
        <v>44200.42638888889</v>
      </c>
      <c r="N602" s="46">
        <v>43955.38125</v>
      </c>
    </row>
    <row r="603">
      <c r="A603" s="39" t="s">
        <v>832</v>
      </c>
      <c r="B603" s="39" t="s">
        <v>2999</v>
      </c>
      <c r="C603" s="39" t="s">
        <v>16</v>
      </c>
      <c r="D603" s="39">
        <v>64328.0</v>
      </c>
      <c r="F603" s="39" t="s">
        <v>3000</v>
      </c>
      <c r="G603" s="39" t="s">
        <v>1154</v>
      </c>
      <c r="H603" s="39" t="s">
        <v>1153</v>
      </c>
      <c r="I603" s="39" t="s">
        <v>1154</v>
      </c>
      <c r="J603" s="39" t="s">
        <v>1153</v>
      </c>
      <c r="K603" s="39" t="s">
        <v>2161</v>
      </c>
      <c r="L603" s="43">
        <v>44200.42638888889</v>
      </c>
      <c r="N603" s="43">
        <v>44110.46527777778</v>
      </c>
    </row>
    <row r="604">
      <c r="A604" s="39" t="s">
        <v>832</v>
      </c>
      <c r="B604" s="39" t="s">
        <v>1086</v>
      </c>
      <c r="C604" s="39" t="s">
        <v>16</v>
      </c>
      <c r="D604" s="39">
        <v>60403.0</v>
      </c>
      <c r="F604" s="39" t="s">
        <v>1087</v>
      </c>
      <c r="G604" s="39" t="s">
        <v>829</v>
      </c>
      <c r="H604" s="39" t="s">
        <v>828</v>
      </c>
      <c r="I604" s="39" t="s">
        <v>829</v>
      </c>
      <c r="J604" s="39" t="s">
        <v>828</v>
      </c>
      <c r="K604" s="39" t="s">
        <v>2984</v>
      </c>
      <c r="L604" s="43">
        <v>44200.42638888889</v>
      </c>
      <c r="M604" s="39">
        <v>6000.0</v>
      </c>
      <c r="N604" s="44">
        <v>43998.69652777778</v>
      </c>
    </row>
    <row r="605">
      <c r="A605" s="39" t="s">
        <v>832</v>
      </c>
      <c r="B605" s="39" t="s">
        <v>3001</v>
      </c>
      <c r="C605" s="39" t="s">
        <v>16</v>
      </c>
      <c r="D605" s="39">
        <v>63759.0</v>
      </c>
      <c r="F605" s="39" t="s">
        <v>3002</v>
      </c>
      <c r="G605" s="39" t="s">
        <v>1154</v>
      </c>
      <c r="H605" s="39" t="s">
        <v>1153</v>
      </c>
      <c r="I605" s="39" t="s">
        <v>724</v>
      </c>
      <c r="J605" s="39" t="s">
        <v>872</v>
      </c>
      <c r="K605" s="39" t="s">
        <v>2161</v>
      </c>
      <c r="L605" s="43">
        <v>44200.42638888889</v>
      </c>
      <c r="N605" s="44">
        <v>44098.93472222222</v>
      </c>
    </row>
    <row r="606">
      <c r="A606" s="39" t="s">
        <v>832</v>
      </c>
      <c r="B606" s="39" t="s">
        <v>1062</v>
      </c>
      <c r="C606" s="39" t="s">
        <v>16</v>
      </c>
      <c r="D606" s="39">
        <v>60402.0</v>
      </c>
      <c r="F606" s="39" t="s">
        <v>1063</v>
      </c>
      <c r="G606" s="39" t="s">
        <v>829</v>
      </c>
      <c r="H606" s="39" t="s">
        <v>828</v>
      </c>
      <c r="I606" s="39" t="s">
        <v>829</v>
      </c>
      <c r="J606" s="39" t="s">
        <v>828</v>
      </c>
      <c r="K606" s="39" t="s">
        <v>2984</v>
      </c>
      <c r="L606" s="43">
        <v>44200.42638888889</v>
      </c>
      <c r="M606" s="39">
        <v>3180.0</v>
      </c>
      <c r="N606" s="44">
        <v>43998.69583333333</v>
      </c>
    </row>
    <row r="607">
      <c r="A607" s="39" t="s">
        <v>832</v>
      </c>
      <c r="B607" s="39" t="s">
        <v>1065</v>
      </c>
      <c r="C607" s="39" t="s">
        <v>16</v>
      </c>
      <c r="D607" s="39">
        <v>60401.0</v>
      </c>
      <c r="F607" s="39" t="s">
        <v>1066</v>
      </c>
      <c r="G607" s="39" t="s">
        <v>829</v>
      </c>
      <c r="H607" s="39" t="s">
        <v>828</v>
      </c>
      <c r="I607" s="39" t="s">
        <v>829</v>
      </c>
      <c r="J607" s="39" t="s">
        <v>828</v>
      </c>
      <c r="K607" s="39" t="s">
        <v>2984</v>
      </c>
      <c r="L607" s="43">
        <v>44200.42638888889</v>
      </c>
      <c r="M607" s="39">
        <v>2700.0</v>
      </c>
      <c r="N607" s="44">
        <v>43998.68402777778</v>
      </c>
    </row>
    <row r="608">
      <c r="A608" s="39" t="s">
        <v>957</v>
      </c>
      <c r="B608" s="39" t="s">
        <v>1039</v>
      </c>
      <c r="C608" s="39" t="s">
        <v>16</v>
      </c>
      <c r="D608" s="39">
        <v>60360.0</v>
      </c>
      <c r="F608" s="39" t="s">
        <v>1040</v>
      </c>
      <c r="G608" s="39" t="s">
        <v>829</v>
      </c>
      <c r="H608" s="39" t="s">
        <v>828</v>
      </c>
      <c r="I608" s="39" t="s">
        <v>724</v>
      </c>
      <c r="J608" s="39" t="s">
        <v>872</v>
      </c>
      <c r="K608" s="39" t="s">
        <v>2987</v>
      </c>
      <c r="L608" s="43">
        <v>44200.42638888889</v>
      </c>
      <c r="M608" s="39">
        <v>5040.0</v>
      </c>
      <c r="N608" s="44">
        <v>43992.46527777778</v>
      </c>
    </row>
    <row r="609">
      <c r="A609" s="39" t="s">
        <v>957</v>
      </c>
      <c r="B609" s="39" t="s">
        <v>3003</v>
      </c>
      <c r="C609" s="39" t="s">
        <v>16</v>
      </c>
      <c r="D609" s="39">
        <v>62140.0</v>
      </c>
      <c r="F609" s="39" t="s">
        <v>3004</v>
      </c>
      <c r="G609" s="39" t="s">
        <v>1154</v>
      </c>
      <c r="H609" s="39" t="s">
        <v>1153</v>
      </c>
      <c r="I609" s="39" t="s">
        <v>724</v>
      </c>
      <c r="J609" s="39" t="s">
        <v>872</v>
      </c>
      <c r="K609" s="39" t="s">
        <v>2987</v>
      </c>
      <c r="L609" s="43">
        <v>44200.42638888889</v>
      </c>
      <c r="N609" s="44">
        <v>44066.34652777778</v>
      </c>
    </row>
    <row r="610">
      <c r="A610" s="39" t="s">
        <v>957</v>
      </c>
      <c r="B610" s="39" t="s">
        <v>3005</v>
      </c>
      <c r="C610" s="39" t="s">
        <v>16</v>
      </c>
      <c r="D610" s="39">
        <v>62141.0</v>
      </c>
      <c r="F610" s="39" t="s">
        <v>3006</v>
      </c>
      <c r="G610" s="39" t="s">
        <v>1154</v>
      </c>
      <c r="H610" s="39" t="s">
        <v>1153</v>
      </c>
      <c r="I610" s="39" t="s">
        <v>724</v>
      </c>
      <c r="J610" s="39" t="s">
        <v>872</v>
      </c>
      <c r="K610" s="39" t="s">
        <v>2987</v>
      </c>
      <c r="L610" s="43">
        <v>44200.42638888889</v>
      </c>
      <c r="N610" s="44">
        <v>44066.353472222225</v>
      </c>
    </row>
    <row r="611">
      <c r="A611" s="39" t="s">
        <v>957</v>
      </c>
      <c r="B611" s="39" t="s">
        <v>1012</v>
      </c>
      <c r="C611" s="39" t="s">
        <v>16</v>
      </c>
      <c r="D611" s="39">
        <v>59891.0</v>
      </c>
      <c r="F611" s="39" t="s">
        <v>1013</v>
      </c>
      <c r="G611" s="39" t="s">
        <v>829</v>
      </c>
      <c r="H611" s="39" t="s">
        <v>828</v>
      </c>
      <c r="I611" s="39" t="s">
        <v>829</v>
      </c>
      <c r="J611" s="39" t="s">
        <v>828</v>
      </c>
      <c r="K611" s="39" t="s">
        <v>2987</v>
      </c>
      <c r="L611" s="43">
        <v>44200.42638888889</v>
      </c>
      <c r="M611" s="39">
        <v>13920.0</v>
      </c>
      <c r="N611" s="43">
        <v>43984.490277777775</v>
      </c>
    </row>
    <row r="612">
      <c r="A612" s="39" t="s">
        <v>832</v>
      </c>
      <c r="B612" s="39" t="s">
        <v>1077</v>
      </c>
      <c r="C612" s="39" t="s">
        <v>16</v>
      </c>
      <c r="D612" s="39">
        <v>60418.0</v>
      </c>
      <c r="F612" s="39" t="s">
        <v>1078</v>
      </c>
      <c r="G612" s="39" t="s">
        <v>829</v>
      </c>
      <c r="H612" s="39" t="s">
        <v>828</v>
      </c>
      <c r="I612" s="39" t="s">
        <v>829</v>
      </c>
      <c r="J612" s="39" t="s">
        <v>828</v>
      </c>
      <c r="K612" s="39" t="s">
        <v>2984</v>
      </c>
      <c r="L612" s="43">
        <v>44200.42638888889</v>
      </c>
      <c r="M612" s="39">
        <v>1440.0</v>
      </c>
      <c r="N612" s="44">
        <v>43999.748611111114</v>
      </c>
    </row>
    <row r="613">
      <c r="A613" s="39" t="s">
        <v>957</v>
      </c>
      <c r="B613" s="39" t="s">
        <v>1080</v>
      </c>
      <c r="C613" s="39" t="s">
        <v>16</v>
      </c>
      <c r="D613" s="39">
        <v>60415.0</v>
      </c>
      <c r="F613" s="39" t="s">
        <v>1081</v>
      </c>
      <c r="G613" s="39" t="s">
        <v>829</v>
      </c>
      <c r="H613" s="39" t="s">
        <v>828</v>
      </c>
      <c r="I613" s="39" t="s">
        <v>829</v>
      </c>
      <c r="J613" s="39" t="s">
        <v>828</v>
      </c>
      <c r="K613" s="39" t="s">
        <v>2188</v>
      </c>
      <c r="L613" s="43">
        <v>44200.42638888889</v>
      </c>
      <c r="M613" s="39">
        <v>14160.0</v>
      </c>
      <c r="N613" s="44">
        <v>43999.69861111111</v>
      </c>
    </row>
    <row r="614">
      <c r="A614" s="39" t="s">
        <v>832</v>
      </c>
      <c r="B614" s="39" t="s">
        <v>1293</v>
      </c>
      <c r="C614" s="39" t="s">
        <v>16</v>
      </c>
      <c r="D614" s="39">
        <v>60379.0</v>
      </c>
      <c r="F614" s="39" t="s">
        <v>1294</v>
      </c>
      <c r="G614" s="39" t="s">
        <v>829</v>
      </c>
      <c r="H614" s="39" t="s">
        <v>828</v>
      </c>
      <c r="I614" s="39" t="s">
        <v>829</v>
      </c>
      <c r="J614" s="39" t="s">
        <v>828</v>
      </c>
      <c r="K614" s="39" t="s">
        <v>2161</v>
      </c>
      <c r="L614" s="43">
        <v>44200.42638888889</v>
      </c>
      <c r="M614" s="39">
        <v>19140.0</v>
      </c>
      <c r="N614" s="44">
        <v>43994.78194444445</v>
      </c>
    </row>
    <row r="615">
      <c r="A615" s="39" t="s">
        <v>957</v>
      </c>
      <c r="B615" s="39" t="s">
        <v>1301</v>
      </c>
      <c r="C615" s="39" t="s">
        <v>16</v>
      </c>
      <c r="D615" s="39">
        <v>61865.0</v>
      </c>
      <c r="F615" s="39" t="s">
        <v>1302</v>
      </c>
      <c r="G615" s="39" t="s">
        <v>886</v>
      </c>
      <c r="H615" s="39" t="s">
        <v>837</v>
      </c>
      <c r="I615" s="39" t="s">
        <v>724</v>
      </c>
      <c r="J615" s="39" t="s">
        <v>872</v>
      </c>
      <c r="K615" s="39" t="s">
        <v>2987</v>
      </c>
      <c r="L615" s="43">
        <v>44200.42638888889</v>
      </c>
      <c r="M615" s="39">
        <v>2520.0</v>
      </c>
      <c r="N615" s="43">
        <v>44048.501388888886</v>
      </c>
    </row>
    <row r="616">
      <c r="A616" s="39" t="s">
        <v>832</v>
      </c>
      <c r="B616" s="39" t="s">
        <v>1068</v>
      </c>
      <c r="C616" s="39" t="s">
        <v>16</v>
      </c>
      <c r="D616" s="39">
        <v>60378.0</v>
      </c>
      <c r="F616" s="39" t="s">
        <v>1069</v>
      </c>
      <c r="G616" s="39" t="s">
        <v>829</v>
      </c>
      <c r="H616" s="39" t="s">
        <v>828</v>
      </c>
      <c r="I616" s="39" t="s">
        <v>829</v>
      </c>
      <c r="J616" s="39" t="s">
        <v>828</v>
      </c>
      <c r="K616" s="39" t="s">
        <v>2984</v>
      </c>
      <c r="L616" s="43">
        <v>44200.42638888889</v>
      </c>
      <c r="M616" s="39">
        <v>180.0</v>
      </c>
      <c r="N616" s="44">
        <v>43994.78055555555</v>
      </c>
    </row>
    <row r="617">
      <c r="A617" s="39" t="s">
        <v>72</v>
      </c>
      <c r="B617" s="39" t="s">
        <v>1027</v>
      </c>
      <c r="C617" s="39" t="s">
        <v>16</v>
      </c>
      <c r="D617" s="39">
        <v>60377.0</v>
      </c>
      <c r="F617" s="39" t="s">
        <v>1028</v>
      </c>
      <c r="I617" s="39" t="s">
        <v>724</v>
      </c>
      <c r="J617" s="39" t="s">
        <v>872</v>
      </c>
      <c r="K617" s="39" t="s">
        <v>2984</v>
      </c>
      <c r="L617" s="43">
        <v>44200.42638888889</v>
      </c>
      <c r="M617" s="39">
        <v>52800.0</v>
      </c>
      <c r="N617" s="44">
        <v>43994.736805555556</v>
      </c>
    </row>
    <row r="618">
      <c r="A618" s="39" t="s">
        <v>832</v>
      </c>
      <c r="B618" s="39" t="s">
        <v>1119</v>
      </c>
      <c r="C618" s="39" t="s">
        <v>16</v>
      </c>
      <c r="D618" s="39">
        <v>60497.0</v>
      </c>
      <c r="F618" s="39" t="s">
        <v>1120</v>
      </c>
      <c r="G618" s="39" t="s">
        <v>829</v>
      </c>
      <c r="H618" s="39" t="s">
        <v>828</v>
      </c>
      <c r="I618" s="39" t="s">
        <v>829</v>
      </c>
      <c r="J618" s="39" t="s">
        <v>828</v>
      </c>
      <c r="K618" s="39" t="s">
        <v>2984</v>
      </c>
      <c r="L618" s="43">
        <v>44200.42638888889</v>
      </c>
      <c r="M618" s="39">
        <v>28440.0</v>
      </c>
      <c r="N618" s="44">
        <v>44005.50625</v>
      </c>
    </row>
    <row r="619">
      <c r="A619" s="39" t="s">
        <v>832</v>
      </c>
      <c r="B619" s="39" t="s">
        <v>1434</v>
      </c>
      <c r="C619" s="39" t="s">
        <v>16</v>
      </c>
      <c r="D619" s="39">
        <v>60375.0</v>
      </c>
      <c r="F619" s="39" t="s">
        <v>1435</v>
      </c>
      <c r="G619" s="39" t="s">
        <v>829</v>
      </c>
      <c r="H619" s="39" t="s">
        <v>828</v>
      </c>
      <c r="I619" s="39" t="s">
        <v>724</v>
      </c>
      <c r="J619" s="39" t="s">
        <v>872</v>
      </c>
      <c r="K619" s="39" t="s">
        <v>2984</v>
      </c>
      <c r="L619" s="43">
        <v>44200.42638888889</v>
      </c>
      <c r="M619" s="39">
        <v>172380.0</v>
      </c>
      <c r="N619" s="44">
        <v>43994.48888888889</v>
      </c>
    </row>
    <row r="620">
      <c r="A620" s="39" t="s">
        <v>72</v>
      </c>
      <c r="B620" s="39" t="s">
        <v>1514</v>
      </c>
      <c r="C620" s="39" t="s">
        <v>16</v>
      </c>
      <c r="D620" s="39">
        <v>63760.0</v>
      </c>
      <c r="F620" s="39" t="s">
        <v>1659</v>
      </c>
      <c r="I620" s="39" t="s">
        <v>724</v>
      </c>
      <c r="J620" s="39" t="s">
        <v>872</v>
      </c>
      <c r="K620" s="39" t="s">
        <v>2984</v>
      </c>
      <c r="L620" s="43">
        <v>44200.42638888889</v>
      </c>
      <c r="M620" s="39">
        <v>119220.0</v>
      </c>
      <c r="N620" s="44">
        <v>44098.93958333333</v>
      </c>
    </row>
    <row r="621">
      <c r="A621" s="39" t="s">
        <v>832</v>
      </c>
      <c r="B621" s="39" t="s">
        <v>1283</v>
      </c>
      <c r="C621" s="39" t="s">
        <v>16</v>
      </c>
      <c r="D621" s="39">
        <v>60374.0</v>
      </c>
      <c r="F621" s="39" t="s">
        <v>1284</v>
      </c>
      <c r="G621" s="39" t="s">
        <v>829</v>
      </c>
      <c r="H621" s="39" t="s">
        <v>828</v>
      </c>
      <c r="I621" s="39" t="s">
        <v>724</v>
      </c>
      <c r="J621" s="39" t="s">
        <v>872</v>
      </c>
      <c r="K621" s="39" t="s">
        <v>2987</v>
      </c>
      <c r="L621" s="43">
        <v>44200.42638888889</v>
      </c>
      <c r="M621" s="39">
        <v>199680.0</v>
      </c>
      <c r="N621" s="44">
        <v>43994.48611111111</v>
      </c>
    </row>
    <row r="622">
      <c r="A622" s="39" t="s">
        <v>832</v>
      </c>
      <c r="B622" s="39" t="s">
        <v>1003</v>
      </c>
      <c r="C622" s="39" t="s">
        <v>16</v>
      </c>
      <c r="D622" s="39">
        <v>57021.0</v>
      </c>
      <c r="F622" s="39" t="s">
        <v>1004</v>
      </c>
      <c r="G622" s="39" t="s">
        <v>829</v>
      </c>
      <c r="H622" s="39" t="s">
        <v>828</v>
      </c>
      <c r="I622" s="39" t="s">
        <v>724</v>
      </c>
      <c r="J622" s="39" t="s">
        <v>872</v>
      </c>
      <c r="K622" s="39" t="s">
        <v>2984</v>
      </c>
      <c r="L622" s="43">
        <v>44200.42638888889</v>
      </c>
      <c r="M622" s="39">
        <v>13140.0</v>
      </c>
      <c r="N622" s="43">
        <v>43924.66180555556</v>
      </c>
    </row>
    <row r="623">
      <c r="A623" s="39" t="s">
        <v>832</v>
      </c>
      <c r="B623" s="39" t="s">
        <v>1042</v>
      </c>
      <c r="C623" s="39" t="s">
        <v>16</v>
      </c>
      <c r="D623" s="39">
        <v>57020.0</v>
      </c>
      <c r="F623" s="39" t="s">
        <v>1328</v>
      </c>
      <c r="G623" s="39" t="s">
        <v>1154</v>
      </c>
      <c r="H623" s="39" t="s">
        <v>1153</v>
      </c>
      <c r="I623" s="39" t="s">
        <v>724</v>
      </c>
      <c r="J623" s="39" t="s">
        <v>872</v>
      </c>
      <c r="K623" s="39" t="s">
        <v>2188</v>
      </c>
      <c r="L623" s="43">
        <v>44200.42638888889</v>
      </c>
      <c r="M623" s="39">
        <v>271740.0</v>
      </c>
      <c r="N623" s="43">
        <v>43924.66180555556</v>
      </c>
    </row>
    <row r="624">
      <c r="A624" s="39" t="s">
        <v>832</v>
      </c>
      <c r="B624" s="39" t="s">
        <v>1030</v>
      </c>
      <c r="C624" s="39" t="s">
        <v>16</v>
      </c>
      <c r="D624" s="39">
        <v>57023.0</v>
      </c>
      <c r="F624" s="39" t="s">
        <v>1031</v>
      </c>
      <c r="G624" s="39" t="s">
        <v>829</v>
      </c>
      <c r="H624" s="39" t="s">
        <v>828</v>
      </c>
      <c r="I624" s="39" t="s">
        <v>724</v>
      </c>
      <c r="J624" s="39" t="s">
        <v>872</v>
      </c>
      <c r="K624" s="39" t="s">
        <v>2984</v>
      </c>
      <c r="L624" s="43">
        <v>44200.42638888889</v>
      </c>
      <c r="M624" s="39">
        <v>2640.0</v>
      </c>
      <c r="N624" s="43">
        <v>43924.66180555556</v>
      </c>
    </row>
    <row r="625">
      <c r="A625" s="39" t="s">
        <v>832</v>
      </c>
      <c r="B625" s="39" t="s">
        <v>1112</v>
      </c>
      <c r="C625" s="39" t="s">
        <v>16</v>
      </c>
      <c r="D625" s="39">
        <v>57024.0</v>
      </c>
      <c r="F625" s="39" t="s">
        <v>1113</v>
      </c>
      <c r="G625" s="39" t="s">
        <v>829</v>
      </c>
      <c r="H625" s="39" t="s">
        <v>828</v>
      </c>
      <c r="I625" s="39" t="s">
        <v>724</v>
      </c>
      <c r="J625" s="39" t="s">
        <v>872</v>
      </c>
      <c r="K625" s="39" t="s">
        <v>2188</v>
      </c>
      <c r="L625" s="43">
        <v>44200.42638888889</v>
      </c>
      <c r="M625" s="39">
        <v>72900.0</v>
      </c>
      <c r="N625" s="43">
        <v>43924.6625</v>
      </c>
    </row>
    <row r="626">
      <c r="A626" s="39" t="s">
        <v>832</v>
      </c>
      <c r="B626" s="39" t="s">
        <v>3007</v>
      </c>
      <c r="C626" s="39" t="s">
        <v>16</v>
      </c>
      <c r="D626" s="39">
        <v>60388.0</v>
      </c>
      <c r="F626" s="39" t="s">
        <v>3008</v>
      </c>
      <c r="G626" s="39" t="s">
        <v>724</v>
      </c>
      <c r="H626" s="39" t="s">
        <v>872</v>
      </c>
      <c r="I626" s="39" t="s">
        <v>724</v>
      </c>
      <c r="J626" s="39" t="s">
        <v>872</v>
      </c>
      <c r="K626" s="39" t="s">
        <v>2984</v>
      </c>
      <c r="L626" s="43">
        <v>44200.42638888889</v>
      </c>
      <c r="N626" s="44">
        <v>43996.89722222222</v>
      </c>
    </row>
    <row r="627">
      <c r="A627" s="39" t="s">
        <v>957</v>
      </c>
      <c r="B627" s="39" t="s">
        <v>1043</v>
      </c>
      <c r="C627" s="39" t="s">
        <v>16</v>
      </c>
      <c r="D627" s="39">
        <v>60386.0</v>
      </c>
      <c r="F627" s="39" t="s">
        <v>1044</v>
      </c>
      <c r="G627" s="39" t="s">
        <v>829</v>
      </c>
      <c r="H627" s="39" t="s">
        <v>828</v>
      </c>
      <c r="I627" s="39" t="s">
        <v>724</v>
      </c>
      <c r="J627" s="39" t="s">
        <v>872</v>
      </c>
      <c r="K627" s="39" t="s">
        <v>2987</v>
      </c>
      <c r="L627" s="43">
        <v>44200.42638888889</v>
      </c>
      <c r="M627" s="39">
        <v>1320.0</v>
      </c>
      <c r="N627" s="44">
        <v>43996.47152777778</v>
      </c>
    </row>
    <row r="628">
      <c r="A628" s="39" t="s">
        <v>957</v>
      </c>
      <c r="B628" s="39" t="s">
        <v>1033</v>
      </c>
      <c r="C628" s="39" t="s">
        <v>16</v>
      </c>
      <c r="D628" s="39">
        <v>60385.0</v>
      </c>
      <c r="F628" s="39" t="s">
        <v>1034</v>
      </c>
      <c r="G628" s="39" t="s">
        <v>829</v>
      </c>
      <c r="H628" s="39" t="s">
        <v>828</v>
      </c>
      <c r="I628" s="39" t="s">
        <v>724</v>
      </c>
      <c r="J628" s="39" t="s">
        <v>872</v>
      </c>
      <c r="K628" s="39" t="s">
        <v>2987</v>
      </c>
      <c r="L628" s="43">
        <v>44200.42638888889</v>
      </c>
      <c r="M628" s="39">
        <v>480.0</v>
      </c>
      <c r="N628" s="44">
        <v>43996.46597222222</v>
      </c>
    </row>
    <row r="629">
      <c r="A629" s="39" t="s">
        <v>832</v>
      </c>
      <c r="B629" s="39" t="s">
        <v>998</v>
      </c>
      <c r="C629" s="39" t="s">
        <v>16</v>
      </c>
      <c r="D629" s="39">
        <v>59040.0</v>
      </c>
      <c r="F629" s="39" t="s">
        <v>999</v>
      </c>
      <c r="G629" s="39" t="s">
        <v>829</v>
      </c>
      <c r="H629" s="39" t="s">
        <v>828</v>
      </c>
      <c r="I629" s="39" t="s">
        <v>829</v>
      </c>
      <c r="J629" s="39" t="s">
        <v>828</v>
      </c>
      <c r="K629" s="39" t="s">
        <v>2984</v>
      </c>
      <c r="L629" s="43">
        <v>44200.42638888889</v>
      </c>
      <c r="M629" s="39">
        <v>2700.0</v>
      </c>
      <c r="N629" s="45">
        <v>43973.49791666667</v>
      </c>
    </row>
    <row r="630">
      <c r="A630" s="39" t="s">
        <v>832</v>
      </c>
      <c r="B630" s="39" t="s">
        <v>1083</v>
      </c>
      <c r="C630" s="39" t="s">
        <v>16</v>
      </c>
      <c r="D630" s="39">
        <v>60384.0</v>
      </c>
      <c r="F630" s="39" t="s">
        <v>1084</v>
      </c>
      <c r="G630" s="39" t="s">
        <v>829</v>
      </c>
      <c r="H630" s="39" t="s">
        <v>828</v>
      </c>
      <c r="I630" s="39" t="s">
        <v>724</v>
      </c>
      <c r="J630" s="39" t="s">
        <v>872</v>
      </c>
      <c r="K630" s="39" t="s">
        <v>2984</v>
      </c>
      <c r="L630" s="43">
        <v>44200.42638888889</v>
      </c>
      <c r="M630" s="39">
        <v>1740.0</v>
      </c>
      <c r="N630" s="44">
        <v>43996.41111111111</v>
      </c>
    </row>
    <row r="631">
      <c r="A631" s="39" t="s">
        <v>957</v>
      </c>
      <c r="B631" s="39" t="s">
        <v>1783</v>
      </c>
      <c r="C631" s="39" t="s">
        <v>16</v>
      </c>
      <c r="D631" s="39">
        <v>64740.0</v>
      </c>
      <c r="F631" s="39" t="s">
        <v>1784</v>
      </c>
      <c r="G631" s="39" t="s">
        <v>829</v>
      </c>
      <c r="H631" s="39" t="s">
        <v>828</v>
      </c>
      <c r="I631" s="39" t="s">
        <v>829</v>
      </c>
      <c r="J631" s="39" t="s">
        <v>828</v>
      </c>
      <c r="K631" s="39" t="s">
        <v>2984</v>
      </c>
      <c r="L631" s="43">
        <v>44200.42638888889</v>
      </c>
      <c r="M631" s="39">
        <v>40500.0</v>
      </c>
      <c r="N631" s="44">
        <v>44123.71041666667</v>
      </c>
    </row>
    <row r="632">
      <c r="A632" s="39" t="s">
        <v>832</v>
      </c>
      <c r="B632" s="39" t="s">
        <v>995</v>
      </c>
      <c r="C632" s="39" t="s">
        <v>16</v>
      </c>
      <c r="D632" s="39">
        <v>59041.0</v>
      </c>
      <c r="F632" s="39" t="s">
        <v>996</v>
      </c>
      <c r="G632" s="39" t="s">
        <v>829</v>
      </c>
      <c r="H632" s="39" t="s">
        <v>828</v>
      </c>
      <c r="I632" s="39" t="s">
        <v>829</v>
      </c>
      <c r="J632" s="39" t="s">
        <v>828</v>
      </c>
      <c r="K632" s="39" t="s">
        <v>2984</v>
      </c>
      <c r="L632" s="43">
        <v>44200.42638888889</v>
      </c>
      <c r="M632" s="39">
        <v>11640.0</v>
      </c>
      <c r="N632" s="45">
        <v>43973.5</v>
      </c>
    </row>
    <row r="633">
      <c r="A633" s="39" t="s">
        <v>832</v>
      </c>
      <c r="B633" s="39" t="s">
        <v>1071</v>
      </c>
      <c r="C633" s="39" t="s">
        <v>16</v>
      </c>
      <c r="D633" s="39">
        <v>60380.0</v>
      </c>
      <c r="F633" s="39" t="s">
        <v>1072</v>
      </c>
      <c r="G633" s="39" t="s">
        <v>829</v>
      </c>
      <c r="H633" s="39" t="s">
        <v>828</v>
      </c>
      <c r="I633" s="39" t="s">
        <v>829</v>
      </c>
      <c r="J633" s="39" t="s">
        <v>828</v>
      </c>
      <c r="K633" s="39" t="s">
        <v>2188</v>
      </c>
      <c r="L633" s="43">
        <v>44200.42638888889</v>
      </c>
      <c r="M633" s="39">
        <v>2040.0</v>
      </c>
      <c r="N633" s="44">
        <v>43994.78402777778</v>
      </c>
    </row>
    <row r="634">
      <c r="A634" s="39" t="s">
        <v>957</v>
      </c>
      <c r="B634" s="39" t="s">
        <v>989</v>
      </c>
      <c r="C634" s="39" t="s">
        <v>16</v>
      </c>
      <c r="D634" s="39">
        <v>59033.0</v>
      </c>
      <c r="F634" s="39" t="s">
        <v>990</v>
      </c>
      <c r="G634" s="39" t="s">
        <v>829</v>
      </c>
      <c r="H634" s="39" t="s">
        <v>828</v>
      </c>
      <c r="I634" s="39" t="s">
        <v>829</v>
      </c>
      <c r="J634" s="39" t="s">
        <v>828</v>
      </c>
      <c r="K634" s="39" t="s">
        <v>2987</v>
      </c>
      <c r="L634" s="43">
        <v>44200.42638888889</v>
      </c>
      <c r="M634" s="39">
        <v>2220.0</v>
      </c>
      <c r="N634" s="45">
        <v>43972.498611111114</v>
      </c>
    </row>
    <row r="635">
      <c r="A635" s="39" t="s">
        <v>832</v>
      </c>
      <c r="B635" s="39" t="s">
        <v>992</v>
      </c>
      <c r="C635" s="39" t="s">
        <v>16</v>
      </c>
      <c r="D635" s="39">
        <v>59032.0</v>
      </c>
      <c r="F635" s="39" t="s">
        <v>993</v>
      </c>
      <c r="G635" s="39" t="s">
        <v>829</v>
      </c>
      <c r="H635" s="39" t="s">
        <v>828</v>
      </c>
      <c r="I635" s="39" t="s">
        <v>829</v>
      </c>
      <c r="J635" s="39" t="s">
        <v>828</v>
      </c>
      <c r="K635" s="39" t="s">
        <v>2984</v>
      </c>
      <c r="L635" s="43">
        <v>44200.42638888889</v>
      </c>
      <c r="M635" s="39">
        <v>3240.0</v>
      </c>
      <c r="N635" s="45">
        <v>43972.479166666664</v>
      </c>
    </row>
    <row r="636">
      <c r="A636" s="39" t="s">
        <v>832</v>
      </c>
      <c r="B636" s="39" t="s">
        <v>1544</v>
      </c>
      <c r="C636" s="39" t="s">
        <v>16</v>
      </c>
      <c r="D636" s="39">
        <v>63306.0</v>
      </c>
      <c r="F636" s="39" t="s">
        <v>1545</v>
      </c>
      <c r="G636" s="39" t="s">
        <v>829</v>
      </c>
      <c r="H636" s="39" t="s">
        <v>828</v>
      </c>
      <c r="I636" s="39" t="s">
        <v>829</v>
      </c>
      <c r="J636" s="39" t="s">
        <v>828</v>
      </c>
      <c r="K636" s="39" t="s">
        <v>2984</v>
      </c>
      <c r="L636" s="43">
        <v>44200.42638888889</v>
      </c>
      <c r="M636" s="39">
        <v>9060.0</v>
      </c>
      <c r="N636" s="44">
        <v>44088.66527777778</v>
      </c>
    </row>
    <row r="637">
      <c r="A637" s="39" t="s">
        <v>832</v>
      </c>
      <c r="B637" s="39" t="s">
        <v>986</v>
      </c>
      <c r="C637" s="39" t="s">
        <v>16</v>
      </c>
      <c r="D637" s="39">
        <v>57015.0</v>
      </c>
      <c r="F637" s="39" t="s">
        <v>987</v>
      </c>
      <c r="G637" s="39" t="s">
        <v>829</v>
      </c>
      <c r="H637" s="39" t="s">
        <v>828</v>
      </c>
      <c r="I637" s="39" t="s">
        <v>724</v>
      </c>
      <c r="J637" s="39" t="s">
        <v>872</v>
      </c>
      <c r="K637" s="39" t="s">
        <v>2984</v>
      </c>
      <c r="L637" s="43">
        <v>44200.42638888889</v>
      </c>
      <c r="M637" s="39">
        <v>13380.0</v>
      </c>
      <c r="N637" s="43">
        <v>43924.65625</v>
      </c>
    </row>
    <row r="638">
      <c r="A638" s="39" t="s">
        <v>72</v>
      </c>
      <c r="B638" s="39" t="s">
        <v>944</v>
      </c>
      <c r="C638" s="39" t="s">
        <v>16</v>
      </c>
      <c r="D638" s="39">
        <v>57012.0</v>
      </c>
      <c r="F638" s="39" t="s">
        <v>1001</v>
      </c>
      <c r="I638" s="39" t="s">
        <v>724</v>
      </c>
      <c r="J638" s="39" t="s">
        <v>872</v>
      </c>
      <c r="K638" s="39" t="s">
        <v>2984</v>
      </c>
      <c r="L638" s="43">
        <v>44200.42638888889</v>
      </c>
      <c r="M638" s="39">
        <v>150120.0</v>
      </c>
      <c r="N638" s="43">
        <v>43924.65555555555</v>
      </c>
    </row>
    <row r="639">
      <c r="A639" s="39" t="s">
        <v>832</v>
      </c>
      <c r="B639" s="39" t="s">
        <v>1091</v>
      </c>
      <c r="C639" s="39" t="s">
        <v>16</v>
      </c>
      <c r="D639" s="39">
        <v>60435.0</v>
      </c>
      <c r="F639" s="39" t="s">
        <v>1092</v>
      </c>
      <c r="G639" s="39" t="s">
        <v>829</v>
      </c>
      <c r="H639" s="39" t="s">
        <v>828</v>
      </c>
      <c r="I639" s="39" t="s">
        <v>829</v>
      </c>
      <c r="J639" s="39" t="s">
        <v>828</v>
      </c>
      <c r="K639" s="39" t="s">
        <v>2984</v>
      </c>
      <c r="L639" s="43">
        <v>44200.42638888889</v>
      </c>
      <c r="M639" s="39">
        <v>6420.0</v>
      </c>
      <c r="N639" s="44">
        <v>44000.46388888889</v>
      </c>
    </row>
    <row r="640">
      <c r="A640" s="39" t="s">
        <v>832</v>
      </c>
      <c r="B640" s="39" t="s">
        <v>1015</v>
      </c>
      <c r="C640" s="39" t="s">
        <v>16</v>
      </c>
      <c r="D640" s="39">
        <v>57013.0</v>
      </c>
      <c r="F640" s="39" t="s">
        <v>3009</v>
      </c>
      <c r="G640" s="39" t="s">
        <v>829</v>
      </c>
      <c r="H640" s="39" t="s">
        <v>828</v>
      </c>
      <c r="I640" s="39" t="s">
        <v>724</v>
      </c>
      <c r="J640" s="39" t="s">
        <v>872</v>
      </c>
      <c r="K640" s="39" t="s">
        <v>2984</v>
      </c>
      <c r="L640" s="43">
        <v>44200.42638888889</v>
      </c>
      <c r="M640" s="39">
        <v>13920.0</v>
      </c>
      <c r="N640" s="43">
        <v>43924.65555555555</v>
      </c>
    </row>
    <row r="641">
      <c r="A641" s="39" t="s">
        <v>832</v>
      </c>
      <c r="B641" s="39" t="s">
        <v>1448</v>
      </c>
      <c r="C641" s="39" t="s">
        <v>16</v>
      </c>
      <c r="D641" s="39">
        <v>62575.0</v>
      </c>
      <c r="F641" s="39" t="s">
        <v>1449</v>
      </c>
      <c r="G641" s="39" t="s">
        <v>1154</v>
      </c>
      <c r="H641" s="39" t="s">
        <v>1153</v>
      </c>
      <c r="I641" s="39" t="s">
        <v>829</v>
      </c>
      <c r="J641" s="39" t="s">
        <v>828</v>
      </c>
      <c r="K641" s="39" t="s">
        <v>2984</v>
      </c>
      <c r="L641" s="43">
        <v>44200.42638888889</v>
      </c>
      <c r="M641" s="39">
        <v>4020.0</v>
      </c>
      <c r="N641" s="43">
        <v>44078.527083333334</v>
      </c>
    </row>
    <row r="642">
      <c r="A642" s="39" t="s">
        <v>832</v>
      </c>
      <c r="B642" s="39" t="s">
        <v>1451</v>
      </c>
      <c r="C642" s="39" t="s">
        <v>16</v>
      </c>
      <c r="D642" s="39">
        <v>62573.0</v>
      </c>
      <c r="F642" s="39" t="s">
        <v>1452</v>
      </c>
      <c r="G642" s="39" t="s">
        <v>1154</v>
      </c>
      <c r="H642" s="39" t="s">
        <v>1153</v>
      </c>
      <c r="I642" s="39" t="s">
        <v>829</v>
      </c>
      <c r="J642" s="39" t="s">
        <v>828</v>
      </c>
      <c r="K642" s="39" t="s">
        <v>2984</v>
      </c>
      <c r="L642" s="43">
        <v>44200.42638888889</v>
      </c>
      <c r="M642" s="39">
        <v>4440.0</v>
      </c>
      <c r="N642" s="43">
        <v>44078.518055555556</v>
      </c>
    </row>
    <row r="643">
      <c r="A643" s="39" t="s">
        <v>832</v>
      </c>
      <c r="B643" s="39" t="s">
        <v>1457</v>
      </c>
      <c r="C643" s="39" t="s">
        <v>16</v>
      </c>
      <c r="D643" s="39">
        <v>62571.0</v>
      </c>
      <c r="F643" s="39" t="s">
        <v>1458</v>
      </c>
      <c r="G643" s="39" t="s">
        <v>829</v>
      </c>
      <c r="H643" s="39" t="s">
        <v>828</v>
      </c>
      <c r="I643" s="39" t="s">
        <v>829</v>
      </c>
      <c r="J643" s="39" t="s">
        <v>828</v>
      </c>
      <c r="K643" s="39" t="s">
        <v>2984</v>
      </c>
      <c r="L643" s="43">
        <v>44200.42638888889</v>
      </c>
      <c r="M643" s="39">
        <v>25860.0</v>
      </c>
      <c r="N643" s="43">
        <v>44078.49513888889</v>
      </c>
    </row>
    <row r="644">
      <c r="A644" s="39" t="s">
        <v>957</v>
      </c>
      <c r="B644" s="39" t="s">
        <v>983</v>
      </c>
      <c r="C644" s="39" t="s">
        <v>16</v>
      </c>
      <c r="D644" s="39">
        <v>59030.0</v>
      </c>
      <c r="F644" s="39" t="s">
        <v>984</v>
      </c>
      <c r="G644" s="39" t="s">
        <v>829</v>
      </c>
      <c r="H644" s="39" t="s">
        <v>828</v>
      </c>
      <c r="I644" s="39" t="s">
        <v>829</v>
      </c>
      <c r="J644" s="39" t="s">
        <v>828</v>
      </c>
      <c r="K644" s="39" t="s">
        <v>2987</v>
      </c>
      <c r="L644" s="43">
        <v>44200.42638888889</v>
      </c>
      <c r="M644" s="39">
        <v>3120.0</v>
      </c>
      <c r="N644" s="45">
        <v>43971.49236111111</v>
      </c>
    </row>
    <row r="645">
      <c r="A645" s="39" t="s">
        <v>832</v>
      </c>
      <c r="B645" s="39" t="s">
        <v>1454</v>
      </c>
      <c r="C645" s="39" t="s">
        <v>16</v>
      </c>
      <c r="D645" s="39">
        <v>62572.0</v>
      </c>
      <c r="F645" s="39" t="s">
        <v>1455</v>
      </c>
      <c r="G645" s="39" t="s">
        <v>1154</v>
      </c>
      <c r="H645" s="39" t="s">
        <v>1153</v>
      </c>
      <c r="I645" s="39" t="s">
        <v>829</v>
      </c>
      <c r="J645" s="39" t="s">
        <v>828</v>
      </c>
      <c r="K645" s="39" t="s">
        <v>2984</v>
      </c>
      <c r="L645" s="43">
        <v>44200.42638888889</v>
      </c>
      <c r="M645" s="39">
        <v>15420.0</v>
      </c>
      <c r="N645" s="43">
        <v>44078.513194444444</v>
      </c>
    </row>
    <row r="646">
      <c r="A646" s="39" t="s">
        <v>72</v>
      </c>
      <c r="B646" s="39" t="s">
        <v>1115</v>
      </c>
      <c r="C646" s="39" t="s">
        <v>16</v>
      </c>
      <c r="D646" s="39">
        <v>57017.0</v>
      </c>
      <c r="F646" s="39" t="s">
        <v>1122</v>
      </c>
      <c r="I646" s="39" t="s">
        <v>724</v>
      </c>
      <c r="J646" s="39" t="s">
        <v>872</v>
      </c>
      <c r="K646" s="39" t="s">
        <v>2161</v>
      </c>
      <c r="L646" s="43">
        <v>44200.42638888889</v>
      </c>
      <c r="M646" s="39">
        <v>895080.0</v>
      </c>
      <c r="N646" s="43">
        <v>43924.65902777778</v>
      </c>
    </row>
    <row r="647">
      <c r="A647" s="39" t="s">
        <v>832</v>
      </c>
      <c r="B647" s="39" t="s">
        <v>1375</v>
      </c>
      <c r="C647" s="39" t="s">
        <v>16</v>
      </c>
      <c r="D647" s="39">
        <v>61919.0</v>
      </c>
      <c r="F647" s="39" t="s">
        <v>1376</v>
      </c>
      <c r="G647" s="39" t="s">
        <v>829</v>
      </c>
      <c r="H647" s="39" t="s">
        <v>828</v>
      </c>
      <c r="I647" s="39" t="s">
        <v>724</v>
      </c>
      <c r="J647" s="39" t="s">
        <v>872</v>
      </c>
      <c r="K647" s="39" t="s">
        <v>2984</v>
      </c>
      <c r="L647" s="43">
        <v>44200.42638888889</v>
      </c>
      <c r="M647" s="39">
        <v>9060.0</v>
      </c>
      <c r="N647" s="44">
        <v>44054.441666666666</v>
      </c>
    </row>
    <row r="648">
      <c r="A648" s="39" t="s">
        <v>832</v>
      </c>
      <c r="B648" s="39" t="s">
        <v>1559</v>
      </c>
      <c r="C648" s="39" t="s">
        <v>16</v>
      </c>
      <c r="D648" s="39">
        <v>62747.0</v>
      </c>
      <c r="F648" s="39" t="s">
        <v>1560</v>
      </c>
      <c r="G648" s="39" t="s">
        <v>829</v>
      </c>
      <c r="H648" s="39" t="s">
        <v>828</v>
      </c>
      <c r="I648" s="39" t="s">
        <v>829</v>
      </c>
      <c r="J648" s="39" t="s">
        <v>828</v>
      </c>
      <c r="K648" s="39" t="s">
        <v>2984</v>
      </c>
      <c r="L648" s="43">
        <v>44200.42638888889</v>
      </c>
      <c r="M648" s="39">
        <v>8100.0</v>
      </c>
      <c r="N648" s="43">
        <v>44083.67152777778</v>
      </c>
    </row>
    <row r="649">
      <c r="A649" s="39" t="s">
        <v>832</v>
      </c>
      <c r="B649" s="39" t="s">
        <v>1489</v>
      </c>
      <c r="C649" s="39" t="s">
        <v>16</v>
      </c>
      <c r="D649" s="39">
        <v>62745.0</v>
      </c>
      <c r="F649" s="39" t="s">
        <v>1490</v>
      </c>
      <c r="G649" s="39" t="s">
        <v>829</v>
      </c>
      <c r="H649" s="39" t="s">
        <v>828</v>
      </c>
      <c r="I649" s="39" t="s">
        <v>829</v>
      </c>
      <c r="J649" s="39" t="s">
        <v>828</v>
      </c>
      <c r="K649" s="39" t="s">
        <v>2984</v>
      </c>
      <c r="L649" s="43">
        <v>44200.42638888889</v>
      </c>
      <c r="M649" s="39">
        <v>6240.0</v>
      </c>
      <c r="N649" s="43">
        <v>44083.57847222222</v>
      </c>
    </row>
    <row r="650">
      <c r="A650" s="39" t="s">
        <v>957</v>
      </c>
      <c r="B650" s="39" t="s">
        <v>1437</v>
      </c>
      <c r="C650" s="39" t="s">
        <v>16</v>
      </c>
      <c r="D650" s="39">
        <v>62467.0</v>
      </c>
      <c r="F650" s="39" t="s">
        <v>1438</v>
      </c>
      <c r="G650" s="39" t="s">
        <v>829</v>
      </c>
      <c r="H650" s="39" t="s">
        <v>828</v>
      </c>
      <c r="I650" s="39" t="s">
        <v>1154</v>
      </c>
      <c r="J650" s="39" t="s">
        <v>1153</v>
      </c>
      <c r="K650" s="39" t="s">
        <v>2987</v>
      </c>
      <c r="L650" s="43">
        <v>44200.42638888889</v>
      </c>
      <c r="M650" s="39">
        <v>3360.0</v>
      </c>
      <c r="N650" s="43">
        <v>44076.461805555555</v>
      </c>
    </row>
    <row r="651">
      <c r="A651" s="39" t="s">
        <v>957</v>
      </c>
      <c r="B651" s="39" t="s">
        <v>1568</v>
      </c>
      <c r="C651" s="39" t="s">
        <v>16</v>
      </c>
      <c r="D651" s="39">
        <v>62468.0</v>
      </c>
      <c r="F651" s="39" t="s">
        <v>1569</v>
      </c>
      <c r="G651" s="39" t="s">
        <v>829</v>
      </c>
      <c r="H651" s="39" t="s">
        <v>828</v>
      </c>
      <c r="I651" s="39" t="s">
        <v>1154</v>
      </c>
      <c r="J651" s="39" t="s">
        <v>1153</v>
      </c>
      <c r="K651" s="39" t="s">
        <v>2984</v>
      </c>
      <c r="L651" s="43">
        <v>44200.42638888889</v>
      </c>
      <c r="M651" s="39">
        <v>1380.0</v>
      </c>
      <c r="N651" s="43">
        <v>44076.46319444444</v>
      </c>
    </row>
    <row r="652">
      <c r="A652" s="39" t="s">
        <v>832</v>
      </c>
      <c r="B652" s="39" t="s">
        <v>1495</v>
      </c>
      <c r="C652" s="39" t="s">
        <v>16</v>
      </c>
      <c r="D652" s="39">
        <v>62740.0</v>
      </c>
      <c r="F652" s="39" t="s">
        <v>1496</v>
      </c>
      <c r="G652" s="39" t="s">
        <v>1292</v>
      </c>
      <c r="H652" s="39" t="s">
        <v>1291</v>
      </c>
      <c r="I652" s="39" t="s">
        <v>829</v>
      </c>
      <c r="J652" s="39" t="s">
        <v>828</v>
      </c>
      <c r="K652" s="39" t="s">
        <v>2984</v>
      </c>
      <c r="L652" s="43">
        <v>44200.42638888889</v>
      </c>
      <c r="M652" s="39">
        <v>2400.0</v>
      </c>
      <c r="N652" s="43">
        <v>44083.54236111111</v>
      </c>
    </row>
    <row r="653">
      <c r="A653" s="39" t="s">
        <v>832</v>
      </c>
      <c r="B653" s="39" t="s">
        <v>1555</v>
      </c>
      <c r="C653" s="39" t="s">
        <v>16</v>
      </c>
      <c r="D653" s="39">
        <v>63314.0</v>
      </c>
      <c r="F653" s="39" t="s">
        <v>1556</v>
      </c>
      <c r="G653" s="39" t="s">
        <v>829</v>
      </c>
      <c r="H653" s="39" t="s">
        <v>828</v>
      </c>
      <c r="I653" s="39" t="s">
        <v>829</v>
      </c>
      <c r="J653" s="39" t="s">
        <v>828</v>
      </c>
      <c r="K653" s="39" t="s">
        <v>2984</v>
      </c>
      <c r="L653" s="43">
        <v>44200.42638888889</v>
      </c>
      <c r="M653" s="39">
        <v>11940.0</v>
      </c>
      <c r="N653" s="44">
        <v>44089.518055555556</v>
      </c>
    </row>
    <row r="654">
      <c r="A654" s="39" t="s">
        <v>832</v>
      </c>
      <c r="B654" s="39" t="s">
        <v>1492</v>
      </c>
      <c r="C654" s="39" t="s">
        <v>16</v>
      </c>
      <c r="D654" s="39">
        <v>62741.0</v>
      </c>
      <c r="F654" s="39" t="s">
        <v>1493</v>
      </c>
      <c r="G654" s="39" t="s">
        <v>829</v>
      </c>
      <c r="H654" s="39" t="s">
        <v>828</v>
      </c>
      <c r="I654" s="39" t="s">
        <v>829</v>
      </c>
      <c r="J654" s="39" t="s">
        <v>828</v>
      </c>
      <c r="K654" s="39" t="s">
        <v>2987</v>
      </c>
      <c r="L654" s="43">
        <v>44200.42638888889</v>
      </c>
      <c r="M654" s="39">
        <v>960.0</v>
      </c>
      <c r="N654" s="43">
        <v>44083.54722222222</v>
      </c>
    </row>
    <row r="655">
      <c r="A655" s="39" t="s">
        <v>957</v>
      </c>
      <c r="B655" s="39" t="s">
        <v>1486</v>
      </c>
      <c r="C655" s="39" t="s">
        <v>16</v>
      </c>
      <c r="D655" s="39">
        <v>62100.0</v>
      </c>
      <c r="F655" s="39" t="s">
        <v>1487</v>
      </c>
      <c r="G655" s="39" t="s">
        <v>829</v>
      </c>
      <c r="H655" s="39" t="s">
        <v>828</v>
      </c>
      <c r="I655" s="39" t="s">
        <v>724</v>
      </c>
      <c r="J655" s="39" t="s">
        <v>872</v>
      </c>
      <c r="K655" s="39" t="s">
        <v>2987</v>
      </c>
      <c r="L655" s="43">
        <v>44200.42638888889</v>
      </c>
      <c r="M655" s="39">
        <v>780.0</v>
      </c>
      <c r="N655" s="44">
        <v>44060.924305555556</v>
      </c>
    </row>
    <row r="656">
      <c r="A656" s="39" t="s">
        <v>832</v>
      </c>
      <c r="B656" s="39" t="s">
        <v>1505</v>
      </c>
      <c r="C656" s="39" t="s">
        <v>16</v>
      </c>
      <c r="D656" s="39">
        <v>62585.0</v>
      </c>
      <c r="F656" s="39" t="s">
        <v>1506</v>
      </c>
      <c r="G656" s="39" t="s">
        <v>829</v>
      </c>
      <c r="H656" s="39" t="s">
        <v>828</v>
      </c>
      <c r="I656" s="39" t="s">
        <v>724</v>
      </c>
      <c r="J656" s="39" t="s">
        <v>872</v>
      </c>
      <c r="K656" s="39" t="s">
        <v>2984</v>
      </c>
      <c r="L656" s="43">
        <v>44200.42638888889</v>
      </c>
      <c r="M656" s="39">
        <v>73560.0</v>
      </c>
      <c r="N656" s="43">
        <v>44080.6875</v>
      </c>
    </row>
    <row r="657">
      <c r="A657" s="39" t="s">
        <v>957</v>
      </c>
      <c r="B657" s="39" t="s">
        <v>1483</v>
      </c>
      <c r="C657" s="39" t="s">
        <v>16</v>
      </c>
      <c r="D657" s="39">
        <v>62101.0</v>
      </c>
      <c r="F657" s="39" t="s">
        <v>1484</v>
      </c>
      <c r="G657" s="39" t="s">
        <v>829</v>
      </c>
      <c r="H657" s="39" t="s">
        <v>828</v>
      </c>
      <c r="I657" s="39" t="s">
        <v>724</v>
      </c>
      <c r="J657" s="39" t="s">
        <v>872</v>
      </c>
      <c r="K657" s="39" t="s">
        <v>2987</v>
      </c>
      <c r="L657" s="43">
        <v>44200.42638888889</v>
      </c>
      <c r="M657" s="39">
        <v>1200.0</v>
      </c>
      <c r="N657" s="44">
        <v>44060.92638888889</v>
      </c>
    </row>
    <row r="658">
      <c r="A658" s="39" t="s">
        <v>957</v>
      </c>
      <c r="B658" s="39" t="s">
        <v>3010</v>
      </c>
      <c r="C658" s="39" t="s">
        <v>16</v>
      </c>
      <c r="D658" s="39">
        <v>58939.0</v>
      </c>
      <c r="F658" s="39" t="s">
        <v>3011</v>
      </c>
      <c r="G658" s="39" t="s">
        <v>829</v>
      </c>
      <c r="H658" s="39" t="s">
        <v>828</v>
      </c>
      <c r="I658" s="39" t="s">
        <v>829</v>
      </c>
      <c r="J658" s="39" t="s">
        <v>828</v>
      </c>
      <c r="K658" s="39" t="s">
        <v>2987</v>
      </c>
      <c r="L658" s="43">
        <v>44200.42638888889</v>
      </c>
      <c r="N658" s="45">
        <v>43966.47708333333</v>
      </c>
    </row>
    <row r="659">
      <c r="A659" s="39" t="s">
        <v>957</v>
      </c>
      <c r="B659" s="39" t="s">
        <v>980</v>
      </c>
      <c r="C659" s="39" t="s">
        <v>16</v>
      </c>
      <c r="D659" s="39">
        <v>58938.0</v>
      </c>
      <c r="F659" s="39" t="s">
        <v>981</v>
      </c>
      <c r="G659" s="39" t="s">
        <v>829</v>
      </c>
      <c r="H659" s="39" t="s">
        <v>828</v>
      </c>
      <c r="I659" s="39" t="s">
        <v>829</v>
      </c>
      <c r="J659" s="39" t="s">
        <v>828</v>
      </c>
      <c r="K659" s="39" t="s">
        <v>2987</v>
      </c>
      <c r="L659" s="43">
        <v>44200.42638888889</v>
      </c>
      <c r="M659" s="39">
        <v>1980.0</v>
      </c>
      <c r="N659" s="45">
        <v>43966.47708333333</v>
      </c>
    </row>
    <row r="660">
      <c r="A660" s="39" t="s">
        <v>957</v>
      </c>
      <c r="B660" s="39" t="s">
        <v>968</v>
      </c>
      <c r="C660" s="39" t="s">
        <v>16</v>
      </c>
      <c r="D660" s="39">
        <v>58931.0</v>
      </c>
      <c r="F660" s="39" t="s">
        <v>969</v>
      </c>
      <c r="G660" s="39" t="s">
        <v>829</v>
      </c>
      <c r="H660" s="39" t="s">
        <v>828</v>
      </c>
      <c r="I660" s="39" t="s">
        <v>829</v>
      </c>
      <c r="J660" s="39" t="s">
        <v>828</v>
      </c>
      <c r="K660" s="39" t="s">
        <v>2987</v>
      </c>
      <c r="L660" s="43">
        <v>44200.42638888889</v>
      </c>
      <c r="M660" s="39">
        <v>23940.0</v>
      </c>
      <c r="N660" s="45">
        <v>43965.490277777775</v>
      </c>
    </row>
    <row r="661">
      <c r="A661" s="39" t="s">
        <v>957</v>
      </c>
      <c r="B661" s="39" t="s">
        <v>3012</v>
      </c>
      <c r="C661" s="39" t="s">
        <v>16</v>
      </c>
      <c r="D661" s="39">
        <v>58930.0</v>
      </c>
      <c r="F661" s="39" t="s">
        <v>3013</v>
      </c>
      <c r="G661" s="39" t="s">
        <v>829</v>
      </c>
      <c r="H661" s="39" t="s">
        <v>828</v>
      </c>
      <c r="I661" s="39" t="s">
        <v>829</v>
      </c>
      <c r="J661" s="39" t="s">
        <v>828</v>
      </c>
      <c r="K661" s="39" t="s">
        <v>2987</v>
      </c>
      <c r="L661" s="43">
        <v>44200.42638888889</v>
      </c>
      <c r="N661" s="45">
        <v>43965.46527777778</v>
      </c>
    </row>
    <row r="662">
      <c r="A662" s="39" t="s">
        <v>957</v>
      </c>
      <c r="B662" s="39" t="s">
        <v>3014</v>
      </c>
      <c r="C662" s="39" t="s">
        <v>16</v>
      </c>
      <c r="D662" s="39">
        <v>58937.0</v>
      </c>
      <c r="F662" s="39" t="s">
        <v>3015</v>
      </c>
      <c r="G662" s="39" t="s">
        <v>829</v>
      </c>
      <c r="H662" s="39" t="s">
        <v>828</v>
      </c>
      <c r="I662" s="39" t="s">
        <v>829</v>
      </c>
      <c r="J662" s="39" t="s">
        <v>828</v>
      </c>
      <c r="K662" s="39" t="s">
        <v>2987</v>
      </c>
      <c r="L662" s="43">
        <v>44200.42638888889</v>
      </c>
      <c r="N662" s="45">
        <v>43966.47638888889</v>
      </c>
    </row>
    <row r="663">
      <c r="A663" s="39" t="s">
        <v>957</v>
      </c>
      <c r="B663" s="39" t="s">
        <v>3016</v>
      </c>
      <c r="C663" s="39" t="s">
        <v>16</v>
      </c>
      <c r="D663" s="39">
        <v>60858.0</v>
      </c>
      <c r="F663" s="39" t="s">
        <v>3017</v>
      </c>
      <c r="G663" s="39" t="s">
        <v>1154</v>
      </c>
      <c r="H663" s="39" t="s">
        <v>1153</v>
      </c>
      <c r="I663" s="39" t="s">
        <v>724</v>
      </c>
      <c r="J663" s="39" t="s">
        <v>872</v>
      </c>
      <c r="K663" s="39" t="s">
        <v>2987</v>
      </c>
      <c r="L663" s="43">
        <v>44200.42638888889</v>
      </c>
      <c r="N663" s="44">
        <v>44026.46666666667</v>
      </c>
    </row>
    <row r="664">
      <c r="A664" s="39" t="s">
        <v>957</v>
      </c>
      <c r="B664" s="39" t="s">
        <v>1508</v>
      </c>
      <c r="C664" s="39" t="s">
        <v>16</v>
      </c>
      <c r="D664" s="39">
        <v>60857.0</v>
      </c>
      <c r="F664" s="39" t="s">
        <v>1509</v>
      </c>
      <c r="G664" s="39" t="s">
        <v>829</v>
      </c>
      <c r="H664" s="39" t="s">
        <v>828</v>
      </c>
      <c r="I664" s="39" t="s">
        <v>724</v>
      </c>
      <c r="J664" s="39" t="s">
        <v>872</v>
      </c>
      <c r="K664" s="39" t="s">
        <v>2987</v>
      </c>
      <c r="L664" s="43">
        <v>44200.42638888889</v>
      </c>
      <c r="M664" s="39">
        <v>780.0</v>
      </c>
      <c r="N664" s="44">
        <v>44026.464583333334</v>
      </c>
    </row>
    <row r="665">
      <c r="A665" s="39" t="s">
        <v>957</v>
      </c>
      <c r="B665" s="39" t="s">
        <v>1515</v>
      </c>
      <c r="C665" s="39" t="s">
        <v>16</v>
      </c>
      <c r="D665" s="39">
        <v>62759.0</v>
      </c>
      <c r="F665" s="39" t="s">
        <v>1516</v>
      </c>
      <c r="G665" s="39" t="s">
        <v>1154</v>
      </c>
      <c r="H665" s="39" t="s">
        <v>1153</v>
      </c>
      <c r="I665" s="39" t="s">
        <v>1154</v>
      </c>
      <c r="J665" s="39" t="s">
        <v>1153</v>
      </c>
      <c r="K665" s="39" t="s">
        <v>2987</v>
      </c>
      <c r="L665" s="43">
        <v>44200.42638888889</v>
      </c>
      <c r="M665" s="39">
        <v>15300.0</v>
      </c>
      <c r="N665" s="44">
        <v>44084.45625</v>
      </c>
    </row>
    <row r="666">
      <c r="A666" s="39" t="s">
        <v>957</v>
      </c>
      <c r="B666" s="39" t="s">
        <v>1480</v>
      </c>
      <c r="C666" s="39" t="s">
        <v>16</v>
      </c>
      <c r="D666" s="39">
        <v>60856.0</v>
      </c>
      <c r="F666" s="39" t="s">
        <v>1481</v>
      </c>
      <c r="G666" s="39" t="s">
        <v>829</v>
      </c>
      <c r="H666" s="39" t="s">
        <v>828</v>
      </c>
      <c r="I666" s="39" t="s">
        <v>724</v>
      </c>
      <c r="J666" s="39" t="s">
        <v>872</v>
      </c>
      <c r="K666" s="39" t="s">
        <v>2987</v>
      </c>
      <c r="L666" s="43">
        <v>44200.42638888889</v>
      </c>
      <c r="M666" s="39">
        <v>2760.0</v>
      </c>
      <c r="N666" s="44">
        <v>44026.46388888889</v>
      </c>
    </row>
    <row r="667">
      <c r="A667" s="39" t="s">
        <v>957</v>
      </c>
      <c r="B667" s="39" t="s">
        <v>1423</v>
      </c>
      <c r="C667" s="39" t="s">
        <v>16</v>
      </c>
      <c r="D667" s="39">
        <v>60855.0</v>
      </c>
      <c r="F667" s="39" t="s">
        <v>1424</v>
      </c>
      <c r="G667" s="39" t="s">
        <v>829</v>
      </c>
      <c r="H667" s="39" t="s">
        <v>828</v>
      </c>
      <c r="I667" s="39" t="s">
        <v>724</v>
      </c>
      <c r="J667" s="39" t="s">
        <v>872</v>
      </c>
      <c r="K667" s="39" t="s">
        <v>2987</v>
      </c>
      <c r="L667" s="43">
        <v>44200.42638888889</v>
      </c>
      <c r="M667" s="39">
        <v>4080.0</v>
      </c>
      <c r="N667" s="44">
        <v>44026.46319444444</v>
      </c>
    </row>
    <row r="668">
      <c r="A668" s="39" t="s">
        <v>957</v>
      </c>
      <c r="B668" s="39" t="s">
        <v>1426</v>
      </c>
      <c r="C668" s="39" t="s">
        <v>16</v>
      </c>
      <c r="D668" s="39">
        <v>60854.0</v>
      </c>
      <c r="F668" s="39" t="s">
        <v>1427</v>
      </c>
      <c r="G668" s="39" t="s">
        <v>829</v>
      </c>
      <c r="H668" s="39" t="s">
        <v>828</v>
      </c>
      <c r="I668" s="39" t="s">
        <v>724</v>
      </c>
      <c r="J668" s="39" t="s">
        <v>872</v>
      </c>
      <c r="K668" s="39" t="s">
        <v>2987</v>
      </c>
      <c r="L668" s="43">
        <v>44200.42638888889</v>
      </c>
      <c r="M668" s="39">
        <v>420.0</v>
      </c>
      <c r="N668" s="44">
        <v>44026.4625</v>
      </c>
    </row>
    <row r="669">
      <c r="A669" s="39" t="s">
        <v>957</v>
      </c>
      <c r="B669" s="39" t="s">
        <v>3018</v>
      </c>
      <c r="C669" s="39" t="s">
        <v>16</v>
      </c>
      <c r="D669" s="39">
        <v>60853.0</v>
      </c>
      <c r="F669" s="39" t="s">
        <v>3019</v>
      </c>
      <c r="I669" s="39" t="s">
        <v>724</v>
      </c>
      <c r="J669" s="39" t="s">
        <v>872</v>
      </c>
      <c r="K669" s="39" t="s">
        <v>2987</v>
      </c>
      <c r="L669" s="43">
        <v>44200.42638888889</v>
      </c>
      <c r="N669" s="44">
        <v>44026.45486111111</v>
      </c>
    </row>
    <row r="670">
      <c r="A670" s="39" t="s">
        <v>832</v>
      </c>
      <c r="B670" s="39" t="s">
        <v>1616</v>
      </c>
      <c r="C670" s="39" t="s">
        <v>16</v>
      </c>
      <c r="D670" s="39">
        <v>63725.0</v>
      </c>
      <c r="F670" s="42" t="s">
        <v>1617</v>
      </c>
      <c r="G670" s="39" t="s">
        <v>829</v>
      </c>
      <c r="H670" s="39" t="s">
        <v>828</v>
      </c>
      <c r="I670" s="39" t="s">
        <v>724</v>
      </c>
      <c r="J670" s="39" t="s">
        <v>872</v>
      </c>
      <c r="K670" s="39" t="s">
        <v>2984</v>
      </c>
      <c r="L670" s="43">
        <v>44200.42638888889</v>
      </c>
      <c r="M670" s="39">
        <v>2700.0</v>
      </c>
      <c r="N670" s="44">
        <v>44098.59166666667</v>
      </c>
    </row>
    <row r="671">
      <c r="A671" s="39" t="s">
        <v>957</v>
      </c>
      <c r="B671" s="39" t="s">
        <v>3020</v>
      </c>
      <c r="C671" s="39" t="s">
        <v>16</v>
      </c>
      <c r="D671" s="39">
        <v>60852.0</v>
      </c>
      <c r="F671" s="39" t="s">
        <v>3021</v>
      </c>
      <c r="G671" s="39" t="s">
        <v>829</v>
      </c>
      <c r="H671" s="39" t="s">
        <v>828</v>
      </c>
      <c r="I671" s="39" t="s">
        <v>724</v>
      </c>
      <c r="J671" s="39" t="s">
        <v>872</v>
      </c>
      <c r="K671" s="39" t="s">
        <v>2987</v>
      </c>
      <c r="L671" s="43">
        <v>44200.42638888889</v>
      </c>
      <c r="N671" s="44">
        <v>44026.45486111111</v>
      </c>
    </row>
    <row r="672">
      <c r="A672" s="39" t="s">
        <v>832</v>
      </c>
      <c r="B672" s="39" t="s">
        <v>1541</v>
      </c>
      <c r="C672" s="39" t="s">
        <v>16</v>
      </c>
      <c r="D672" s="39">
        <v>62751.0</v>
      </c>
      <c r="F672" s="39" t="s">
        <v>1542</v>
      </c>
      <c r="G672" s="39" t="s">
        <v>829</v>
      </c>
      <c r="H672" s="39" t="s">
        <v>828</v>
      </c>
      <c r="I672" s="39" t="s">
        <v>829</v>
      </c>
      <c r="J672" s="39" t="s">
        <v>828</v>
      </c>
      <c r="K672" s="39" t="s">
        <v>2984</v>
      </c>
      <c r="L672" s="43">
        <v>44200.42638888889</v>
      </c>
      <c r="M672" s="39">
        <v>7500.0</v>
      </c>
      <c r="N672" s="43">
        <v>44083.75347222222</v>
      </c>
    </row>
    <row r="673">
      <c r="A673" s="39" t="s">
        <v>832</v>
      </c>
      <c r="B673" s="39" t="s">
        <v>1467</v>
      </c>
      <c r="C673" s="39" t="s">
        <v>16</v>
      </c>
      <c r="D673" s="39">
        <v>62631.0</v>
      </c>
      <c r="F673" s="39" t="s">
        <v>1468</v>
      </c>
      <c r="G673" s="39" t="s">
        <v>829</v>
      </c>
      <c r="H673" s="39" t="s">
        <v>828</v>
      </c>
      <c r="I673" s="39" t="s">
        <v>829</v>
      </c>
      <c r="J673" s="39" t="s">
        <v>828</v>
      </c>
      <c r="K673" s="39" t="s">
        <v>2984</v>
      </c>
      <c r="L673" s="43">
        <v>44200.42638888889</v>
      </c>
      <c r="M673" s="39">
        <v>12060.0</v>
      </c>
      <c r="N673" s="43">
        <v>44082.47083333333</v>
      </c>
    </row>
    <row r="674">
      <c r="A674" s="39" t="s">
        <v>957</v>
      </c>
      <c r="B674" s="39" t="s">
        <v>971</v>
      </c>
      <c r="C674" s="39" t="s">
        <v>16</v>
      </c>
      <c r="D674" s="39">
        <v>58928.0</v>
      </c>
      <c r="F674" s="39" t="s">
        <v>972</v>
      </c>
      <c r="G674" s="39" t="s">
        <v>829</v>
      </c>
      <c r="H674" s="39" t="s">
        <v>828</v>
      </c>
      <c r="I674" s="39" t="s">
        <v>829</v>
      </c>
      <c r="J674" s="39" t="s">
        <v>828</v>
      </c>
      <c r="K674" s="39" t="s">
        <v>2987</v>
      </c>
      <c r="L674" s="43">
        <v>44200.42638888889</v>
      </c>
      <c r="M674" s="39">
        <v>1620.0</v>
      </c>
      <c r="N674" s="45">
        <v>43965.46388888889</v>
      </c>
    </row>
    <row r="675">
      <c r="A675" s="39" t="s">
        <v>957</v>
      </c>
      <c r="B675" s="39" t="s">
        <v>3022</v>
      </c>
      <c r="C675" s="39" t="s">
        <v>16</v>
      </c>
      <c r="D675" s="39">
        <v>58927.0</v>
      </c>
      <c r="F675" s="39" t="s">
        <v>3023</v>
      </c>
      <c r="G675" s="39" t="s">
        <v>829</v>
      </c>
      <c r="H675" s="39" t="s">
        <v>828</v>
      </c>
      <c r="I675" s="39" t="s">
        <v>829</v>
      </c>
      <c r="J675" s="39" t="s">
        <v>828</v>
      </c>
      <c r="K675" s="39" t="s">
        <v>2987</v>
      </c>
      <c r="L675" s="43">
        <v>44200.42638888889</v>
      </c>
      <c r="N675" s="45">
        <v>43965.4625</v>
      </c>
    </row>
    <row r="676">
      <c r="A676" s="39" t="s">
        <v>832</v>
      </c>
      <c r="B676" s="39" t="s">
        <v>936</v>
      </c>
      <c r="C676" s="39" t="s">
        <v>16</v>
      </c>
      <c r="D676" s="39">
        <v>57838.0</v>
      </c>
      <c r="F676" s="39" t="s">
        <v>937</v>
      </c>
      <c r="G676" s="39" t="s">
        <v>724</v>
      </c>
      <c r="H676" s="39" t="s">
        <v>872</v>
      </c>
      <c r="I676" s="39" t="s">
        <v>724</v>
      </c>
      <c r="J676" s="39" t="s">
        <v>872</v>
      </c>
      <c r="K676" s="39" t="s">
        <v>2984</v>
      </c>
      <c r="L676" s="43">
        <v>44200.42638888889</v>
      </c>
      <c r="M676" s="39">
        <v>6840.0</v>
      </c>
      <c r="N676" s="44">
        <v>43941.46041666667</v>
      </c>
    </row>
    <row r="677">
      <c r="A677" s="39" t="s">
        <v>957</v>
      </c>
      <c r="B677" s="39" t="s">
        <v>964</v>
      </c>
      <c r="C677" s="39" t="s">
        <v>16</v>
      </c>
      <c r="D677" s="39">
        <v>58929.0</v>
      </c>
      <c r="F677" s="39" t="s">
        <v>965</v>
      </c>
      <c r="G677" s="39" t="s">
        <v>829</v>
      </c>
      <c r="H677" s="39" t="s">
        <v>828</v>
      </c>
      <c r="I677" s="39" t="s">
        <v>829</v>
      </c>
      <c r="J677" s="39" t="s">
        <v>828</v>
      </c>
      <c r="K677" s="39" t="s">
        <v>2987</v>
      </c>
      <c r="L677" s="43">
        <v>44200.42638888889</v>
      </c>
      <c r="M677" s="39">
        <v>600.0</v>
      </c>
      <c r="N677" s="45">
        <v>43965.46388888889</v>
      </c>
    </row>
    <row r="678">
      <c r="A678" s="39" t="s">
        <v>832</v>
      </c>
      <c r="B678" s="39" t="s">
        <v>1219</v>
      </c>
      <c r="C678" s="39" t="s">
        <v>16</v>
      </c>
      <c r="D678" s="39">
        <v>57835.0</v>
      </c>
      <c r="F678" s="39" t="s">
        <v>1220</v>
      </c>
      <c r="G678" s="39" t="s">
        <v>829</v>
      </c>
      <c r="H678" s="39" t="s">
        <v>828</v>
      </c>
      <c r="I678" s="39" t="s">
        <v>724</v>
      </c>
      <c r="J678" s="39" t="s">
        <v>872</v>
      </c>
      <c r="K678" s="39" t="s">
        <v>2984</v>
      </c>
      <c r="L678" s="43">
        <v>44200.42638888889</v>
      </c>
      <c r="M678" s="39">
        <v>37860.0</v>
      </c>
      <c r="N678" s="44">
        <v>43940.67916666667</v>
      </c>
    </row>
    <row r="679">
      <c r="A679" s="39" t="s">
        <v>832</v>
      </c>
      <c r="B679" s="39" t="s">
        <v>3024</v>
      </c>
      <c r="C679" s="39" t="s">
        <v>3025</v>
      </c>
      <c r="D679" s="39">
        <v>52032.0</v>
      </c>
      <c r="F679" s="39" t="s">
        <v>3026</v>
      </c>
      <c r="G679" s="39" t="s">
        <v>829</v>
      </c>
      <c r="H679" s="39" t="s">
        <v>828</v>
      </c>
      <c r="I679" s="39" t="s">
        <v>901</v>
      </c>
      <c r="J679" s="39" t="s">
        <v>900</v>
      </c>
      <c r="K679" s="39" t="s">
        <v>2161</v>
      </c>
      <c r="L679" s="43">
        <v>44200.425</v>
      </c>
      <c r="M679" s="39">
        <v>3660.0</v>
      </c>
      <c r="N679" s="44">
        <v>43509.461805555555</v>
      </c>
      <c r="P679" s="39" t="s">
        <v>3027</v>
      </c>
      <c r="Q679" s="39" t="s">
        <v>23</v>
      </c>
    </row>
    <row r="680">
      <c r="A680" s="39" t="s">
        <v>832</v>
      </c>
      <c r="B680" s="39" t="s">
        <v>571</v>
      </c>
      <c r="C680" s="39" t="s">
        <v>3025</v>
      </c>
      <c r="D680" s="39">
        <v>48812.0</v>
      </c>
      <c r="F680" s="39" t="s">
        <v>572</v>
      </c>
      <c r="G680" s="39" t="s">
        <v>829</v>
      </c>
      <c r="H680" s="39" t="s">
        <v>828</v>
      </c>
      <c r="I680" s="39" t="s">
        <v>829</v>
      </c>
      <c r="J680" s="39" t="s">
        <v>828</v>
      </c>
      <c r="K680" s="39" t="s">
        <v>2161</v>
      </c>
      <c r="L680" s="43">
        <v>44200.425</v>
      </c>
      <c r="M680" s="39">
        <v>94020.0</v>
      </c>
      <c r="N680" s="43">
        <v>43290.538194444445</v>
      </c>
      <c r="P680" s="39" t="s">
        <v>323</v>
      </c>
      <c r="Q680" s="39" t="s">
        <v>23</v>
      </c>
    </row>
    <row r="681">
      <c r="A681" s="39" t="s">
        <v>832</v>
      </c>
      <c r="B681" s="39" t="s">
        <v>850</v>
      </c>
      <c r="C681" s="39" t="s">
        <v>3025</v>
      </c>
      <c r="D681" s="39">
        <v>55082.0</v>
      </c>
      <c r="F681" s="39" t="s">
        <v>851</v>
      </c>
      <c r="G681" s="39" t="s">
        <v>886</v>
      </c>
      <c r="H681" s="39" t="s">
        <v>837</v>
      </c>
      <c r="I681" s="39" t="s">
        <v>886</v>
      </c>
      <c r="J681" s="39" t="s">
        <v>837</v>
      </c>
      <c r="K681" s="39" t="s">
        <v>3028</v>
      </c>
      <c r="L681" s="43">
        <v>44200.425</v>
      </c>
      <c r="M681" s="39">
        <v>297000.0</v>
      </c>
      <c r="N681" s="43">
        <v>43801.51180555556</v>
      </c>
      <c r="P681" s="39" t="s">
        <v>3029</v>
      </c>
      <c r="Q681" s="39" t="s">
        <v>23</v>
      </c>
    </row>
    <row r="682">
      <c r="A682" s="39" t="s">
        <v>832</v>
      </c>
      <c r="B682" s="39" t="s">
        <v>863</v>
      </c>
      <c r="C682" s="39" t="s">
        <v>3025</v>
      </c>
      <c r="D682" s="39">
        <v>53924.0</v>
      </c>
      <c r="F682" s="39" t="s">
        <v>864</v>
      </c>
      <c r="G682" s="39" t="s">
        <v>829</v>
      </c>
      <c r="H682" s="39" t="s">
        <v>828</v>
      </c>
      <c r="I682" s="39" t="s">
        <v>848</v>
      </c>
      <c r="J682" s="39" t="s">
        <v>847</v>
      </c>
      <c r="K682" s="39" t="s">
        <v>3030</v>
      </c>
      <c r="L682" s="43">
        <v>44200.425</v>
      </c>
      <c r="M682" s="39">
        <v>17760.0</v>
      </c>
      <c r="N682" s="43">
        <v>43741.45138888889</v>
      </c>
      <c r="P682" s="39" t="s">
        <v>3029</v>
      </c>
      <c r="Q682" s="39" t="s">
        <v>23</v>
      </c>
    </row>
    <row r="683">
      <c r="A683" s="39" t="s">
        <v>832</v>
      </c>
      <c r="B683" s="39" t="s">
        <v>3031</v>
      </c>
      <c r="C683" s="39" t="s">
        <v>3025</v>
      </c>
      <c r="D683" s="39">
        <v>53308.0</v>
      </c>
      <c r="F683" s="39" t="s">
        <v>3032</v>
      </c>
      <c r="G683" s="39" t="s">
        <v>829</v>
      </c>
      <c r="H683" s="39" t="s">
        <v>828</v>
      </c>
      <c r="I683" s="39" t="s">
        <v>3033</v>
      </c>
      <c r="J683" s="39" t="s">
        <v>876</v>
      </c>
      <c r="K683" s="39" t="s">
        <v>3028</v>
      </c>
      <c r="L683" s="43">
        <v>44200.425</v>
      </c>
      <c r="M683" s="39">
        <v>445020.0</v>
      </c>
      <c r="N683" s="44">
        <v>43626.489583333336</v>
      </c>
      <c r="P683" s="39" t="s">
        <v>3029</v>
      </c>
      <c r="Q683" s="39" t="s">
        <v>23</v>
      </c>
    </row>
    <row r="684">
      <c r="A684" s="39" t="s">
        <v>832</v>
      </c>
      <c r="B684" s="39" t="s">
        <v>866</v>
      </c>
      <c r="C684" s="39" t="s">
        <v>3025</v>
      </c>
      <c r="D684" s="39">
        <v>53922.0</v>
      </c>
      <c r="F684" s="39" t="s">
        <v>867</v>
      </c>
      <c r="G684" s="39" t="s">
        <v>829</v>
      </c>
      <c r="H684" s="39" t="s">
        <v>828</v>
      </c>
      <c r="I684" s="39" t="s">
        <v>848</v>
      </c>
      <c r="J684" s="39" t="s">
        <v>847</v>
      </c>
      <c r="K684" s="39" t="s">
        <v>3030</v>
      </c>
      <c r="L684" s="43">
        <v>44200.425</v>
      </c>
      <c r="M684" s="39">
        <v>9120.0</v>
      </c>
      <c r="N684" s="43">
        <v>43741.4375</v>
      </c>
      <c r="P684" s="39" t="s">
        <v>3029</v>
      </c>
      <c r="Q684" s="39" t="s">
        <v>23</v>
      </c>
    </row>
    <row r="685">
      <c r="A685" s="39" t="s">
        <v>832</v>
      </c>
      <c r="B685" s="39" t="s">
        <v>375</v>
      </c>
      <c r="C685" s="39" t="s">
        <v>3025</v>
      </c>
      <c r="D685" s="39">
        <v>48358.0</v>
      </c>
      <c r="F685" s="39" t="s">
        <v>376</v>
      </c>
      <c r="G685" s="39" t="s">
        <v>829</v>
      </c>
      <c r="H685" s="39" t="s">
        <v>828</v>
      </c>
      <c r="I685" s="39" t="s">
        <v>829</v>
      </c>
      <c r="J685" s="39" t="s">
        <v>828</v>
      </c>
      <c r="K685" s="39" t="s">
        <v>3030</v>
      </c>
      <c r="L685" s="43">
        <v>44200.425</v>
      </c>
      <c r="M685" s="39">
        <v>110340.0</v>
      </c>
      <c r="N685" s="45">
        <v>43238.54861111111</v>
      </c>
      <c r="P685" s="39" t="s">
        <v>323</v>
      </c>
      <c r="Q685" s="39" t="s">
        <v>23</v>
      </c>
    </row>
    <row r="686">
      <c r="A686" s="39" t="s">
        <v>832</v>
      </c>
      <c r="B686" s="39" t="s">
        <v>3034</v>
      </c>
      <c r="C686" s="39" t="s">
        <v>3025</v>
      </c>
      <c r="D686" s="39">
        <v>53763.0</v>
      </c>
      <c r="F686" s="39" t="s">
        <v>3035</v>
      </c>
      <c r="G686" s="39" t="s">
        <v>829</v>
      </c>
      <c r="H686" s="39" t="s">
        <v>828</v>
      </c>
      <c r="I686" s="39" t="s">
        <v>829</v>
      </c>
      <c r="J686" s="39" t="s">
        <v>828</v>
      </c>
      <c r="K686" s="39" t="s">
        <v>3028</v>
      </c>
      <c r="L686" s="43">
        <v>44200.425</v>
      </c>
      <c r="M686" s="39">
        <v>1260.0</v>
      </c>
      <c r="N686" s="44">
        <v>43724.549305555556</v>
      </c>
      <c r="P686" s="39" t="s">
        <v>3029</v>
      </c>
      <c r="Q686" s="39" t="s">
        <v>23</v>
      </c>
    </row>
    <row r="687">
      <c r="A687" s="39" t="s">
        <v>832</v>
      </c>
      <c r="B687" s="39" t="s">
        <v>3036</v>
      </c>
      <c r="C687" s="39" t="s">
        <v>3025</v>
      </c>
      <c r="D687" s="39">
        <v>52258.0</v>
      </c>
      <c r="F687" s="39" t="s">
        <v>3037</v>
      </c>
      <c r="G687" s="39" t="s">
        <v>829</v>
      </c>
      <c r="H687" s="39" t="s">
        <v>828</v>
      </c>
      <c r="I687" s="39" t="s">
        <v>3033</v>
      </c>
      <c r="J687" s="39" t="s">
        <v>876</v>
      </c>
      <c r="K687" s="39" t="s">
        <v>2161</v>
      </c>
      <c r="L687" s="43">
        <v>44200.425</v>
      </c>
      <c r="M687" s="39">
        <v>1980.0</v>
      </c>
      <c r="N687" s="44">
        <v>43538.45416666667</v>
      </c>
      <c r="P687" s="39" t="s">
        <v>3027</v>
      </c>
      <c r="Q687" s="39" t="s">
        <v>23</v>
      </c>
    </row>
    <row r="688">
      <c r="A688" s="39" t="s">
        <v>832</v>
      </c>
      <c r="B688" s="39" t="s">
        <v>369</v>
      </c>
      <c r="C688" s="39" t="s">
        <v>3025</v>
      </c>
      <c r="D688" s="39">
        <v>48357.0</v>
      </c>
      <c r="F688" s="39" t="s">
        <v>370</v>
      </c>
      <c r="G688" s="39" t="s">
        <v>829</v>
      </c>
      <c r="H688" s="39" t="s">
        <v>828</v>
      </c>
      <c r="I688" s="39" t="s">
        <v>829</v>
      </c>
      <c r="J688" s="39" t="s">
        <v>828</v>
      </c>
      <c r="K688" s="39" t="s">
        <v>3030</v>
      </c>
      <c r="L688" s="43">
        <v>44200.425</v>
      </c>
      <c r="M688" s="39">
        <v>14820.0</v>
      </c>
      <c r="N688" s="45">
        <v>43238.54722222222</v>
      </c>
      <c r="P688" s="39" t="s">
        <v>323</v>
      </c>
      <c r="Q688" s="39" t="s">
        <v>23</v>
      </c>
    </row>
    <row r="689">
      <c r="A689" s="39" t="s">
        <v>832</v>
      </c>
      <c r="B689" s="39" t="s">
        <v>3038</v>
      </c>
      <c r="C689" s="39" t="s">
        <v>3025</v>
      </c>
      <c r="D689" s="39">
        <v>53441.0</v>
      </c>
      <c r="F689" s="39" t="s">
        <v>3039</v>
      </c>
      <c r="G689" s="39" t="s">
        <v>829</v>
      </c>
      <c r="H689" s="39" t="s">
        <v>828</v>
      </c>
      <c r="I689" s="39" t="s">
        <v>829</v>
      </c>
      <c r="J689" s="39" t="s">
        <v>828</v>
      </c>
      <c r="K689" s="39" t="s">
        <v>3028</v>
      </c>
      <c r="L689" s="43">
        <v>44200.425</v>
      </c>
      <c r="M689" s="39">
        <v>480.0</v>
      </c>
      <c r="N689" s="44">
        <v>43637.771527777775</v>
      </c>
      <c r="P689" s="39" t="s">
        <v>3029</v>
      </c>
      <c r="Q689" s="39" t="s">
        <v>23</v>
      </c>
    </row>
    <row r="690">
      <c r="A690" s="39" t="s">
        <v>832</v>
      </c>
      <c r="B690" s="39" t="s">
        <v>555</v>
      </c>
      <c r="C690" s="39" t="s">
        <v>3025</v>
      </c>
      <c r="D690" s="39">
        <v>49067.0</v>
      </c>
      <c r="F690" s="39" t="s">
        <v>556</v>
      </c>
      <c r="G690" s="39" t="s">
        <v>829</v>
      </c>
      <c r="H690" s="39" t="s">
        <v>828</v>
      </c>
      <c r="I690" s="39" t="s">
        <v>853</v>
      </c>
      <c r="J690" s="39" t="s">
        <v>852</v>
      </c>
      <c r="K690" s="39" t="s">
        <v>3030</v>
      </c>
      <c r="L690" s="43">
        <v>44200.425</v>
      </c>
      <c r="M690" s="39">
        <v>53820.0</v>
      </c>
      <c r="N690" s="44">
        <v>43308.501388888886</v>
      </c>
      <c r="P690" s="39" t="s">
        <v>323</v>
      </c>
      <c r="Q690" s="39" t="s">
        <v>23</v>
      </c>
    </row>
    <row r="691">
      <c r="A691" s="39" t="s">
        <v>832</v>
      </c>
      <c r="B691" s="39" t="s">
        <v>3040</v>
      </c>
      <c r="C691" s="39" t="s">
        <v>3025</v>
      </c>
      <c r="D691" s="39">
        <v>53271.0</v>
      </c>
      <c r="F691" s="39" t="s">
        <v>3041</v>
      </c>
      <c r="G691" s="39" t="s">
        <v>829</v>
      </c>
      <c r="H691" s="39" t="s">
        <v>828</v>
      </c>
      <c r="I691" s="39" t="s">
        <v>886</v>
      </c>
      <c r="J691" s="39" t="s">
        <v>837</v>
      </c>
      <c r="K691" s="39" t="s">
        <v>3028</v>
      </c>
      <c r="L691" s="43">
        <v>44200.425</v>
      </c>
      <c r="M691" s="39">
        <v>360.0</v>
      </c>
      <c r="N691" s="45">
        <v>43616.450694444444</v>
      </c>
      <c r="P691" s="39" t="s">
        <v>3029</v>
      </c>
      <c r="Q691" s="39" t="s">
        <v>23</v>
      </c>
    </row>
    <row r="692">
      <c r="A692" s="39" t="s">
        <v>832</v>
      </c>
      <c r="B692" s="39" t="s">
        <v>3042</v>
      </c>
      <c r="C692" s="39" t="s">
        <v>3025</v>
      </c>
      <c r="D692" s="39">
        <v>53270.0</v>
      </c>
      <c r="F692" s="39" t="s">
        <v>3043</v>
      </c>
      <c r="G692" s="39" t="s">
        <v>829</v>
      </c>
      <c r="H692" s="39" t="s">
        <v>828</v>
      </c>
      <c r="I692" s="39" t="s">
        <v>3033</v>
      </c>
      <c r="J692" s="39" t="s">
        <v>876</v>
      </c>
      <c r="K692" s="39" t="s">
        <v>3028</v>
      </c>
      <c r="L692" s="43">
        <v>44200.425</v>
      </c>
      <c r="M692" s="39">
        <v>240.0</v>
      </c>
      <c r="N692" s="45">
        <v>43616.447222222225</v>
      </c>
      <c r="P692" s="39" t="s">
        <v>3029</v>
      </c>
      <c r="Q692" s="39" t="s">
        <v>23</v>
      </c>
    </row>
    <row r="693">
      <c r="A693" s="39" t="s">
        <v>832</v>
      </c>
      <c r="B693" s="39" t="s">
        <v>924</v>
      </c>
      <c r="C693" s="39" t="s">
        <v>3025</v>
      </c>
      <c r="D693" s="39">
        <v>53471.0</v>
      </c>
      <c r="F693" s="39" t="s">
        <v>925</v>
      </c>
      <c r="G693" s="39" t="s">
        <v>848</v>
      </c>
      <c r="H693" s="39" t="s">
        <v>847</v>
      </c>
      <c r="I693" s="39" t="s">
        <v>848</v>
      </c>
      <c r="J693" s="39" t="s">
        <v>847</v>
      </c>
      <c r="K693" s="39" t="s">
        <v>2188</v>
      </c>
      <c r="L693" s="43">
        <v>44200.425</v>
      </c>
      <c r="M693" s="39">
        <v>506400.0</v>
      </c>
      <c r="N693" s="43">
        <v>43650.53402777778</v>
      </c>
      <c r="P693" s="39" t="s">
        <v>3029</v>
      </c>
      <c r="Q693" s="39" t="s">
        <v>23</v>
      </c>
    </row>
    <row r="694">
      <c r="A694" s="39" t="s">
        <v>832</v>
      </c>
      <c r="B694" s="39" t="s">
        <v>3044</v>
      </c>
      <c r="C694" s="39" t="s">
        <v>3025</v>
      </c>
      <c r="D694" s="39">
        <v>53470.0</v>
      </c>
      <c r="F694" s="39" t="s">
        <v>3045</v>
      </c>
      <c r="G694" s="39" t="s">
        <v>829</v>
      </c>
      <c r="H694" s="39" t="s">
        <v>828</v>
      </c>
      <c r="I694" s="39" t="s">
        <v>724</v>
      </c>
      <c r="J694" s="39" t="s">
        <v>872</v>
      </c>
      <c r="K694" s="39" t="s">
        <v>3028</v>
      </c>
      <c r="L694" s="43">
        <v>44200.425</v>
      </c>
      <c r="M694" s="39">
        <v>540.0</v>
      </c>
      <c r="N694" s="43">
        <v>43649.652083333334</v>
      </c>
      <c r="P694" s="39" t="s">
        <v>3029</v>
      </c>
      <c r="Q694" s="39" t="s">
        <v>23</v>
      </c>
    </row>
    <row r="695">
      <c r="A695" s="39" t="s">
        <v>832</v>
      </c>
      <c r="B695" s="39" t="s">
        <v>3046</v>
      </c>
      <c r="C695" s="39" t="s">
        <v>3025</v>
      </c>
      <c r="D695" s="39">
        <v>53419.0</v>
      </c>
      <c r="F695" s="39" t="s">
        <v>3047</v>
      </c>
      <c r="G695" s="39" t="s">
        <v>829</v>
      </c>
      <c r="H695" s="39" t="s">
        <v>828</v>
      </c>
      <c r="I695" s="39" t="s">
        <v>724</v>
      </c>
      <c r="J695" s="39" t="s">
        <v>872</v>
      </c>
      <c r="K695" s="39" t="s">
        <v>3028</v>
      </c>
      <c r="L695" s="43">
        <v>44200.425</v>
      </c>
      <c r="M695" s="39">
        <v>840.0</v>
      </c>
      <c r="N695" s="44">
        <v>43627.720138888886</v>
      </c>
      <c r="P695" s="39" t="s">
        <v>3029</v>
      </c>
      <c r="Q695" s="39" t="s">
        <v>23</v>
      </c>
    </row>
    <row r="696">
      <c r="A696" s="39" t="s">
        <v>832</v>
      </c>
      <c r="B696" s="39" t="s">
        <v>3048</v>
      </c>
      <c r="C696" s="39" t="s">
        <v>3025</v>
      </c>
      <c r="D696" s="39">
        <v>54429.0</v>
      </c>
      <c r="F696" s="39" t="s">
        <v>3049</v>
      </c>
      <c r="G696" s="39" t="s">
        <v>829</v>
      </c>
      <c r="H696" s="39" t="s">
        <v>828</v>
      </c>
      <c r="I696" s="39" t="s">
        <v>848</v>
      </c>
      <c r="J696" s="39" t="s">
        <v>847</v>
      </c>
      <c r="K696" s="39" t="s">
        <v>3030</v>
      </c>
      <c r="L696" s="43">
        <v>44200.425</v>
      </c>
      <c r="M696" s="39">
        <v>1440.0</v>
      </c>
      <c r="N696" s="43">
        <v>43774.438888888886</v>
      </c>
      <c r="P696" s="39" t="s">
        <v>3050</v>
      </c>
      <c r="Q696" s="39" t="s">
        <v>23</v>
      </c>
    </row>
    <row r="697">
      <c r="A697" s="39" t="s">
        <v>832</v>
      </c>
      <c r="B697" s="39" t="s">
        <v>3051</v>
      </c>
      <c r="C697" s="39" t="s">
        <v>3025</v>
      </c>
      <c r="D697" s="39">
        <v>53417.0</v>
      </c>
      <c r="F697" s="39" t="s">
        <v>3052</v>
      </c>
      <c r="G697" s="39" t="s">
        <v>829</v>
      </c>
      <c r="H697" s="39" t="s">
        <v>828</v>
      </c>
      <c r="I697" s="39" t="s">
        <v>829</v>
      </c>
      <c r="J697" s="39" t="s">
        <v>828</v>
      </c>
      <c r="K697" s="39" t="s">
        <v>3028</v>
      </c>
      <c r="L697" s="43">
        <v>44200.425</v>
      </c>
      <c r="M697" s="39">
        <v>2760.0</v>
      </c>
      <c r="N697" s="44">
        <v>43627.708333333336</v>
      </c>
      <c r="P697" s="39" t="s">
        <v>3029</v>
      </c>
      <c r="Q697" s="39" t="s">
        <v>23</v>
      </c>
    </row>
    <row r="698">
      <c r="A698" s="39" t="s">
        <v>1811</v>
      </c>
      <c r="B698" s="39" t="s">
        <v>3053</v>
      </c>
      <c r="C698" s="39" t="s">
        <v>3025</v>
      </c>
      <c r="D698" s="39">
        <v>53758.0</v>
      </c>
      <c r="E698" s="39">
        <v>53308.0</v>
      </c>
      <c r="F698" s="39" t="s">
        <v>3054</v>
      </c>
      <c r="G698" s="39" t="s">
        <v>829</v>
      </c>
      <c r="H698" s="39" t="s">
        <v>828</v>
      </c>
      <c r="I698" s="39" t="s">
        <v>848</v>
      </c>
      <c r="J698" s="39" t="s">
        <v>847</v>
      </c>
      <c r="K698" s="39" t="s">
        <v>3030</v>
      </c>
      <c r="L698" s="43">
        <v>44200.425</v>
      </c>
      <c r="M698" s="39">
        <v>20100.0</v>
      </c>
      <c r="N698" s="44">
        <v>43724.47708333333</v>
      </c>
      <c r="Q698" s="39" t="s">
        <v>23</v>
      </c>
    </row>
    <row r="699">
      <c r="A699" s="39" t="s">
        <v>832</v>
      </c>
      <c r="B699" s="39" t="s">
        <v>350</v>
      </c>
      <c r="C699" s="39" t="s">
        <v>3025</v>
      </c>
      <c r="D699" s="39">
        <v>47276.0</v>
      </c>
      <c r="F699" s="39" t="s">
        <v>351</v>
      </c>
      <c r="G699" s="39" t="s">
        <v>829</v>
      </c>
      <c r="H699" s="39" t="s">
        <v>828</v>
      </c>
      <c r="I699" s="39" t="s">
        <v>829</v>
      </c>
      <c r="J699" s="39" t="s">
        <v>828</v>
      </c>
      <c r="K699" s="39" t="s">
        <v>3030</v>
      </c>
      <c r="L699" s="43">
        <v>44200.425</v>
      </c>
      <c r="M699" s="39">
        <v>243180.0</v>
      </c>
      <c r="N699" s="44">
        <v>43158.663194444445</v>
      </c>
      <c r="P699" s="39" t="s">
        <v>323</v>
      </c>
      <c r="Q699" s="39" t="s">
        <v>23</v>
      </c>
    </row>
    <row r="700">
      <c r="A700" s="39" t="s">
        <v>832</v>
      </c>
      <c r="B700" s="39" t="s">
        <v>3055</v>
      </c>
      <c r="C700" s="39" t="s">
        <v>3025</v>
      </c>
      <c r="D700" s="39">
        <v>53416.0</v>
      </c>
      <c r="F700" s="39" t="s">
        <v>3056</v>
      </c>
      <c r="G700" s="39" t="s">
        <v>829</v>
      </c>
      <c r="H700" s="39" t="s">
        <v>828</v>
      </c>
      <c r="I700" s="39" t="s">
        <v>3033</v>
      </c>
      <c r="J700" s="39" t="s">
        <v>876</v>
      </c>
      <c r="K700" s="39" t="s">
        <v>3030</v>
      </c>
      <c r="L700" s="43">
        <v>44200.425</v>
      </c>
      <c r="M700" s="39">
        <v>26520.0</v>
      </c>
      <c r="N700" s="44">
        <v>43627.68819444445</v>
      </c>
      <c r="P700" s="39" t="s">
        <v>3029</v>
      </c>
      <c r="Q700" s="39" t="s">
        <v>23</v>
      </c>
    </row>
    <row r="701">
      <c r="A701" s="39" t="s">
        <v>832</v>
      </c>
      <c r="B701" s="39" t="s">
        <v>3057</v>
      </c>
      <c r="C701" s="39" t="s">
        <v>3025</v>
      </c>
      <c r="D701" s="39">
        <v>53537.0</v>
      </c>
      <c r="F701" s="39" t="s">
        <v>3058</v>
      </c>
      <c r="G701" s="39" t="s">
        <v>829</v>
      </c>
      <c r="H701" s="39" t="s">
        <v>828</v>
      </c>
      <c r="I701" s="39" t="s">
        <v>3033</v>
      </c>
      <c r="J701" s="39" t="s">
        <v>876</v>
      </c>
      <c r="K701" s="39" t="s">
        <v>3030</v>
      </c>
      <c r="L701" s="43">
        <v>44200.425</v>
      </c>
      <c r="M701" s="39">
        <v>239040.0</v>
      </c>
      <c r="N701" s="44">
        <v>43668.60555555556</v>
      </c>
      <c r="P701" s="39" t="s">
        <v>3029</v>
      </c>
      <c r="Q701" s="39" t="s">
        <v>23</v>
      </c>
    </row>
    <row r="702">
      <c r="A702" s="39" t="s">
        <v>832</v>
      </c>
      <c r="B702" s="39" t="s">
        <v>860</v>
      </c>
      <c r="C702" s="39" t="s">
        <v>3025</v>
      </c>
      <c r="D702" s="39">
        <v>53972.0</v>
      </c>
      <c r="F702" s="39" t="s">
        <v>861</v>
      </c>
      <c r="G702" s="39" t="s">
        <v>829</v>
      </c>
      <c r="H702" s="39" t="s">
        <v>828</v>
      </c>
      <c r="I702" s="39" t="s">
        <v>848</v>
      </c>
      <c r="J702" s="39" t="s">
        <v>847</v>
      </c>
      <c r="K702" s="39" t="s">
        <v>3030</v>
      </c>
      <c r="L702" s="43">
        <v>44200.425</v>
      </c>
      <c r="M702" s="39">
        <v>27900.0</v>
      </c>
      <c r="N702" s="44">
        <v>43753.48819444444</v>
      </c>
      <c r="P702" s="39" t="s">
        <v>3029</v>
      </c>
      <c r="Q702" s="39" t="s">
        <v>23</v>
      </c>
    </row>
    <row r="703">
      <c r="A703" s="39" t="s">
        <v>832</v>
      </c>
      <c r="B703" s="39" t="s">
        <v>3059</v>
      </c>
      <c r="C703" s="39" t="s">
        <v>3025</v>
      </c>
      <c r="D703" s="39">
        <v>52027.0</v>
      </c>
      <c r="F703" s="39" t="s">
        <v>3060</v>
      </c>
      <c r="G703" s="39" t="s">
        <v>829</v>
      </c>
      <c r="H703" s="39" t="s">
        <v>828</v>
      </c>
      <c r="I703" s="39" t="s">
        <v>3033</v>
      </c>
      <c r="J703" s="39" t="s">
        <v>876</v>
      </c>
      <c r="K703" s="39" t="s">
        <v>2161</v>
      </c>
      <c r="L703" s="43">
        <v>44200.425</v>
      </c>
      <c r="M703" s="39">
        <v>5760.0</v>
      </c>
      <c r="N703" s="44">
        <v>43508.461805555555</v>
      </c>
      <c r="P703" s="39" t="s">
        <v>323</v>
      </c>
      <c r="Q703" s="39" t="s">
        <v>23</v>
      </c>
    </row>
    <row r="704">
      <c r="A704" s="39" t="s">
        <v>832</v>
      </c>
      <c r="B704" s="39" t="s">
        <v>887</v>
      </c>
      <c r="C704" s="39" t="s">
        <v>3025</v>
      </c>
      <c r="D704" s="39">
        <v>54427.0</v>
      </c>
      <c r="F704" s="39" t="s">
        <v>888</v>
      </c>
      <c r="G704" s="39" t="s">
        <v>848</v>
      </c>
      <c r="H704" s="39" t="s">
        <v>847</v>
      </c>
      <c r="I704" s="39" t="s">
        <v>848</v>
      </c>
      <c r="J704" s="39" t="s">
        <v>847</v>
      </c>
      <c r="K704" s="39" t="s">
        <v>2188</v>
      </c>
      <c r="L704" s="43">
        <v>44200.425</v>
      </c>
      <c r="M704" s="39">
        <v>75360.0</v>
      </c>
      <c r="N704" s="43">
        <v>43773.68819444445</v>
      </c>
      <c r="P704" s="39" t="s">
        <v>3029</v>
      </c>
      <c r="Q704" s="39" t="s">
        <v>23</v>
      </c>
    </row>
    <row r="705">
      <c r="A705" s="39" t="s">
        <v>832</v>
      </c>
      <c r="B705" s="39" t="s">
        <v>3061</v>
      </c>
      <c r="C705" s="39" t="s">
        <v>3025</v>
      </c>
      <c r="D705" s="39">
        <v>53415.0</v>
      </c>
      <c r="F705" s="39" t="s">
        <v>3062</v>
      </c>
      <c r="G705" s="39" t="s">
        <v>829</v>
      </c>
      <c r="H705" s="39" t="s">
        <v>828</v>
      </c>
      <c r="I705" s="39" t="s">
        <v>724</v>
      </c>
      <c r="J705" s="39" t="s">
        <v>872</v>
      </c>
      <c r="K705" s="39" t="s">
        <v>3030</v>
      </c>
      <c r="L705" s="43">
        <v>44200.425</v>
      </c>
      <c r="M705" s="39">
        <v>11220.0</v>
      </c>
      <c r="N705" s="44">
        <v>43627.677777777775</v>
      </c>
      <c r="P705" s="39" t="s">
        <v>3029</v>
      </c>
      <c r="Q705" s="39" t="s">
        <v>23</v>
      </c>
    </row>
    <row r="706">
      <c r="A706" s="39" t="s">
        <v>832</v>
      </c>
      <c r="B706" s="39" t="s">
        <v>857</v>
      </c>
      <c r="C706" s="39" t="s">
        <v>3025</v>
      </c>
      <c r="D706" s="39">
        <v>53974.0</v>
      </c>
      <c r="F706" s="39" t="s">
        <v>858</v>
      </c>
      <c r="G706" s="39" t="s">
        <v>829</v>
      </c>
      <c r="H706" s="39" t="s">
        <v>828</v>
      </c>
      <c r="I706" s="39" t="s">
        <v>848</v>
      </c>
      <c r="J706" s="39" t="s">
        <v>847</v>
      </c>
      <c r="K706" s="39" t="s">
        <v>3030</v>
      </c>
      <c r="L706" s="43">
        <v>44200.425</v>
      </c>
      <c r="M706" s="39">
        <v>16380.0</v>
      </c>
      <c r="N706" s="44">
        <v>43753.52916666667</v>
      </c>
      <c r="P706" s="39" t="s">
        <v>3029</v>
      </c>
      <c r="Q706" s="39" t="s">
        <v>23</v>
      </c>
    </row>
    <row r="707">
      <c r="A707" s="39" t="s">
        <v>832</v>
      </c>
      <c r="B707" s="39" t="s">
        <v>3063</v>
      </c>
      <c r="C707" s="39" t="s">
        <v>3025</v>
      </c>
      <c r="D707" s="39">
        <v>53478.0</v>
      </c>
      <c r="F707" s="39" t="s">
        <v>3064</v>
      </c>
      <c r="G707" s="39" t="s">
        <v>829</v>
      </c>
      <c r="H707" s="39" t="s">
        <v>828</v>
      </c>
      <c r="I707" s="39" t="s">
        <v>886</v>
      </c>
      <c r="J707" s="39" t="s">
        <v>837</v>
      </c>
      <c r="K707" s="39" t="s">
        <v>3030</v>
      </c>
      <c r="L707" s="43">
        <v>44200.425</v>
      </c>
      <c r="M707" s="39">
        <v>35700.0</v>
      </c>
      <c r="N707" s="43">
        <v>43651.44861111111</v>
      </c>
      <c r="P707" s="39" t="s">
        <v>323</v>
      </c>
      <c r="Q707" s="39" t="s">
        <v>23</v>
      </c>
    </row>
    <row r="708">
      <c r="A708" s="39" t="s">
        <v>1811</v>
      </c>
      <c r="B708" s="39" t="s">
        <v>1806</v>
      </c>
      <c r="C708" s="39" t="s">
        <v>27</v>
      </c>
      <c r="D708" s="39">
        <v>64761.0</v>
      </c>
      <c r="E708" s="39">
        <v>46950.0</v>
      </c>
      <c r="F708" s="39" t="s">
        <v>1807</v>
      </c>
      <c r="G708" s="39" t="s">
        <v>3065</v>
      </c>
      <c r="H708" s="39" t="s">
        <v>3066</v>
      </c>
      <c r="I708" s="39" t="s">
        <v>724</v>
      </c>
      <c r="J708" s="39" t="s">
        <v>872</v>
      </c>
      <c r="K708" s="39" t="s">
        <v>3030</v>
      </c>
      <c r="L708" s="43">
        <v>44200.42291666667</v>
      </c>
      <c r="M708" s="39">
        <v>66600.0</v>
      </c>
      <c r="N708" s="44">
        <v>44124.375</v>
      </c>
    </row>
    <row r="709">
      <c r="A709" s="39" t="s">
        <v>832</v>
      </c>
      <c r="B709" s="39" t="s">
        <v>960</v>
      </c>
      <c r="C709" s="39" t="s">
        <v>27</v>
      </c>
      <c r="D709" s="39">
        <v>58747.0</v>
      </c>
      <c r="F709" s="39" t="s">
        <v>961</v>
      </c>
      <c r="G709" s="39" t="s">
        <v>829</v>
      </c>
      <c r="H709" s="39" t="s">
        <v>828</v>
      </c>
      <c r="I709" s="39" t="s">
        <v>853</v>
      </c>
      <c r="J709" s="39" t="s">
        <v>852</v>
      </c>
      <c r="K709" s="39" t="s">
        <v>3030</v>
      </c>
      <c r="L709" s="43">
        <v>44200.42222222222</v>
      </c>
      <c r="M709" s="39">
        <v>161520.0</v>
      </c>
      <c r="N709" s="45">
        <v>43962.760416666664</v>
      </c>
    </row>
    <row r="710">
      <c r="A710" s="39" t="s">
        <v>832</v>
      </c>
      <c r="B710" s="39" t="s">
        <v>894</v>
      </c>
      <c r="C710" s="39" t="s">
        <v>23</v>
      </c>
      <c r="D710" s="39">
        <v>55618.0</v>
      </c>
      <c r="F710" s="39" t="s">
        <v>895</v>
      </c>
      <c r="G710" s="39" t="s">
        <v>829</v>
      </c>
      <c r="H710" s="39" t="s">
        <v>828</v>
      </c>
      <c r="I710" s="39" t="s">
        <v>3033</v>
      </c>
      <c r="J710" s="39" t="s">
        <v>876</v>
      </c>
      <c r="K710" s="39" t="s">
        <v>3030</v>
      </c>
      <c r="L710" s="43">
        <v>44200.42152777778</v>
      </c>
      <c r="M710" s="39">
        <v>176700.0</v>
      </c>
      <c r="N710" s="44">
        <v>43853.450694444444</v>
      </c>
      <c r="P710" s="39" t="s">
        <v>3067</v>
      </c>
    </row>
    <row r="711">
      <c r="A711" s="39" t="s">
        <v>832</v>
      </c>
      <c r="B711" s="39" t="s">
        <v>933</v>
      </c>
      <c r="C711" s="39" t="s">
        <v>23</v>
      </c>
      <c r="D711" s="39">
        <v>57000.0</v>
      </c>
      <c r="F711" s="39" t="s">
        <v>934</v>
      </c>
      <c r="G711" s="39" t="s">
        <v>829</v>
      </c>
      <c r="H711" s="39" t="s">
        <v>828</v>
      </c>
      <c r="I711" s="39" t="s">
        <v>3033</v>
      </c>
      <c r="J711" s="39" t="s">
        <v>876</v>
      </c>
      <c r="K711" s="39" t="s">
        <v>3030</v>
      </c>
      <c r="L711" s="43">
        <v>44200.42152777778</v>
      </c>
      <c r="M711" s="39">
        <v>257220.0</v>
      </c>
      <c r="N711" s="44">
        <v>43920.722916666666</v>
      </c>
      <c r="P711" s="39" t="s">
        <v>3068</v>
      </c>
    </row>
    <row r="712">
      <c r="A712" s="39" t="s">
        <v>832</v>
      </c>
      <c r="B712" s="39" t="s">
        <v>877</v>
      </c>
      <c r="C712" s="39" t="s">
        <v>3025</v>
      </c>
      <c r="D712" s="39">
        <v>54706.0</v>
      </c>
      <c r="F712" s="39" t="s">
        <v>878</v>
      </c>
      <c r="G712" s="39" t="s">
        <v>829</v>
      </c>
      <c r="H712" s="39" t="s">
        <v>828</v>
      </c>
      <c r="I712" s="39" t="s">
        <v>886</v>
      </c>
      <c r="J712" s="39" t="s">
        <v>837</v>
      </c>
      <c r="K712" s="39" t="s">
        <v>3030</v>
      </c>
      <c r="L712" s="43">
        <v>44200.42152777778</v>
      </c>
      <c r="M712" s="39">
        <v>92580.0</v>
      </c>
      <c r="N712" s="43">
        <v>43776.47430555556</v>
      </c>
      <c r="P712" s="39" t="s">
        <v>3050</v>
      </c>
      <c r="Q712" s="39" t="s">
        <v>23</v>
      </c>
    </row>
    <row r="713">
      <c r="A713" s="39" t="s">
        <v>832</v>
      </c>
      <c r="B713" s="39" t="s">
        <v>906</v>
      </c>
      <c r="C713" s="39" t="s">
        <v>23</v>
      </c>
      <c r="D713" s="39">
        <v>40802.0</v>
      </c>
      <c r="F713" s="39" t="s">
        <v>173</v>
      </c>
      <c r="G713" s="39" t="s">
        <v>829</v>
      </c>
      <c r="H713" s="39" t="s">
        <v>828</v>
      </c>
      <c r="I713" s="39" t="s">
        <v>886</v>
      </c>
      <c r="J713" s="39" t="s">
        <v>837</v>
      </c>
      <c r="K713" s="39" t="s">
        <v>3030</v>
      </c>
      <c r="L713" s="43">
        <v>44200.42152777778</v>
      </c>
      <c r="M713" s="39">
        <v>111420.0</v>
      </c>
      <c r="N713" s="44">
        <v>42900.532638888886</v>
      </c>
      <c r="P713" s="39" t="s">
        <v>3069</v>
      </c>
      <c r="Q713" s="39" t="s">
        <v>3070</v>
      </c>
    </row>
    <row r="714">
      <c r="A714" s="39" t="s">
        <v>832</v>
      </c>
      <c r="B714" s="39" t="s">
        <v>869</v>
      </c>
      <c r="C714" s="39" t="s">
        <v>3025</v>
      </c>
      <c r="D714" s="39">
        <v>53468.0</v>
      </c>
      <c r="F714" s="39" t="s">
        <v>870</v>
      </c>
      <c r="G714" s="39" t="s">
        <v>848</v>
      </c>
      <c r="H714" s="39" t="s">
        <v>847</v>
      </c>
      <c r="I714" s="39" t="s">
        <v>724</v>
      </c>
      <c r="J714" s="39" t="s">
        <v>872</v>
      </c>
      <c r="K714" s="39" t="s">
        <v>3030</v>
      </c>
      <c r="L714" s="43">
        <v>44200.42083333333</v>
      </c>
      <c r="M714" s="39">
        <v>15780.0</v>
      </c>
      <c r="N714" s="43">
        <v>43649.63611111111</v>
      </c>
      <c r="P714" s="39" t="s">
        <v>3029</v>
      </c>
      <c r="Q714" s="39" t="s">
        <v>23</v>
      </c>
    </row>
    <row r="715">
      <c r="A715" s="39" t="s">
        <v>832</v>
      </c>
      <c r="B715" s="39" t="s">
        <v>873</v>
      </c>
      <c r="C715" s="39" t="s">
        <v>3025</v>
      </c>
      <c r="D715" s="39">
        <v>53414.0</v>
      </c>
      <c r="F715" s="39" t="s">
        <v>874</v>
      </c>
      <c r="G715" s="39" t="s">
        <v>829</v>
      </c>
      <c r="H715" s="39" t="s">
        <v>828</v>
      </c>
      <c r="I715" s="39" t="s">
        <v>3033</v>
      </c>
      <c r="J715" s="39" t="s">
        <v>876</v>
      </c>
      <c r="K715" s="39" t="s">
        <v>3030</v>
      </c>
      <c r="L715" s="43">
        <v>44200.42083333333</v>
      </c>
      <c r="M715" s="39">
        <v>67800.0</v>
      </c>
      <c r="N715" s="44">
        <v>43627.67222222222</v>
      </c>
      <c r="P715" s="39" t="s">
        <v>3029</v>
      </c>
      <c r="Q715" s="39" t="s">
        <v>23</v>
      </c>
    </row>
    <row r="716">
      <c r="A716" s="39" t="s">
        <v>832</v>
      </c>
      <c r="B716" s="39" t="s">
        <v>826</v>
      </c>
      <c r="C716" s="39" t="s">
        <v>23</v>
      </c>
      <c r="D716" s="39">
        <v>54707.0</v>
      </c>
      <c r="F716" s="39" t="s">
        <v>827</v>
      </c>
      <c r="G716" s="39" t="s">
        <v>829</v>
      </c>
      <c r="H716" s="39" t="s">
        <v>828</v>
      </c>
      <c r="I716" s="39" t="s">
        <v>886</v>
      </c>
      <c r="J716" s="39" t="s">
        <v>837</v>
      </c>
      <c r="K716" s="39" t="s">
        <v>3030</v>
      </c>
      <c r="L716" s="43">
        <v>44200.42083333333</v>
      </c>
      <c r="M716" s="39">
        <v>23640.0</v>
      </c>
      <c r="N716" s="43">
        <v>43776.48263888889</v>
      </c>
      <c r="P716" s="39" t="s">
        <v>3050</v>
      </c>
    </row>
    <row r="717">
      <c r="A717" s="39" t="s">
        <v>832</v>
      </c>
      <c r="B717" s="39" t="s">
        <v>909</v>
      </c>
      <c r="C717" s="39" t="s">
        <v>23</v>
      </c>
      <c r="D717" s="39">
        <v>53900.0</v>
      </c>
      <c r="F717" s="39" t="s">
        <v>910</v>
      </c>
      <c r="G717" s="39" t="s">
        <v>829</v>
      </c>
      <c r="H717" s="39" t="s">
        <v>828</v>
      </c>
      <c r="I717" s="39" t="s">
        <v>901</v>
      </c>
      <c r="J717" s="39" t="s">
        <v>900</v>
      </c>
      <c r="K717" s="39" t="s">
        <v>3030</v>
      </c>
      <c r="L717" s="43">
        <v>44200.42083333333</v>
      </c>
      <c r="M717" s="39">
        <v>30480.0</v>
      </c>
      <c r="N717" s="44">
        <v>43738.54027777778</v>
      </c>
      <c r="P717" s="39" t="s">
        <v>3050</v>
      </c>
    </row>
    <row r="718">
      <c r="A718" s="39" t="s">
        <v>832</v>
      </c>
      <c r="B718" s="39" t="s">
        <v>844</v>
      </c>
      <c r="C718" s="39" t="s">
        <v>3071</v>
      </c>
      <c r="D718" s="39">
        <v>53538.0</v>
      </c>
      <c r="F718" s="39" t="s">
        <v>845</v>
      </c>
      <c r="G718" s="39" t="s">
        <v>829</v>
      </c>
      <c r="H718" s="39" t="s">
        <v>828</v>
      </c>
      <c r="I718" s="39" t="s">
        <v>829</v>
      </c>
      <c r="J718" s="39" t="s">
        <v>828</v>
      </c>
      <c r="K718" s="39" t="s">
        <v>3030</v>
      </c>
      <c r="L718" s="43">
        <v>44200.42083333333</v>
      </c>
      <c r="M718" s="39">
        <v>346440.0</v>
      </c>
      <c r="N718" s="44">
        <v>43668.71041666667</v>
      </c>
      <c r="P718" s="39" t="s">
        <v>323</v>
      </c>
      <c r="Q718" s="39" t="s">
        <v>23</v>
      </c>
    </row>
    <row r="719">
      <c r="A719" s="39" t="s">
        <v>832</v>
      </c>
      <c r="B719" s="39" t="s">
        <v>921</v>
      </c>
      <c r="C719" s="39" t="s">
        <v>23</v>
      </c>
      <c r="D719" s="39">
        <v>56227.0</v>
      </c>
      <c r="F719" s="39" t="s">
        <v>922</v>
      </c>
      <c r="G719" s="39" t="s">
        <v>829</v>
      </c>
      <c r="H719" s="39" t="s">
        <v>828</v>
      </c>
      <c r="I719" s="39" t="s">
        <v>848</v>
      </c>
      <c r="J719" s="39" t="s">
        <v>847</v>
      </c>
      <c r="K719" s="39" t="s">
        <v>3028</v>
      </c>
      <c r="L719" s="43">
        <v>44200.42083333333</v>
      </c>
      <c r="M719" s="39">
        <v>48480.0</v>
      </c>
      <c r="N719" s="43">
        <v>43892.46944444445</v>
      </c>
      <c r="P719" s="39" t="s">
        <v>3029</v>
      </c>
    </row>
    <row r="720">
      <c r="A720" s="39" t="s">
        <v>832</v>
      </c>
      <c r="B720" s="39" t="s">
        <v>915</v>
      </c>
      <c r="C720" s="39" t="s">
        <v>23</v>
      </c>
      <c r="D720" s="39">
        <v>56229.0</v>
      </c>
      <c r="F720" s="39" t="s">
        <v>916</v>
      </c>
      <c r="G720" s="39" t="s">
        <v>829</v>
      </c>
      <c r="H720" s="39" t="s">
        <v>828</v>
      </c>
      <c r="I720" s="39" t="s">
        <v>848</v>
      </c>
      <c r="J720" s="39" t="s">
        <v>847</v>
      </c>
      <c r="K720" s="39" t="s">
        <v>3030</v>
      </c>
      <c r="L720" s="43">
        <v>44200.42083333333</v>
      </c>
      <c r="M720" s="39">
        <v>55980.0</v>
      </c>
      <c r="N720" s="43">
        <v>43892.4875</v>
      </c>
      <c r="P720" s="39" t="s">
        <v>3029</v>
      </c>
    </row>
    <row r="721">
      <c r="A721" s="39" t="s">
        <v>832</v>
      </c>
      <c r="B721" s="39" t="s">
        <v>918</v>
      </c>
      <c r="C721" s="39" t="s">
        <v>23</v>
      </c>
      <c r="D721" s="39">
        <v>56228.0</v>
      </c>
      <c r="F721" s="39" t="s">
        <v>919</v>
      </c>
      <c r="G721" s="39" t="s">
        <v>848</v>
      </c>
      <c r="H721" s="39" t="s">
        <v>847</v>
      </c>
      <c r="I721" s="39" t="s">
        <v>848</v>
      </c>
      <c r="J721" s="39" t="s">
        <v>847</v>
      </c>
      <c r="K721" s="39" t="s">
        <v>3030</v>
      </c>
      <c r="L721" s="43">
        <v>44200.42013888889</v>
      </c>
      <c r="M721" s="39">
        <v>66480.0</v>
      </c>
      <c r="N721" s="43">
        <v>43892.47986111111</v>
      </c>
      <c r="P721" s="39" t="s">
        <v>3029</v>
      </c>
    </row>
    <row r="722">
      <c r="A722" s="39" t="s">
        <v>832</v>
      </c>
      <c r="B722" s="39" t="s">
        <v>912</v>
      </c>
      <c r="C722" s="39" t="s">
        <v>23</v>
      </c>
      <c r="D722" s="39">
        <v>53901.0</v>
      </c>
      <c r="F722" s="39" t="s">
        <v>913</v>
      </c>
      <c r="G722" s="39" t="s">
        <v>829</v>
      </c>
      <c r="H722" s="39" t="s">
        <v>828</v>
      </c>
      <c r="I722" s="39" t="s">
        <v>829</v>
      </c>
      <c r="J722" s="39" t="s">
        <v>828</v>
      </c>
      <c r="K722" s="39" t="s">
        <v>3030</v>
      </c>
      <c r="L722" s="43">
        <v>44200.42013888889</v>
      </c>
      <c r="M722" s="39">
        <v>71040.0</v>
      </c>
      <c r="N722" s="44">
        <v>43738.54652777778</v>
      </c>
      <c r="P722" s="39" t="s">
        <v>3027</v>
      </c>
    </row>
    <row r="723">
      <c r="A723" s="39" t="s">
        <v>832</v>
      </c>
      <c r="B723" s="39" t="s">
        <v>607</v>
      </c>
      <c r="C723" s="39" t="s">
        <v>3025</v>
      </c>
      <c r="D723" s="39">
        <v>49066.0</v>
      </c>
      <c r="F723" s="39" t="s">
        <v>608</v>
      </c>
      <c r="G723" s="39" t="s">
        <v>829</v>
      </c>
      <c r="H723" s="39" t="s">
        <v>828</v>
      </c>
      <c r="I723" s="39" t="s">
        <v>853</v>
      </c>
      <c r="J723" s="39" t="s">
        <v>852</v>
      </c>
      <c r="K723" s="39" t="s">
        <v>3030</v>
      </c>
      <c r="L723" s="43">
        <v>44200.42013888889</v>
      </c>
      <c r="M723" s="39">
        <v>116880.0</v>
      </c>
      <c r="N723" s="44">
        <v>43308.49444444444</v>
      </c>
      <c r="P723" s="39" t="s">
        <v>323</v>
      </c>
      <c r="Q723" s="39" t="s">
        <v>23</v>
      </c>
    </row>
    <row r="724">
      <c r="A724" s="39" t="s">
        <v>832</v>
      </c>
      <c r="B724" s="39" t="s">
        <v>897</v>
      </c>
      <c r="C724" s="39" t="s">
        <v>3025</v>
      </c>
      <c r="D724" s="39">
        <v>53259.0</v>
      </c>
      <c r="F724" s="39" t="s">
        <v>898</v>
      </c>
      <c r="G724" s="39" t="s">
        <v>829</v>
      </c>
      <c r="H724" s="39" t="s">
        <v>828</v>
      </c>
      <c r="I724" s="39" t="s">
        <v>3033</v>
      </c>
      <c r="J724" s="39" t="s">
        <v>876</v>
      </c>
      <c r="K724" s="39" t="s">
        <v>3030</v>
      </c>
      <c r="L724" s="43">
        <v>44200.42013888889</v>
      </c>
      <c r="M724" s="39">
        <v>117180.0</v>
      </c>
      <c r="N724" s="45">
        <v>43607.44930555556</v>
      </c>
      <c r="P724" s="39" t="s">
        <v>323</v>
      </c>
      <c r="Q724" s="39" t="s">
        <v>23</v>
      </c>
    </row>
    <row r="725">
      <c r="A725" s="39" t="s">
        <v>832</v>
      </c>
      <c r="B725" s="39" t="s">
        <v>838</v>
      </c>
      <c r="C725" s="39" t="s">
        <v>23</v>
      </c>
      <c r="D725" s="39">
        <v>55474.0</v>
      </c>
      <c r="F725" s="39" t="s">
        <v>839</v>
      </c>
      <c r="G725" s="39" t="s">
        <v>829</v>
      </c>
      <c r="H725" s="39" t="s">
        <v>828</v>
      </c>
      <c r="I725" s="39" t="s">
        <v>829</v>
      </c>
      <c r="J725" s="39" t="s">
        <v>828</v>
      </c>
      <c r="K725" s="39" t="s">
        <v>3030</v>
      </c>
      <c r="L725" s="43">
        <v>44200.42013888889</v>
      </c>
      <c r="M725" s="39">
        <v>202860.0</v>
      </c>
      <c r="N725" s="43">
        <v>43836.57708333333</v>
      </c>
      <c r="P725" s="39" t="s">
        <v>3029</v>
      </c>
    </row>
    <row r="726">
      <c r="A726" s="39" t="s">
        <v>832</v>
      </c>
      <c r="B726" s="39" t="s">
        <v>891</v>
      </c>
      <c r="C726" s="39" t="s">
        <v>3025</v>
      </c>
      <c r="D726" s="39">
        <v>53245.0</v>
      </c>
      <c r="F726" s="39" t="s">
        <v>892</v>
      </c>
      <c r="G726" s="39" t="s">
        <v>829</v>
      </c>
      <c r="H726" s="39" t="s">
        <v>828</v>
      </c>
      <c r="I726" s="39" t="s">
        <v>3033</v>
      </c>
      <c r="J726" s="39" t="s">
        <v>876</v>
      </c>
      <c r="K726" s="39" t="s">
        <v>3030</v>
      </c>
      <c r="L726" s="43">
        <v>44200.42013888889</v>
      </c>
      <c r="M726" s="39">
        <v>175380.0</v>
      </c>
      <c r="N726" s="46">
        <v>43593.67152777778</v>
      </c>
      <c r="P726" s="39" t="s">
        <v>3029</v>
      </c>
      <c r="Q726" s="39" t="s">
        <v>23</v>
      </c>
    </row>
    <row r="727">
      <c r="A727" s="39" t="s">
        <v>832</v>
      </c>
      <c r="B727" s="39" t="s">
        <v>1174</v>
      </c>
      <c r="C727" s="39" t="s">
        <v>23</v>
      </c>
      <c r="D727" s="39">
        <v>60793.0</v>
      </c>
      <c r="F727" s="39" t="s">
        <v>1175</v>
      </c>
      <c r="I727" s="39" t="s">
        <v>829</v>
      </c>
      <c r="J727" s="39" t="s">
        <v>828</v>
      </c>
      <c r="K727" s="39" t="s">
        <v>3030</v>
      </c>
      <c r="L727" s="43">
        <v>44200.42013888889</v>
      </c>
      <c r="M727" s="39">
        <v>13320.0</v>
      </c>
      <c r="N727" s="43">
        <v>44021.53680555556</v>
      </c>
    </row>
    <row r="728">
      <c r="A728" s="39" t="s">
        <v>948</v>
      </c>
      <c r="B728" s="39" t="s">
        <v>945</v>
      </c>
      <c r="C728" s="39" t="s">
        <v>23</v>
      </c>
      <c r="D728" s="39">
        <v>57941.0</v>
      </c>
      <c r="F728" s="39" t="s">
        <v>946</v>
      </c>
      <c r="G728" s="39" t="s">
        <v>829</v>
      </c>
      <c r="H728" s="39" t="s">
        <v>828</v>
      </c>
      <c r="I728" s="39" t="s">
        <v>3072</v>
      </c>
      <c r="J728" s="39" t="s">
        <v>951</v>
      </c>
      <c r="K728" s="39" t="s">
        <v>3030</v>
      </c>
      <c r="L728" s="43">
        <v>44200.419444444444</v>
      </c>
      <c r="M728" s="39">
        <v>117120.0</v>
      </c>
      <c r="N728" s="44">
        <v>43949.600694444445</v>
      </c>
    </row>
    <row r="729">
      <c r="A729" s="39" t="s">
        <v>1021</v>
      </c>
      <c r="B729" s="39" t="s">
        <v>1991</v>
      </c>
      <c r="C729" s="39" t="s">
        <v>23</v>
      </c>
      <c r="D729" s="39">
        <v>47902.0</v>
      </c>
      <c r="F729" s="39" t="s">
        <v>1992</v>
      </c>
      <c r="G729" s="39" t="s">
        <v>1601</v>
      </c>
      <c r="H729" s="39" t="s">
        <v>1600</v>
      </c>
      <c r="I729" s="39" t="s">
        <v>901</v>
      </c>
      <c r="J729" s="39" t="s">
        <v>900</v>
      </c>
      <c r="K729" s="39" t="s">
        <v>2188</v>
      </c>
      <c r="L729" s="43">
        <v>44200.41875</v>
      </c>
      <c r="M729" s="39">
        <v>70200.0</v>
      </c>
      <c r="N729" s="44">
        <v>43210.461805555555</v>
      </c>
      <c r="P729" s="39" t="s">
        <v>3073</v>
      </c>
    </row>
    <row r="730">
      <c r="A730" s="39" t="s">
        <v>1021</v>
      </c>
      <c r="B730" s="39" t="s">
        <v>1646</v>
      </c>
      <c r="C730" s="39" t="s">
        <v>23</v>
      </c>
      <c r="D730" s="39">
        <v>63774.0</v>
      </c>
      <c r="F730" s="39" t="s">
        <v>3074</v>
      </c>
      <c r="G730" s="39" t="s">
        <v>1601</v>
      </c>
      <c r="H730" s="39" t="s">
        <v>1600</v>
      </c>
      <c r="I730" s="39" t="s">
        <v>2003</v>
      </c>
      <c r="J730" s="39" t="s">
        <v>1649</v>
      </c>
      <c r="K730" s="39" t="s">
        <v>3030</v>
      </c>
      <c r="L730" s="43">
        <v>44200.41875</v>
      </c>
      <c r="M730" s="39">
        <v>93600.0</v>
      </c>
      <c r="N730" s="44">
        <v>44102.39027777778</v>
      </c>
    </row>
    <row r="731">
      <c r="A731" s="39" t="s">
        <v>832</v>
      </c>
      <c r="B731" s="39" t="s">
        <v>930</v>
      </c>
      <c r="C731" s="39" t="s">
        <v>23</v>
      </c>
      <c r="D731" s="39">
        <v>56252.0</v>
      </c>
      <c r="F731" s="39" t="s">
        <v>931</v>
      </c>
      <c r="G731" s="39" t="s">
        <v>1601</v>
      </c>
      <c r="H731" s="39" t="s">
        <v>1600</v>
      </c>
      <c r="I731" s="39" t="s">
        <v>848</v>
      </c>
      <c r="J731" s="39" t="s">
        <v>847</v>
      </c>
      <c r="K731" s="39" t="s">
        <v>3030</v>
      </c>
      <c r="L731" s="43">
        <v>44200.41805555556</v>
      </c>
      <c r="M731" s="39">
        <v>71640.0</v>
      </c>
      <c r="N731" s="43">
        <v>43895.44375</v>
      </c>
      <c r="P731" s="39" t="s">
        <v>3075</v>
      </c>
    </row>
    <row r="732">
      <c r="A732" s="39" t="s">
        <v>832</v>
      </c>
      <c r="B732" s="39" t="s">
        <v>1338</v>
      </c>
      <c r="C732" s="39" t="s">
        <v>23</v>
      </c>
      <c r="D732" s="39">
        <v>62085.0</v>
      </c>
      <c r="F732" s="39" t="s">
        <v>1339</v>
      </c>
      <c r="G732" s="39" t="s">
        <v>1601</v>
      </c>
      <c r="H732" s="39" t="s">
        <v>1600</v>
      </c>
      <c r="I732" s="39" t="s">
        <v>3072</v>
      </c>
      <c r="J732" s="39" t="s">
        <v>951</v>
      </c>
      <c r="K732" s="39" t="s">
        <v>2161</v>
      </c>
      <c r="L732" s="43">
        <v>44200.41805555556</v>
      </c>
      <c r="M732" s="39">
        <v>16260.0</v>
      </c>
      <c r="N732" s="44">
        <v>44056.77777777778</v>
      </c>
    </row>
    <row r="733">
      <c r="A733" s="39" t="s">
        <v>832</v>
      </c>
      <c r="B733" s="39" t="s">
        <v>1518</v>
      </c>
      <c r="C733" s="39" t="s">
        <v>23</v>
      </c>
      <c r="D733" s="39">
        <v>62760.0</v>
      </c>
      <c r="F733" s="39" t="s">
        <v>1519</v>
      </c>
      <c r="G733" s="39" t="s">
        <v>1601</v>
      </c>
      <c r="H733" s="39" t="s">
        <v>1600</v>
      </c>
      <c r="I733" s="39" t="s">
        <v>848</v>
      </c>
      <c r="J733" s="39" t="s">
        <v>847</v>
      </c>
      <c r="K733" s="39" t="s">
        <v>3030</v>
      </c>
      <c r="L733" s="43">
        <v>44200.41805555556</v>
      </c>
      <c r="M733" s="39">
        <v>60420.0</v>
      </c>
      <c r="N733" s="44">
        <v>44084.552083333336</v>
      </c>
      <c r="P733" s="39" t="s">
        <v>3069</v>
      </c>
    </row>
    <row r="734">
      <c r="A734" s="39" t="s">
        <v>1021</v>
      </c>
      <c r="B734" s="39" t="s">
        <v>1136</v>
      </c>
      <c r="C734" s="39" t="s">
        <v>23</v>
      </c>
      <c r="D734" s="39">
        <v>60515.0</v>
      </c>
      <c r="F734" s="39" t="s">
        <v>1137</v>
      </c>
      <c r="G734" s="39" t="s">
        <v>829</v>
      </c>
      <c r="H734" s="39" t="s">
        <v>828</v>
      </c>
      <c r="I734" s="39" t="s">
        <v>886</v>
      </c>
      <c r="J734" s="39" t="s">
        <v>837</v>
      </c>
      <c r="K734" s="39" t="s">
        <v>3030</v>
      </c>
      <c r="L734" s="43">
        <v>44200.41736111111</v>
      </c>
      <c r="M734" s="39">
        <v>24780.0</v>
      </c>
      <c r="N734" s="44">
        <v>44007.66736111111</v>
      </c>
    </row>
    <row r="735">
      <c r="A735" s="39" t="s">
        <v>832</v>
      </c>
      <c r="B735" s="39" t="s">
        <v>1009</v>
      </c>
      <c r="C735" s="39" t="s">
        <v>23</v>
      </c>
      <c r="D735" s="39">
        <v>59573.0</v>
      </c>
      <c r="F735" s="39" t="s">
        <v>1010</v>
      </c>
      <c r="G735" s="39" t="s">
        <v>829</v>
      </c>
      <c r="H735" s="39" t="s">
        <v>828</v>
      </c>
      <c r="I735" s="39" t="s">
        <v>901</v>
      </c>
      <c r="J735" s="39" t="s">
        <v>900</v>
      </c>
      <c r="K735" s="39" t="s">
        <v>3030</v>
      </c>
      <c r="L735" s="43">
        <v>44200.41736111111</v>
      </c>
      <c r="M735" s="39">
        <v>21300.0</v>
      </c>
      <c r="N735" s="45">
        <v>43980.79305555556</v>
      </c>
      <c r="P735" s="39" t="s">
        <v>3069</v>
      </c>
    </row>
    <row r="736">
      <c r="A736" s="39" t="s">
        <v>832</v>
      </c>
      <c r="B736" s="39" t="s">
        <v>881</v>
      </c>
      <c r="C736" s="39" t="s">
        <v>23</v>
      </c>
      <c r="D736" s="39">
        <v>55577.0</v>
      </c>
      <c r="F736" s="39" t="s">
        <v>882</v>
      </c>
      <c r="G736" s="39" t="s">
        <v>829</v>
      </c>
      <c r="H736" s="39" t="s">
        <v>828</v>
      </c>
      <c r="I736" s="39" t="s">
        <v>3033</v>
      </c>
      <c r="J736" s="39" t="s">
        <v>876</v>
      </c>
      <c r="K736" s="39" t="s">
        <v>3030</v>
      </c>
      <c r="L736" s="43">
        <v>44200.41736111111</v>
      </c>
      <c r="M736" s="39">
        <v>25320.0</v>
      </c>
      <c r="N736" s="44">
        <v>43846.44236111111</v>
      </c>
      <c r="P736" s="39" t="s">
        <v>3076</v>
      </c>
    </row>
    <row r="737">
      <c r="A737" s="39" t="s">
        <v>832</v>
      </c>
      <c r="B737" s="39" t="s">
        <v>1534</v>
      </c>
      <c r="C737" s="39" t="s">
        <v>23</v>
      </c>
      <c r="D737" s="39">
        <v>62821.0</v>
      </c>
      <c r="F737" s="39" t="s">
        <v>1535</v>
      </c>
      <c r="G737" s="39" t="s">
        <v>1601</v>
      </c>
      <c r="H737" s="39" t="s">
        <v>1600</v>
      </c>
      <c r="I737" s="39" t="s">
        <v>886</v>
      </c>
      <c r="J737" s="39" t="s">
        <v>837</v>
      </c>
      <c r="K737" s="39" t="s">
        <v>3030</v>
      </c>
      <c r="L737" s="43">
        <v>44200.41736111111</v>
      </c>
      <c r="M737" s="39">
        <v>281040.0</v>
      </c>
      <c r="N737" s="44">
        <v>44085.54305555556</v>
      </c>
      <c r="P737" s="39" t="s">
        <v>3069</v>
      </c>
    </row>
    <row r="738">
      <c r="A738" s="39" t="s">
        <v>832</v>
      </c>
      <c r="B738" s="39" t="s">
        <v>1146</v>
      </c>
      <c r="C738" s="39" t="s">
        <v>23</v>
      </c>
      <c r="D738" s="39">
        <v>60568.0</v>
      </c>
      <c r="F738" s="39" t="s">
        <v>1147</v>
      </c>
      <c r="G738" s="39" t="s">
        <v>829</v>
      </c>
      <c r="H738" s="39" t="s">
        <v>828</v>
      </c>
      <c r="I738" s="39" t="s">
        <v>848</v>
      </c>
      <c r="J738" s="39" t="s">
        <v>847</v>
      </c>
      <c r="K738" s="39" t="s">
        <v>3030</v>
      </c>
      <c r="L738" s="43">
        <v>44200.41736111111</v>
      </c>
      <c r="M738" s="39">
        <v>28500.0</v>
      </c>
      <c r="N738" s="44">
        <v>44011.73472222222</v>
      </c>
      <c r="P738" s="39" t="s">
        <v>3077</v>
      </c>
    </row>
    <row r="739">
      <c r="A739" s="39" t="s">
        <v>1021</v>
      </c>
      <c r="B739" s="39" t="s">
        <v>1019</v>
      </c>
      <c r="C739" s="39" t="s">
        <v>23</v>
      </c>
      <c r="D739" s="39">
        <v>60354.0</v>
      </c>
      <c r="F739" s="39" t="s">
        <v>1020</v>
      </c>
      <c r="G739" s="39" t="s">
        <v>829</v>
      </c>
      <c r="H739" s="39" t="s">
        <v>828</v>
      </c>
      <c r="I739" s="39" t="s">
        <v>1179</v>
      </c>
      <c r="J739" s="39" t="s">
        <v>1023</v>
      </c>
      <c r="K739" s="39" t="s">
        <v>3030</v>
      </c>
      <c r="L739" s="43">
        <v>44200.41736111111</v>
      </c>
      <c r="M739" s="39">
        <v>31680.0</v>
      </c>
      <c r="N739" s="43">
        <v>43990.68402777778</v>
      </c>
      <c r="P739" s="39" t="s">
        <v>3078</v>
      </c>
    </row>
    <row r="740">
      <c r="A740" s="39" t="s">
        <v>832</v>
      </c>
      <c r="B740" s="39" t="s">
        <v>927</v>
      </c>
      <c r="C740" s="39" t="s">
        <v>23</v>
      </c>
      <c r="D740" s="39">
        <v>50958.0</v>
      </c>
      <c r="F740" s="39" t="s">
        <v>716</v>
      </c>
      <c r="G740" s="39" t="s">
        <v>829</v>
      </c>
      <c r="H740" s="39" t="s">
        <v>828</v>
      </c>
      <c r="I740" s="39" t="s">
        <v>829</v>
      </c>
      <c r="J740" s="39" t="s">
        <v>828</v>
      </c>
      <c r="K740" s="39" t="s">
        <v>3030</v>
      </c>
      <c r="L740" s="43">
        <v>44200.416666666664</v>
      </c>
      <c r="M740" s="39">
        <v>35280.0</v>
      </c>
      <c r="N740" s="44">
        <v>43448.78611111111</v>
      </c>
      <c r="P740" s="39" t="s">
        <v>3077</v>
      </c>
    </row>
    <row r="741">
      <c r="A741" s="39" t="s">
        <v>832</v>
      </c>
      <c r="B741" s="39" t="s">
        <v>1498</v>
      </c>
      <c r="C741" s="39" t="s">
        <v>23</v>
      </c>
      <c r="D741" s="39">
        <v>62737.0</v>
      </c>
      <c r="F741" s="39" t="s">
        <v>1499</v>
      </c>
      <c r="G741" s="39" t="s">
        <v>829</v>
      </c>
      <c r="H741" s="39" t="s">
        <v>828</v>
      </c>
      <c r="I741" s="39" t="s">
        <v>3033</v>
      </c>
      <c r="J741" s="39" t="s">
        <v>876</v>
      </c>
      <c r="K741" s="39" t="s">
        <v>3030</v>
      </c>
      <c r="L741" s="43">
        <v>44200.416666666664</v>
      </c>
      <c r="M741" s="39">
        <v>50220.0</v>
      </c>
      <c r="N741" s="43">
        <v>44083.501388888886</v>
      </c>
      <c r="P741" s="39" t="s">
        <v>3078</v>
      </c>
    </row>
    <row r="742">
      <c r="A742" s="39" t="s">
        <v>832</v>
      </c>
      <c r="B742" s="39" t="s">
        <v>1016</v>
      </c>
      <c r="C742" s="39" t="s">
        <v>23</v>
      </c>
      <c r="D742" s="39">
        <v>59909.0</v>
      </c>
      <c r="F742" s="39" t="s">
        <v>1017</v>
      </c>
      <c r="G742" s="39" t="s">
        <v>829</v>
      </c>
      <c r="H742" s="39" t="s">
        <v>828</v>
      </c>
      <c r="I742" s="39" t="s">
        <v>3033</v>
      </c>
      <c r="J742" s="39" t="s">
        <v>876</v>
      </c>
      <c r="K742" s="39" t="s">
        <v>3030</v>
      </c>
      <c r="L742" s="43">
        <v>44200.416666666664</v>
      </c>
      <c r="M742" s="39">
        <v>47580.0</v>
      </c>
      <c r="N742" s="43">
        <v>43987.45486111111</v>
      </c>
      <c r="P742" s="39" t="s">
        <v>3077</v>
      </c>
    </row>
    <row r="743">
      <c r="A743" s="39" t="s">
        <v>832</v>
      </c>
      <c r="B743" s="39" t="s">
        <v>1216</v>
      </c>
      <c r="C743" s="39" t="s">
        <v>23</v>
      </c>
      <c r="D743" s="39">
        <v>61009.0</v>
      </c>
      <c r="F743" s="39" t="s">
        <v>1217</v>
      </c>
      <c r="G743" s="39" t="s">
        <v>829</v>
      </c>
      <c r="H743" s="39" t="s">
        <v>828</v>
      </c>
      <c r="I743" s="39" t="s">
        <v>724</v>
      </c>
      <c r="J743" s="39" t="s">
        <v>872</v>
      </c>
      <c r="K743" s="39" t="s">
        <v>3030</v>
      </c>
      <c r="L743" s="43">
        <v>44200.416666666664</v>
      </c>
      <c r="M743" s="39">
        <v>59100.0</v>
      </c>
      <c r="N743" s="44">
        <v>44032.51666666667</v>
      </c>
      <c r="P743" s="39" t="s">
        <v>3079</v>
      </c>
    </row>
    <row r="744">
      <c r="A744" s="39" t="s">
        <v>832</v>
      </c>
      <c r="B744" s="39" t="s">
        <v>1109</v>
      </c>
      <c r="C744" s="39" t="s">
        <v>23</v>
      </c>
      <c r="D744" s="39">
        <v>60490.0</v>
      </c>
      <c r="F744" s="39" t="s">
        <v>1110</v>
      </c>
      <c r="G744" s="39" t="s">
        <v>829</v>
      </c>
      <c r="H744" s="39" t="s">
        <v>828</v>
      </c>
      <c r="I744" s="39" t="s">
        <v>853</v>
      </c>
      <c r="J744" s="39" t="s">
        <v>852</v>
      </c>
      <c r="K744" s="39" t="s">
        <v>3030</v>
      </c>
      <c r="L744" s="43">
        <v>44200.416666666664</v>
      </c>
      <c r="M744" s="39">
        <v>64560.0</v>
      </c>
      <c r="N744" s="44">
        <v>44004.748611111114</v>
      </c>
      <c r="P744" s="39" t="s">
        <v>3080</v>
      </c>
    </row>
    <row r="745">
      <c r="A745" s="39" t="s">
        <v>832</v>
      </c>
      <c r="B745" s="39" t="s">
        <v>903</v>
      </c>
      <c r="C745" s="39" t="s">
        <v>23</v>
      </c>
      <c r="D745" s="39">
        <v>40801.0</v>
      </c>
      <c r="F745" s="39" t="s">
        <v>598</v>
      </c>
      <c r="G745" s="39" t="s">
        <v>829</v>
      </c>
      <c r="H745" s="39" t="s">
        <v>828</v>
      </c>
      <c r="I745" s="39" t="s">
        <v>901</v>
      </c>
      <c r="J745" s="39" t="s">
        <v>900</v>
      </c>
      <c r="K745" s="39" t="s">
        <v>3030</v>
      </c>
      <c r="L745" s="43">
        <v>44200.41458333333</v>
      </c>
      <c r="M745" s="39">
        <v>68220.0</v>
      </c>
      <c r="N745" s="44">
        <v>42900.52638888889</v>
      </c>
      <c r="P745" s="39" t="s">
        <v>3069</v>
      </c>
    </row>
    <row r="746">
      <c r="A746" s="39" t="s">
        <v>1021</v>
      </c>
      <c r="B746" s="39" t="s">
        <v>1171</v>
      </c>
      <c r="C746" s="39" t="s">
        <v>23</v>
      </c>
      <c r="D746" s="39">
        <v>60581.0</v>
      </c>
      <c r="F746" s="39" t="s">
        <v>1172</v>
      </c>
      <c r="G746" s="39" t="s">
        <v>829</v>
      </c>
      <c r="H746" s="39" t="s">
        <v>828</v>
      </c>
      <c r="I746" s="39" t="s">
        <v>1179</v>
      </c>
      <c r="J746" s="39" t="s">
        <v>1023</v>
      </c>
      <c r="K746" s="39" t="s">
        <v>3030</v>
      </c>
      <c r="L746" s="43">
        <v>44200.41388888889</v>
      </c>
      <c r="M746" s="39">
        <v>67500.0</v>
      </c>
      <c r="N746" s="43">
        <v>44018.42916666667</v>
      </c>
      <c r="P746" s="39" t="s">
        <v>3080</v>
      </c>
    </row>
  </sheetData>
  <autoFilter ref="$A$1:$Q$746"/>
  <drawing r:id="rId1"/>
</worksheet>
</file>