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heS\Desktop\Temp\"/>
    </mc:Choice>
  </mc:AlternateContent>
  <xr:revisionPtr revIDLastSave="0" documentId="13_ncr:1_{D4715C10-0EB9-45CC-B8A0-7538D7E27F4D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CMAwG" sheetId="8" r:id="rId1"/>
    <sheet name="Graph for Sheet7" sheetId="9" r:id="rId2"/>
    <sheet name="Trend Projection" sheetId="5" r:id="rId3"/>
    <sheet name="Graph for Sheet5" sheetId="6" r:id="rId4"/>
    <sheet name="Trend Projection 2" sheetId="12" r:id="rId5"/>
    <sheet name="Graph for Sheet9" sheetId="13" r:id="rId6"/>
    <sheet name="Exp with Trend" sheetId="14" r:id="rId7"/>
    <sheet name="Graph for Sheet1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4" l="1"/>
  <c r="F9" i="14" s="1"/>
  <c r="C6" i="14"/>
  <c r="C5" i="14"/>
  <c r="H35" i="12"/>
  <c r="H36" i="12" s="1"/>
  <c r="H33" i="12"/>
  <c r="B32" i="12"/>
  <c r="B31" i="12"/>
  <c r="D24" i="8"/>
  <c r="D23" i="8"/>
  <c r="E23" i="8" s="1"/>
  <c r="F23" i="8" s="1"/>
  <c r="C35" i="8" s="1"/>
  <c r="D22" i="8"/>
  <c r="E22" i="8" s="1"/>
  <c r="F22" i="8" s="1"/>
  <c r="B35" i="8" s="1"/>
  <c r="D21" i="8"/>
  <c r="E21" i="8" s="1"/>
  <c r="F21" i="8" s="1"/>
  <c r="E34" i="8" s="1"/>
  <c r="D20" i="8"/>
  <c r="D19" i="8"/>
  <c r="E19" i="8" s="1"/>
  <c r="F19" i="8" s="1"/>
  <c r="C34" i="8" s="1"/>
  <c r="D18" i="8"/>
  <c r="E18" i="8" s="1"/>
  <c r="F18" i="8" s="1"/>
  <c r="B34" i="8" s="1"/>
  <c r="D17" i="8"/>
  <c r="E17" i="8" s="1"/>
  <c r="F17" i="8" s="1"/>
  <c r="E33" i="8" s="1"/>
  <c r="D16" i="8"/>
  <c r="E15" i="8" s="1"/>
  <c r="F15" i="8" s="1"/>
  <c r="C33" i="8" s="1"/>
  <c r="D15" i="8"/>
  <c r="D14" i="8"/>
  <c r="E14" i="8" s="1"/>
  <c r="F14" i="8" s="1"/>
  <c r="B33" i="8" s="1"/>
  <c r="B36" i="8" s="1"/>
  <c r="E13" i="8"/>
  <c r="F13" i="8" s="1"/>
  <c r="E32" i="8" s="1"/>
  <c r="E36" i="8" s="1"/>
  <c r="D13" i="8"/>
  <c r="D12" i="8"/>
  <c r="H31" i="5"/>
  <c r="H32" i="5" s="1"/>
  <c r="H29" i="5"/>
  <c r="B28" i="5"/>
  <c r="B27" i="5"/>
  <c r="E25" i="5" s="1"/>
  <c r="F25" i="5" s="1"/>
  <c r="E20" i="8" l="1"/>
  <c r="F20" i="8" s="1"/>
  <c r="D34" i="8" s="1"/>
  <c r="E12" i="8"/>
  <c r="F12" i="8" s="1"/>
  <c r="D32" i="8" s="1"/>
  <c r="D10" i="14"/>
  <c r="G9" i="14"/>
  <c r="E29" i="12"/>
  <c r="F29" i="12" s="1"/>
  <c r="H29" i="12" s="1"/>
  <c r="E21" i="12"/>
  <c r="F21" i="12" s="1"/>
  <c r="E25" i="12"/>
  <c r="F25" i="12" s="1"/>
  <c r="E10" i="12"/>
  <c r="F10" i="12" s="1"/>
  <c r="E14" i="12"/>
  <c r="F14" i="12" s="1"/>
  <c r="E18" i="12"/>
  <c r="F18" i="12" s="1"/>
  <c r="E22" i="12"/>
  <c r="F22" i="12" s="1"/>
  <c r="E26" i="12"/>
  <c r="F26" i="12" s="1"/>
  <c r="B34" i="12"/>
  <c r="E12" i="12"/>
  <c r="F12" i="12" s="1"/>
  <c r="E16" i="12"/>
  <c r="F16" i="12" s="1"/>
  <c r="E20" i="12"/>
  <c r="F20" i="12" s="1"/>
  <c r="E11" i="12"/>
  <c r="F11" i="12" s="1"/>
  <c r="E15" i="12"/>
  <c r="F15" i="12" s="1"/>
  <c r="E19" i="12"/>
  <c r="F19" i="12" s="1"/>
  <c r="E23" i="12"/>
  <c r="F23" i="12" s="1"/>
  <c r="E27" i="12"/>
  <c r="F27" i="12" s="1"/>
  <c r="E24" i="12"/>
  <c r="F24" i="12" s="1"/>
  <c r="E28" i="12"/>
  <c r="F28" i="12" s="1"/>
  <c r="E13" i="12"/>
  <c r="F13" i="12" s="1"/>
  <c r="E17" i="12"/>
  <c r="F17" i="12" s="1"/>
  <c r="C43" i="8"/>
  <c r="G25" i="8"/>
  <c r="H25" i="8" s="1"/>
  <c r="G21" i="8"/>
  <c r="H21" i="8" s="1"/>
  <c r="G17" i="8"/>
  <c r="H17" i="8" s="1"/>
  <c r="G13" i="8"/>
  <c r="H13" i="8" s="1"/>
  <c r="C40" i="8"/>
  <c r="G22" i="8"/>
  <c r="H22" i="8" s="1"/>
  <c r="G18" i="8"/>
  <c r="H18" i="8" s="1"/>
  <c r="G14" i="8"/>
  <c r="H14" i="8" s="1"/>
  <c r="G10" i="8"/>
  <c r="H10" i="8" s="1"/>
  <c r="D36" i="8"/>
  <c r="C36" i="8"/>
  <c r="E16" i="8"/>
  <c r="F16" i="8" s="1"/>
  <c r="D33" i="8" s="1"/>
  <c r="G25" i="5"/>
  <c r="I25" i="5" s="1"/>
  <c r="H25" i="5"/>
  <c r="E17" i="5"/>
  <c r="F17" i="5" s="1"/>
  <c r="E21" i="5"/>
  <c r="F21" i="5" s="1"/>
  <c r="E10" i="5"/>
  <c r="F10" i="5" s="1"/>
  <c r="E14" i="5"/>
  <c r="F14" i="5" s="1"/>
  <c r="E18" i="5"/>
  <c r="F18" i="5" s="1"/>
  <c r="E22" i="5"/>
  <c r="F22" i="5" s="1"/>
  <c r="B30" i="5"/>
  <c r="E12" i="5"/>
  <c r="F12" i="5" s="1"/>
  <c r="E11" i="5"/>
  <c r="F11" i="5" s="1"/>
  <c r="E15" i="5"/>
  <c r="F15" i="5" s="1"/>
  <c r="E19" i="5"/>
  <c r="F19" i="5" s="1"/>
  <c r="E23" i="5"/>
  <c r="F23" i="5" s="1"/>
  <c r="E16" i="5"/>
  <c r="F16" i="5" s="1"/>
  <c r="E20" i="5"/>
  <c r="F20" i="5" s="1"/>
  <c r="E24" i="5"/>
  <c r="F24" i="5" s="1"/>
  <c r="E13" i="5"/>
  <c r="F13" i="5" s="1"/>
  <c r="H9" i="14" l="1"/>
  <c r="J9" i="14" s="1"/>
  <c r="I9" i="14"/>
  <c r="E10" i="14"/>
  <c r="F10" i="14" s="1"/>
  <c r="G29" i="12"/>
  <c r="I29" i="12" s="1"/>
  <c r="G19" i="12"/>
  <c r="I19" i="12" s="1"/>
  <c r="H19" i="12"/>
  <c r="H16" i="12"/>
  <c r="G16" i="12"/>
  <c r="I16" i="12" s="1"/>
  <c r="G22" i="12"/>
  <c r="I22" i="12" s="1"/>
  <c r="H22" i="12"/>
  <c r="G25" i="12"/>
  <c r="I25" i="12" s="1"/>
  <c r="H25" i="12"/>
  <c r="H24" i="12"/>
  <c r="G24" i="12"/>
  <c r="I24" i="12" s="1"/>
  <c r="H15" i="12"/>
  <c r="G15" i="12"/>
  <c r="I15" i="12" s="1"/>
  <c r="H12" i="12"/>
  <c r="G12" i="12"/>
  <c r="I12" i="12" s="1"/>
  <c r="G18" i="12"/>
  <c r="I18" i="12" s="1"/>
  <c r="H18" i="12"/>
  <c r="H21" i="12"/>
  <c r="G21" i="12"/>
  <c r="I21" i="12" s="1"/>
  <c r="H28" i="12"/>
  <c r="G28" i="12"/>
  <c r="I28" i="12" s="1"/>
  <c r="H17" i="12"/>
  <c r="G17" i="12"/>
  <c r="I17" i="12" s="1"/>
  <c r="G11" i="12"/>
  <c r="I11" i="12" s="1"/>
  <c r="H11" i="12"/>
  <c r="H14" i="12"/>
  <c r="G14" i="12"/>
  <c r="I14" i="12" s="1"/>
  <c r="G27" i="12"/>
  <c r="I27" i="12" s="1"/>
  <c r="H27" i="12"/>
  <c r="G13" i="12"/>
  <c r="I13" i="12" s="1"/>
  <c r="H13" i="12"/>
  <c r="H23" i="12"/>
  <c r="G23" i="12"/>
  <c r="I23" i="12" s="1"/>
  <c r="H20" i="12"/>
  <c r="G20" i="12"/>
  <c r="I20" i="12" s="1"/>
  <c r="H26" i="12"/>
  <c r="G26" i="12"/>
  <c r="I26" i="12" s="1"/>
  <c r="G10" i="12"/>
  <c r="F31" i="12"/>
  <c r="F30" i="12"/>
  <c r="H10" i="12"/>
  <c r="G23" i="8"/>
  <c r="H23" i="8" s="1"/>
  <c r="G19" i="8"/>
  <c r="H19" i="8" s="1"/>
  <c r="G15" i="8"/>
  <c r="H15" i="8" s="1"/>
  <c r="G11" i="8"/>
  <c r="H11" i="8" s="1"/>
  <c r="H28" i="8" s="1"/>
  <c r="C41" i="8"/>
  <c r="C42" i="8"/>
  <c r="G24" i="8"/>
  <c r="H24" i="8" s="1"/>
  <c r="G20" i="8"/>
  <c r="H20" i="8" s="1"/>
  <c r="G16" i="8"/>
  <c r="H16" i="8" s="1"/>
  <c r="G12" i="8"/>
  <c r="H12" i="8" s="1"/>
  <c r="H27" i="8"/>
  <c r="G22" i="5"/>
  <c r="I22" i="5" s="1"/>
  <c r="H22" i="5"/>
  <c r="H21" i="5"/>
  <c r="G21" i="5"/>
  <c r="I21" i="5" s="1"/>
  <c r="H16" i="5"/>
  <c r="G16" i="5"/>
  <c r="I16" i="5" s="1"/>
  <c r="H11" i="5"/>
  <c r="G11" i="5"/>
  <c r="I11" i="5" s="1"/>
  <c r="H18" i="5"/>
  <c r="G18" i="5"/>
  <c r="I18" i="5" s="1"/>
  <c r="H17" i="5"/>
  <c r="G17" i="5"/>
  <c r="I17" i="5" s="1"/>
  <c r="H20" i="5"/>
  <c r="G20" i="5"/>
  <c r="I20" i="5" s="1"/>
  <c r="G13" i="5"/>
  <c r="I13" i="5" s="1"/>
  <c r="H13" i="5"/>
  <c r="H12" i="5"/>
  <c r="G12" i="5"/>
  <c r="I12" i="5" s="1"/>
  <c r="G14" i="5"/>
  <c r="I14" i="5" s="1"/>
  <c r="H14" i="5"/>
  <c r="G15" i="5"/>
  <c r="I15" i="5" s="1"/>
  <c r="H15" i="5"/>
  <c r="H23" i="5"/>
  <c r="G23" i="5"/>
  <c r="I23" i="5" s="1"/>
  <c r="H24" i="5"/>
  <c r="G24" i="5"/>
  <c r="I24" i="5" s="1"/>
  <c r="H19" i="5"/>
  <c r="G19" i="5"/>
  <c r="I19" i="5" s="1"/>
  <c r="F27" i="5"/>
  <c r="F26" i="5"/>
  <c r="H10" i="5"/>
  <c r="G10" i="5"/>
  <c r="D11" i="14" l="1"/>
  <c r="E11" i="14" s="1"/>
  <c r="F11" i="14" s="1"/>
  <c r="G10" i="14"/>
  <c r="H31" i="12"/>
  <c r="H30" i="12"/>
  <c r="G31" i="12"/>
  <c r="G30" i="12"/>
  <c r="I10" i="12"/>
  <c r="B40" i="8"/>
  <c r="D40" i="8" s="1"/>
  <c r="I15" i="8"/>
  <c r="J15" i="8" s="1"/>
  <c r="K15" i="8" s="1"/>
  <c r="I23" i="8"/>
  <c r="J23" i="8" s="1"/>
  <c r="K23" i="8" s="1"/>
  <c r="I10" i="8"/>
  <c r="J10" i="8" s="1"/>
  <c r="K10" i="8" s="1"/>
  <c r="I18" i="8"/>
  <c r="J18" i="8" s="1"/>
  <c r="K18" i="8" s="1"/>
  <c r="B43" i="8"/>
  <c r="D43" i="8" s="1"/>
  <c r="I25" i="8"/>
  <c r="J25" i="8" s="1"/>
  <c r="K25" i="8" s="1"/>
  <c r="I12" i="8"/>
  <c r="J12" i="8" s="1"/>
  <c r="K12" i="8" s="1"/>
  <c r="I20" i="8"/>
  <c r="J20" i="8" s="1"/>
  <c r="K20" i="8" s="1"/>
  <c r="I19" i="8"/>
  <c r="J19" i="8" s="1"/>
  <c r="K19" i="8" s="1"/>
  <c r="B42" i="8"/>
  <c r="D42" i="8" s="1"/>
  <c r="I14" i="8"/>
  <c r="J14" i="8" s="1"/>
  <c r="K14" i="8" s="1"/>
  <c r="I17" i="8"/>
  <c r="J17" i="8" s="1"/>
  <c r="K17" i="8" s="1"/>
  <c r="I13" i="8"/>
  <c r="J13" i="8" s="1"/>
  <c r="K13" i="8" s="1"/>
  <c r="I21" i="8"/>
  <c r="J21" i="8" s="1"/>
  <c r="K21" i="8" s="1"/>
  <c r="B41" i="8"/>
  <c r="D41" i="8" s="1"/>
  <c r="I16" i="8"/>
  <c r="J16" i="8" s="1"/>
  <c r="K16" i="8" s="1"/>
  <c r="I24" i="8"/>
  <c r="J24" i="8" s="1"/>
  <c r="K24" i="8" s="1"/>
  <c r="I11" i="8"/>
  <c r="J11" i="8" s="1"/>
  <c r="K11" i="8" s="1"/>
  <c r="I22" i="8"/>
  <c r="J22" i="8" s="1"/>
  <c r="K22" i="8" s="1"/>
  <c r="G26" i="5"/>
  <c r="G27" i="5"/>
  <c r="I10" i="5"/>
  <c r="H27" i="5"/>
  <c r="H26" i="5"/>
  <c r="H10" i="14" l="1"/>
  <c r="J10" i="14" s="1"/>
  <c r="I10" i="14"/>
  <c r="D12" i="14"/>
  <c r="G11" i="14"/>
  <c r="I31" i="12"/>
  <c r="I30" i="12"/>
  <c r="M22" i="8"/>
  <c r="L22" i="8"/>
  <c r="N22" i="8" s="1"/>
  <c r="L14" i="8"/>
  <c r="N14" i="8" s="1"/>
  <c r="M14" i="8"/>
  <c r="M12" i="8"/>
  <c r="L12" i="8"/>
  <c r="N12" i="8" s="1"/>
  <c r="M10" i="8"/>
  <c r="K27" i="8"/>
  <c r="L10" i="8"/>
  <c r="K26" i="8"/>
  <c r="L11" i="8"/>
  <c r="N11" i="8" s="1"/>
  <c r="M11" i="8"/>
  <c r="L21" i="8"/>
  <c r="N21" i="8" s="1"/>
  <c r="M21" i="8"/>
  <c r="M25" i="8"/>
  <c r="L25" i="8"/>
  <c r="N25" i="8" s="1"/>
  <c r="L23" i="8"/>
  <c r="N23" i="8" s="1"/>
  <c r="M23" i="8"/>
  <c r="M24" i="8"/>
  <c r="L24" i="8"/>
  <c r="N24" i="8" s="1"/>
  <c r="M13" i="8"/>
  <c r="L13" i="8"/>
  <c r="N13" i="8" s="1"/>
  <c r="M19" i="8"/>
  <c r="L19" i="8"/>
  <c r="N19" i="8" s="1"/>
  <c r="M15" i="8"/>
  <c r="L15" i="8"/>
  <c r="N15" i="8" s="1"/>
  <c r="L16" i="8"/>
  <c r="N16" i="8" s="1"/>
  <c r="M16" i="8"/>
  <c r="M17" i="8"/>
  <c r="L17" i="8"/>
  <c r="N17" i="8" s="1"/>
  <c r="M20" i="8"/>
  <c r="L20" i="8"/>
  <c r="N20" i="8" s="1"/>
  <c r="M18" i="8"/>
  <c r="L18" i="8"/>
  <c r="N18" i="8" s="1"/>
  <c r="I27" i="5"/>
  <c r="I26" i="5"/>
  <c r="I11" i="14" l="1"/>
  <c r="H11" i="14"/>
  <c r="J11" i="14" s="1"/>
  <c r="E12" i="14"/>
  <c r="F12" i="14" s="1"/>
  <c r="M26" i="8"/>
  <c r="M29" i="8" s="1"/>
  <c r="M27" i="8"/>
  <c r="L27" i="8"/>
  <c r="L26" i="8"/>
  <c r="N10" i="8"/>
  <c r="D13" i="14" l="1"/>
  <c r="G12" i="14"/>
  <c r="N27" i="8"/>
  <c r="N26" i="8"/>
  <c r="H12" i="14" l="1"/>
  <c r="J12" i="14" s="1"/>
  <c r="I12" i="14"/>
  <c r="E13" i="14"/>
  <c r="F13" i="14" s="1"/>
  <c r="D14" i="14" l="1"/>
  <c r="G13" i="14"/>
  <c r="I13" i="14" l="1"/>
  <c r="H13" i="14"/>
  <c r="J13" i="14" s="1"/>
  <c r="E14" i="14"/>
  <c r="F14" i="14" s="1"/>
  <c r="D15" i="14" l="1"/>
  <c r="E15" i="14" s="1"/>
  <c r="F15" i="14" s="1"/>
  <c r="G14" i="14"/>
  <c r="I14" i="14" l="1"/>
  <c r="H14" i="14"/>
  <c r="J14" i="14" s="1"/>
  <c r="D16" i="14"/>
  <c r="E16" i="14" s="1"/>
  <c r="F16" i="14" s="1"/>
  <c r="G15" i="14"/>
  <c r="I15" i="14" l="1"/>
  <c r="H15" i="14"/>
  <c r="J15" i="14" s="1"/>
  <c r="D17" i="14"/>
  <c r="E17" i="14" s="1"/>
  <c r="F17" i="14" s="1"/>
  <c r="G16" i="14"/>
  <c r="H16" i="14" l="1"/>
  <c r="J16" i="14" s="1"/>
  <c r="I16" i="14"/>
  <c r="D18" i="14"/>
  <c r="E18" i="14" s="1"/>
  <c r="F18" i="14" s="1"/>
  <c r="G17" i="14"/>
  <c r="I17" i="14" l="1"/>
  <c r="H17" i="14"/>
  <c r="J17" i="14" s="1"/>
  <c r="D19" i="14"/>
  <c r="E19" i="14" s="1"/>
  <c r="F19" i="14" s="1"/>
  <c r="G18" i="14"/>
  <c r="I18" i="14" l="1"/>
  <c r="H18" i="14"/>
  <c r="J18" i="14" s="1"/>
  <c r="D20" i="14"/>
  <c r="E20" i="14" s="1"/>
  <c r="F20" i="14" s="1"/>
  <c r="G19" i="14"/>
  <c r="H19" i="14" l="1"/>
  <c r="J19" i="14" s="1"/>
  <c r="I19" i="14"/>
  <c r="D21" i="14"/>
  <c r="E21" i="14" s="1"/>
  <c r="F21" i="14" s="1"/>
  <c r="G20" i="14"/>
  <c r="H20" i="14" l="1"/>
  <c r="J20" i="14" s="1"/>
  <c r="I20" i="14"/>
  <c r="D22" i="14"/>
  <c r="E22" i="14" s="1"/>
  <c r="F22" i="14" s="1"/>
  <c r="G21" i="14"/>
  <c r="H21" i="14" l="1"/>
  <c r="J21" i="14" s="1"/>
  <c r="I21" i="14"/>
  <c r="D23" i="14"/>
  <c r="E23" i="14" s="1"/>
  <c r="F23" i="14" s="1"/>
  <c r="G22" i="14"/>
  <c r="I22" i="14" l="1"/>
  <c r="H22" i="14"/>
  <c r="J22" i="14" s="1"/>
  <c r="D24" i="14"/>
  <c r="G23" i="14"/>
  <c r="I23" i="14" l="1"/>
  <c r="H23" i="14"/>
  <c r="J23" i="14" s="1"/>
  <c r="E24" i="14"/>
  <c r="F24" i="14" s="1"/>
  <c r="D25" i="14" l="1"/>
  <c r="E25" i="14" s="1"/>
  <c r="F25" i="14" s="1"/>
  <c r="G24" i="14"/>
  <c r="I24" i="14" l="1"/>
  <c r="H24" i="14"/>
  <c r="D26" i="14"/>
  <c r="G25" i="14"/>
  <c r="H25" i="14" l="1"/>
  <c r="J25" i="14" s="1"/>
  <c r="I25" i="14"/>
  <c r="J24" i="14"/>
  <c r="E26" i="14"/>
  <c r="F26" i="14" s="1"/>
  <c r="D27" i="14" l="1"/>
  <c r="E27" i="14" s="1"/>
  <c r="F27" i="14" s="1"/>
  <c r="G26" i="14"/>
  <c r="I26" i="14" l="1"/>
  <c r="H26" i="14"/>
  <c r="D28" i="14"/>
  <c r="E28" i="14" s="1"/>
  <c r="F28" i="14" s="1"/>
  <c r="G27" i="14"/>
  <c r="H27" i="14" l="1"/>
  <c r="J27" i="14" s="1"/>
  <c r="I27" i="14"/>
  <c r="J26" i="14"/>
  <c r="D29" i="14"/>
  <c r="E29" i="14" s="1"/>
  <c r="F29" i="14" s="1"/>
  <c r="G28" i="14"/>
  <c r="G31" i="14" s="1"/>
  <c r="I28" i="14" l="1"/>
  <c r="H28" i="14"/>
  <c r="G30" i="14"/>
  <c r="J28" i="14" l="1"/>
  <c r="H30" i="14"/>
  <c r="H31" i="14"/>
  <c r="I34" i="14"/>
  <c r="I31" i="14"/>
  <c r="I30" i="14"/>
  <c r="I33" i="14" s="1"/>
  <c r="J30" i="14" l="1"/>
  <c r="J3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8" authorId="0" shapeId="0" xr:uid="{00000000-0006-0000-0000-000002000000}">
      <text>
        <r>
          <rPr>
            <sz val="9"/>
            <color indexed="81"/>
            <rFont val="Tahoma"/>
            <family val="2"/>
          </rPr>
          <t>Forecasting: Submodel =  18; Problem size @  16 by 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8" authorId="0" shapeId="0" xr:uid="{00000000-0006-0000-0200-000002000000}">
      <text>
        <r>
          <rPr>
            <sz val="9"/>
            <color indexed="81"/>
            <rFont val="Tahoma"/>
            <family val="2"/>
          </rPr>
          <t>Forecasting: Submodel =  15; Problem size @  16 by 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" authorId="0" shapeId="0" xr:uid="{00000000-0006-0000-0400-000001000000}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8" authorId="0" shapeId="0" xr:uid="{00000000-0006-0000-0400-000002000000}">
      <text>
        <r>
          <rPr>
            <sz val="9"/>
            <color indexed="81"/>
            <rFont val="Tahoma"/>
            <family val="2"/>
          </rPr>
          <t>Forecasting: Submodel =  15; Problem size @  20 by 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7" authorId="0" shapeId="0" xr:uid="{00000000-0006-0000-0600-000001000000}">
      <text>
        <r>
          <rPr>
            <sz val="9"/>
            <color indexed="81"/>
            <rFont val="Tahoma"/>
            <family val="2"/>
          </rPr>
          <t>Forecasting: Submodel =  14; Problem size @  20 by 1</t>
        </r>
      </text>
    </comment>
  </commentList>
</comments>
</file>

<file path=xl/sharedStrings.xml><?xml version="1.0" encoding="utf-8"?>
<sst xmlns="http://schemas.openxmlformats.org/spreadsheetml/2006/main" count="219" uniqueCount="121">
  <si>
    <t>Forecasting</t>
  </si>
  <si>
    <t>Decomposition, multiplicative</t>
  </si>
  <si>
    <t xml:space="preserve"> 4 seasons</t>
  </si>
  <si>
    <t>Data</t>
  </si>
  <si>
    <t>Period</t>
  </si>
  <si>
    <t>Demand (y)</t>
  </si>
  <si>
    <t>Average</t>
  </si>
  <si>
    <t>Ratio</t>
  </si>
  <si>
    <t>Seasonal</t>
  </si>
  <si>
    <t>Smoothed</t>
  </si>
  <si>
    <t>Unadjusted</t>
  </si>
  <si>
    <t>Adjusted</t>
  </si>
  <si>
    <t>Error</t>
  </si>
  <si>
    <t>|Error|</t>
  </si>
  <si>
    <t>Error^2</t>
  </si>
  <si>
    <t>Abs Pct Err</t>
  </si>
  <si>
    <t>Time (x)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</si>
  <si>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</si>
  <si>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</si>
  <si>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</si>
  <si>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</si>
  <si>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</si>
  <si>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</si>
  <si>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</si>
  <si>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</si>
  <si>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</si>
  <si>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</si>
  <si>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</si>
  <si>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</si>
  <si>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</si>
  <si>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</si>
  <si>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</si>
  <si>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</si>
  <si>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Ratios</t>
  </si>
  <si>
    <t>Season 1</t>
  </si>
  <si>
    <t>Season 2</t>
  </si>
  <si>
    <t>Season 3</t>
  </si>
  <si>
    <t>Season 4</t>
  </si>
  <si>
    <t>Intercept</t>
  </si>
  <si>
    <t>Slope</t>
  </si>
  <si>
    <t>Forecasts</t>
  </si>
  <si>
    <t>Total</t>
  </si>
  <si>
    <t>Bias</t>
  </si>
  <si>
    <t>MAD</t>
  </si>
  <si>
    <t>MSE</t>
  </si>
  <si>
    <t>MAPE</t>
  </si>
  <si>
    <t>SE</t>
  </si>
  <si>
    <t>Forecasts and Error Analysis</t>
  </si>
  <si>
    <t>Simple linear regression</t>
  </si>
  <si>
    <t>Forecast</t>
  </si>
  <si>
    <t>Absolute</t>
  </si>
  <si>
    <t>Squared</t>
  </si>
  <si>
    <t>Period(x)</t>
  </si>
  <si>
    <t>Correlation</t>
  </si>
  <si>
    <t>Coefficient of determination</t>
  </si>
  <si>
    <t>Quarter 1</t>
  </si>
  <si>
    <t>Quarter 2</t>
  </si>
  <si>
    <t>Quarter 3</t>
  </si>
  <si>
    <t>Quarter 4</t>
  </si>
  <si>
    <t>Quarter 5</t>
  </si>
  <si>
    <t>Quarter 6</t>
  </si>
  <si>
    <t>Quarter 7</t>
  </si>
  <si>
    <t>Quarter 8</t>
  </si>
  <si>
    <t>Quarter 9</t>
  </si>
  <si>
    <t>Quarter 10</t>
  </si>
  <si>
    <t>Quarter 11</t>
  </si>
  <si>
    <t>Quarter 12</t>
  </si>
  <si>
    <t>Quarter 13</t>
  </si>
  <si>
    <t>Quarter 14</t>
  </si>
  <si>
    <t>Quarter 15</t>
  </si>
  <si>
    <t>Quarter 16</t>
  </si>
  <si>
    <t>Trend Projection</t>
  </si>
  <si>
    <t>CMAwG</t>
  </si>
  <si>
    <t>Alpha</t>
  </si>
  <si>
    <t>Demand</t>
  </si>
  <si>
    <t>Next period</t>
  </si>
  <si>
    <t>YEAR</t>
  </si>
  <si>
    <t>DJIA</t>
  </si>
  <si>
    <t>year 1991</t>
  </si>
  <si>
    <t>year 1992</t>
  </si>
  <si>
    <t>year 1993</t>
  </si>
  <si>
    <t>year 1994</t>
  </si>
  <si>
    <t>year 1995</t>
  </si>
  <si>
    <t>year 1996</t>
  </si>
  <si>
    <t>year 1997</t>
  </si>
  <si>
    <t>year 1998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</si>
  <si>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</si>
  <si>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</si>
  <si>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</si>
  <si>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</si>
  <si>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</si>
  <si>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</si>
  <si>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</si>
  <si>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</si>
  <si>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</si>
  <si>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</si>
  <si>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</si>
  <si>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</si>
  <si>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Trend Projection 2</t>
  </si>
  <si>
    <t>Trend adjusted exponential smoothing</t>
  </si>
  <si>
    <t>Beta</t>
  </si>
  <si>
    <r>
      <t>Smoothed Forecast, F</t>
    </r>
    <r>
      <rPr>
        <vertAlign val="subscript"/>
        <sz val="10"/>
        <color indexed="63"/>
        <rFont val="Calibri"/>
        <family val="2"/>
        <scheme val="minor"/>
      </rPr>
      <t>t</t>
    </r>
  </si>
  <si>
    <r>
      <t>Smoothed Trend, T</t>
    </r>
    <r>
      <rPr>
        <vertAlign val="subscript"/>
        <sz val="10"/>
        <color indexed="63"/>
        <rFont val="Calibri"/>
        <family val="2"/>
        <scheme val="minor"/>
      </rPr>
      <t>t</t>
    </r>
  </si>
  <si>
    <r>
      <t>Forecast Including Trend, FIT</t>
    </r>
    <r>
      <rPr>
        <vertAlign val="subscript"/>
        <sz val="10"/>
        <color indexed="63"/>
        <rFont val="Calibri"/>
        <family val="2"/>
        <scheme val="minor"/>
      </rPr>
      <t>t</t>
    </r>
  </si>
  <si>
    <r>
      <t>F</t>
    </r>
    <r>
      <rPr>
        <vertAlign val="subscript"/>
        <sz val="11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= (1-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)FIT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αY</t>
    </r>
    <r>
      <rPr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</si>
  <si>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vertAlign val="subscript"/>
        <sz val="11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= T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1"/>
        <rFont val="Calibri"/>
        <family val="2"/>
      </rPr>
      <t>β</t>
    </r>
    <r>
      <rPr>
        <sz val="11"/>
        <color theme="1"/>
        <rFont val="Arial"/>
        <family val="2"/>
      </rPr>
      <t>(F</t>
    </r>
    <r>
      <rPr>
        <vertAlign val="subscript"/>
        <sz val="11"/>
        <color theme="1"/>
        <rFont val="Arial"/>
        <family val="2"/>
      </rPr>
      <t>t+1</t>
    </r>
    <r>
      <rPr>
        <sz val="11"/>
        <color theme="1"/>
        <rFont val="Arial"/>
        <family val="2"/>
      </rPr>
      <t xml:space="preserve"> - FIT</t>
    </r>
    <r>
      <rPr>
        <vertAlign val="subscript"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)</t>
    </r>
  </si>
  <si>
    <r>
      <t>FIT</t>
    </r>
    <r>
      <rPr>
        <vertAlign val="subscript"/>
        <sz val="11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= F</t>
    </r>
    <r>
      <rPr>
        <vertAlign val="subscript"/>
        <sz val="11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+ T</t>
    </r>
    <r>
      <rPr>
        <vertAlign val="subscript"/>
        <sz val="11"/>
        <color theme="1"/>
        <rFont val="Calibri"/>
        <family val="2"/>
        <scheme val="minor"/>
      </rPr>
      <t>t+1</t>
    </r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</si>
  <si>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</si>
  <si>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Error</t>
    </r>
    <r>
      <rPr>
        <vertAlign val="subscript"/>
        <sz val="11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-  FIT</t>
    </r>
    <r>
      <rPr>
        <vertAlign val="subscript"/>
        <sz val="11"/>
        <color theme="1"/>
        <rFont val="Calibri"/>
        <family val="2"/>
        <scheme val="minor"/>
      </rPr>
      <t>t+1</t>
    </r>
  </si>
  <si>
    <t>0 + 0.2 (2634 - 2634) = 0</t>
  </si>
  <si>
    <t>2634 + 0 = 2634</t>
  </si>
  <si>
    <t>(1 - 0.8) 2634 + 0.8 (2634) = 2634</t>
  </si>
  <si>
    <t>3169 - 2634 = 535</t>
  </si>
  <si>
    <r>
      <t>535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286225</t>
    </r>
  </si>
  <si>
    <t>0.2 (2634) + 0.8 (3169) = 3062</t>
  </si>
  <si>
    <r>
      <t>Y</t>
    </r>
    <r>
      <rPr>
        <vertAlign val="subscript"/>
        <sz val="11"/>
        <color theme="1"/>
        <rFont val="Calibri"/>
        <family val="2"/>
        <scheme val="minor"/>
      </rPr>
      <t>t+1</t>
    </r>
  </si>
  <si>
    <t>t</t>
  </si>
  <si>
    <t>0 + 0.2 (3062 - 2634) = 85.6</t>
  </si>
  <si>
    <t>3062 + 85.6 = 3147.6</t>
  </si>
  <si>
    <t xml:space="preserve"> 3301 - 3147.6 = 153.4</t>
  </si>
  <si>
    <r>
      <t>153.4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23531.56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</si>
</sst>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.00%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1"/>
      <color rgb="FFFF66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66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63"/>
      <name val="Calibri"/>
      <family val="2"/>
      <scheme val="minor"/>
    </font>
    <font>
      <vertAlign val="subscript"/>
      <sz val="10"/>
      <color indexed="63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rgb="FF160000"/>
      </patternFill>
    </fill>
    <fill>
      <patternFill patternType="solid">
        <fgColor rgb="FFFF6600"/>
        <bgColor indexed="64"/>
      </patternFill>
    </fill>
    <fill>
      <patternFill patternType="solid">
        <fgColor rgb="FFF2F2F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164" fontId="0" fillId="0" borderId="0" xfId="0" applyNumberFormat="1" applyFont="1"/>
    <xf numFmtId="0" fontId="0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3" borderId="9" xfId="0" applyFont="1" applyFill="1" applyBorder="1"/>
    <xf numFmtId="0" fontId="1" fillId="0" borderId="0" xfId="0" applyFont="1"/>
    <xf numFmtId="0" fontId="9" fillId="0" borderId="0" xfId="0" applyFont="1"/>
    <xf numFmtId="0" fontId="0" fillId="4" borderId="0" xfId="0" applyFont="1" applyFill="1"/>
    <xf numFmtId="0" fontId="8" fillId="5" borderId="1" xfId="0" applyFont="1" applyFill="1" applyBorder="1"/>
    <xf numFmtId="0" fontId="8" fillId="5" borderId="2" xfId="0" applyFont="1" applyFill="1" applyBorder="1"/>
    <xf numFmtId="0" fontId="8" fillId="5" borderId="12" xfId="0" applyFont="1" applyFill="1" applyBorder="1"/>
    <xf numFmtId="0" fontId="8" fillId="5" borderId="13" xfId="0" applyFont="1" applyFill="1" applyBorder="1"/>
    <xf numFmtId="0" fontId="8" fillId="5" borderId="14" xfId="0" applyFont="1" applyFill="1" applyBorder="1"/>
    <xf numFmtId="164" fontId="8" fillId="5" borderId="18" xfId="0" applyNumberFormat="1" applyFont="1" applyFill="1" applyBorder="1"/>
    <xf numFmtId="164" fontId="8" fillId="5" borderId="19" xfId="0" applyNumberFormat="1" applyFont="1" applyFill="1" applyBorder="1"/>
    <xf numFmtId="0" fontId="8" fillId="5" borderId="19" xfId="0" applyFont="1" applyFill="1" applyBorder="1"/>
    <xf numFmtId="0" fontId="1" fillId="5" borderId="2" xfId="0" applyFont="1" applyFill="1" applyBorder="1"/>
    <xf numFmtId="0" fontId="8" fillId="5" borderId="21" xfId="0" applyFont="1" applyFill="1" applyBorder="1"/>
    <xf numFmtId="164" fontId="8" fillId="5" borderId="22" xfId="0" applyNumberFormat="1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5" borderId="17" xfId="0" applyFont="1" applyFill="1" applyBorder="1" applyAlignment="1">
      <alignment horizontal="right"/>
    </xf>
    <xf numFmtId="164" fontId="1" fillId="5" borderId="19" xfId="0" applyNumberFormat="1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1" fillId="5" borderId="18" xfId="0" applyFont="1" applyFill="1" applyBorder="1"/>
    <xf numFmtId="0" fontId="4" fillId="2" borderId="2" xfId="0" applyFont="1" applyFill="1" applyBorder="1"/>
    <xf numFmtId="0" fontId="10" fillId="0" borderId="0" xfId="0" applyFont="1"/>
    <xf numFmtId="0" fontId="8" fillId="5" borderId="23" xfId="0" applyFont="1" applyFill="1" applyBorder="1"/>
    <xf numFmtId="0" fontId="1" fillId="5" borderId="15" xfId="0" applyFont="1" applyFill="1" applyBorder="1"/>
    <xf numFmtId="0" fontId="1" fillId="5" borderId="25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right"/>
    </xf>
    <xf numFmtId="3" fontId="0" fillId="0" borderId="0" xfId="0" applyNumberFormat="1" applyFont="1"/>
    <xf numFmtId="0" fontId="1" fillId="5" borderId="23" xfId="0" applyFont="1" applyFill="1" applyBorder="1" applyAlignment="1">
      <alignment horizontal="right"/>
    </xf>
    <xf numFmtId="0" fontId="1" fillId="5" borderId="23" xfId="0" applyFont="1" applyFill="1" applyBorder="1"/>
    <xf numFmtId="0" fontId="1" fillId="5" borderId="27" xfId="0" applyFont="1" applyFill="1" applyBorder="1"/>
    <xf numFmtId="0" fontId="0" fillId="0" borderId="0" xfId="0" applyFont="1" applyAlignment="1">
      <alignment wrapText="1"/>
    </xf>
    <xf numFmtId="0" fontId="8" fillId="5" borderId="14" xfId="0" applyFont="1" applyFill="1" applyBorder="1" applyAlignment="1">
      <alignment wrapText="1"/>
    </xf>
    <xf numFmtId="164" fontId="8" fillId="5" borderId="18" xfId="0" applyNumberFormat="1" applyFont="1" applyFill="1" applyBorder="1" applyAlignment="1">
      <alignment wrapText="1"/>
    </xf>
    <xf numFmtId="0" fontId="8" fillId="5" borderId="10" xfId="0" applyFont="1" applyFill="1" applyBorder="1"/>
    <xf numFmtId="0" fontId="8" fillId="5" borderId="28" xfId="0" applyFont="1" applyFill="1" applyBorder="1" applyAlignment="1">
      <alignment horizontal="right"/>
    </xf>
    <xf numFmtId="0" fontId="8" fillId="5" borderId="11" xfId="0" applyFont="1" applyFill="1" applyBorder="1" applyAlignment="1">
      <alignment horizontal="right"/>
    </xf>
    <xf numFmtId="0" fontId="1" fillId="5" borderId="24" xfId="0" applyFont="1" applyFill="1" applyBorder="1"/>
    <xf numFmtId="0" fontId="11" fillId="5" borderId="13" xfId="0" applyFont="1" applyFill="1" applyBorder="1" applyAlignment="1">
      <alignment wrapText="1"/>
    </xf>
    <xf numFmtId="0" fontId="11" fillId="5" borderId="26" xfId="0" applyFont="1" applyFill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Font="1" applyFill="1" applyBorder="1"/>
    <xf numFmtId="0" fontId="0" fillId="0" borderId="2" xfId="0" applyFont="1" applyBorder="1" applyAlignment="1">
      <alignment horizontal="right"/>
    </xf>
    <xf numFmtId="165" fontId="0" fillId="0" borderId="2" xfId="0" applyNumberFormat="1" applyFont="1" applyBorder="1"/>
    <xf numFmtId="2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CMAwG!$B$9</c:f>
              <c:strCache>
                <c:ptCount val="1"/>
                <c:pt idx="0">
                  <c:v>Demand (y)</c:v>
                </c:pt>
              </c:strCache>
            </c:strRef>
          </c:tx>
          <c:val>
            <c:numRef>
              <c:f>CMAwG!$B$10:$B$25</c:f>
              <c:numCache>
                <c:formatCode>General</c:formatCode>
                <c:ptCount val="16"/>
                <c:pt idx="0">
                  <c:v>274</c:v>
                </c:pt>
                <c:pt idx="1">
                  <c:v>172</c:v>
                </c:pt>
                <c:pt idx="2">
                  <c:v>130</c:v>
                </c:pt>
                <c:pt idx="3">
                  <c:v>162</c:v>
                </c:pt>
                <c:pt idx="4">
                  <c:v>282</c:v>
                </c:pt>
                <c:pt idx="5">
                  <c:v>178</c:v>
                </c:pt>
                <c:pt idx="6">
                  <c:v>136</c:v>
                </c:pt>
                <c:pt idx="7">
                  <c:v>168</c:v>
                </c:pt>
                <c:pt idx="8">
                  <c:v>282</c:v>
                </c:pt>
                <c:pt idx="9">
                  <c:v>182</c:v>
                </c:pt>
                <c:pt idx="10">
                  <c:v>134</c:v>
                </c:pt>
                <c:pt idx="11">
                  <c:v>170</c:v>
                </c:pt>
                <c:pt idx="12">
                  <c:v>296</c:v>
                </c:pt>
                <c:pt idx="13">
                  <c:v>210</c:v>
                </c:pt>
                <c:pt idx="14">
                  <c:v>158</c:v>
                </c:pt>
                <c:pt idx="1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F-4D3D-9BB6-ECB8282741CE}"/>
            </c:ext>
          </c:extLst>
        </c:ser>
        <c:ser>
          <c:idx val="2"/>
          <c:order val="1"/>
          <c:tx>
            <c:strRef>
              <c:f>CMAwG!$H$9</c:f>
              <c:strCache>
                <c:ptCount val="1"/>
                <c:pt idx="0">
                  <c:v>Smoothed</c:v>
                </c:pt>
              </c:strCache>
            </c:strRef>
          </c:tx>
          <c:val>
            <c:numRef>
              <c:f>CMAwG!$H$10:$H$25</c:f>
              <c:numCache>
                <c:formatCode>General</c:formatCode>
                <c:ptCount val="16"/>
                <c:pt idx="0">
                  <c:v>186.60214921077548</c:v>
                </c:pt>
                <c:pt idx="1">
                  <c:v>178.87081058962502</c:v>
                </c:pt>
                <c:pt idx="2">
                  <c:v>185.32039926211499</c:v>
                </c:pt>
                <c:pt idx="3">
                  <c:v>187.15994293791766</c:v>
                </c:pt>
                <c:pt idx="4">
                  <c:v>192.05038714393683</c:v>
                </c:pt>
                <c:pt idx="5">
                  <c:v>185.11049002879798</c:v>
                </c:pt>
                <c:pt idx="6">
                  <c:v>193.87364845882797</c:v>
                </c:pt>
                <c:pt idx="7">
                  <c:v>194.09179267635906</c:v>
                </c:pt>
                <c:pt idx="8">
                  <c:v>192.05038714393683</c:v>
                </c:pt>
                <c:pt idx="9">
                  <c:v>189.27027632157996</c:v>
                </c:pt>
                <c:pt idx="10">
                  <c:v>191.02256539325697</c:v>
                </c:pt>
                <c:pt idx="11">
                  <c:v>196.40240925583953</c:v>
                </c:pt>
                <c:pt idx="12">
                  <c:v>201.58480352696915</c:v>
                </c:pt>
                <c:pt idx="13">
                  <c:v>218.3887803710538</c:v>
                </c:pt>
                <c:pt idx="14">
                  <c:v>225.23556218010896</c:v>
                </c:pt>
                <c:pt idx="15">
                  <c:v>210.26610873272233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F-4D3D-9BB6-ECB8282741CE}"/>
            </c:ext>
          </c:extLst>
        </c:ser>
        <c:ser>
          <c:idx val="3"/>
          <c:order val="2"/>
          <c:tx>
            <c:strRef>
              <c:f>CMAwG!$I$9</c:f>
              <c:strCache>
                <c:ptCount val="1"/>
                <c:pt idx="0">
                  <c:v>Unadjusted</c:v>
                </c:pt>
              </c:strCache>
            </c:strRef>
          </c:tx>
          <c:val>
            <c:numRef>
              <c:f>CMAwG!$I$10:$I$25</c:f>
              <c:numCache>
                <c:formatCode>General</c:formatCode>
                <c:ptCount val="16"/>
                <c:pt idx="0">
                  <c:v>178.96234703299555</c:v>
                </c:pt>
                <c:pt idx="1">
                  <c:v>181.16153837221134</c:v>
                </c:pt>
                <c:pt idx="2">
                  <c:v>183.3607297114271</c:v>
                </c:pt>
                <c:pt idx="3">
                  <c:v>185.55992105064288</c:v>
                </c:pt>
                <c:pt idx="4">
                  <c:v>187.75911238985867</c:v>
                </c:pt>
                <c:pt idx="5">
                  <c:v>189.95830372907446</c:v>
                </c:pt>
                <c:pt idx="6">
                  <c:v>192.15749506829025</c:v>
                </c:pt>
                <c:pt idx="7">
                  <c:v>194.35668640750603</c:v>
                </c:pt>
                <c:pt idx="8">
                  <c:v>196.55587774672182</c:v>
                </c:pt>
                <c:pt idx="9">
                  <c:v>198.75506908593758</c:v>
                </c:pt>
                <c:pt idx="10">
                  <c:v>200.95426042515336</c:v>
                </c:pt>
                <c:pt idx="11">
                  <c:v>203.15345176436915</c:v>
                </c:pt>
                <c:pt idx="12">
                  <c:v>205.35264310358494</c:v>
                </c:pt>
                <c:pt idx="13">
                  <c:v>207.55183444280073</c:v>
                </c:pt>
                <c:pt idx="14">
                  <c:v>209.75102578201648</c:v>
                </c:pt>
                <c:pt idx="15">
                  <c:v>211.95021712123227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F-4D3D-9BB6-ECB8282741CE}"/>
            </c:ext>
          </c:extLst>
        </c:ser>
        <c:ser>
          <c:idx val="4"/>
          <c:order val="3"/>
          <c:tx>
            <c:strRef>
              <c:f>CMAwG!$J$9</c:f>
              <c:strCache>
                <c:ptCount val="1"/>
                <c:pt idx="0">
                  <c:v>Adjusted</c:v>
                </c:pt>
              </c:strCache>
            </c:strRef>
          </c:tx>
          <c:val>
            <c:numRef>
              <c:f>CMAwG!$J$10:$J$25</c:f>
              <c:numCache>
                <c:formatCode>General</c:formatCode>
                <c:ptCount val="16"/>
                <c:pt idx="0">
                  <c:v>262.78198452930349</c:v>
                </c:pt>
                <c:pt idx="1">
                  <c:v>174.20273602666671</c:v>
                </c:pt>
                <c:pt idx="2">
                  <c:v>128.62531570942119</c:v>
                </c:pt>
                <c:pt idx="3">
                  <c:v>160.61506932696332</c:v>
                </c:pt>
                <c:pt idx="4">
                  <c:v>275.69884383652362</c:v>
                </c:pt>
                <c:pt idx="5">
                  <c:v>182.66159880250422</c:v>
                </c:pt>
                <c:pt idx="6">
                  <c:v>134.79613932595541</c:v>
                </c:pt>
                <c:pt idx="7">
                  <c:v>168.22928402184885</c:v>
                </c:pt>
                <c:pt idx="8">
                  <c:v>288.61570314374387</c:v>
                </c:pt>
                <c:pt idx="9">
                  <c:v>191.12046157834169</c:v>
                </c:pt>
                <c:pt idx="10">
                  <c:v>140.9669629424896</c:v>
                </c:pt>
                <c:pt idx="11">
                  <c:v>175.84349871673436</c:v>
                </c:pt>
                <c:pt idx="12">
                  <c:v>301.53256245096406</c:v>
                </c:pt>
                <c:pt idx="13">
                  <c:v>199.57932435417919</c:v>
                </c:pt>
                <c:pt idx="14">
                  <c:v>147.13778655902379</c:v>
                </c:pt>
                <c:pt idx="15">
                  <c:v>183.45771341161986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F-4D3D-9BB6-ECB82827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2512"/>
        <c:axId val="202914048"/>
      </c:lineChart>
      <c:catAx>
        <c:axId val="2029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914048"/>
        <c:crosses val="autoZero"/>
        <c:auto val="1"/>
        <c:lblAlgn val="ctr"/>
        <c:lblOffset val="100"/>
        <c:noMultiLvlLbl val="0"/>
      </c:catAx>
      <c:valAx>
        <c:axId val="20291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9125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numRef>
              <c:f>'Trend Projection'!$C$10:$C$25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'Trend Projection'!$B$10:$B$25</c:f>
              <c:numCache>
                <c:formatCode>General</c:formatCode>
                <c:ptCount val="16"/>
                <c:pt idx="0">
                  <c:v>274</c:v>
                </c:pt>
                <c:pt idx="1">
                  <c:v>172</c:v>
                </c:pt>
                <c:pt idx="2">
                  <c:v>130</c:v>
                </c:pt>
                <c:pt idx="3">
                  <c:v>162</c:v>
                </c:pt>
                <c:pt idx="4">
                  <c:v>282</c:v>
                </c:pt>
                <c:pt idx="5">
                  <c:v>178</c:v>
                </c:pt>
                <c:pt idx="6">
                  <c:v>136</c:v>
                </c:pt>
                <c:pt idx="7">
                  <c:v>168</c:v>
                </c:pt>
                <c:pt idx="8">
                  <c:v>282</c:v>
                </c:pt>
                <c:pt idx="9">
                  <c:v>182</c:v>
                </c:pt>
                <c:pt idx="10">
                  <c:v>134</c:v>
                </c:pt>
                <c:pt idx="11">
                  <c:v>170</c:v>
                </c:pt>
                <c:pt idx="12">
                  <c:v>296</c:v>
                </c:pt>
                <c:pt idx="13">
                  <c:v>210</c:v>
                </c:pt>
                <c:pt idx="14">
                  <c:v>158</c:v>
                </c:pt>
                <c:pt idx="1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2-4B4A-8768-ABC32FEE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06496"/>
        <c:axId val="115708288"/>
      </c:barChart>
      <c:catAx>
        <c:axId val="1157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08288"/>
        <c:crosses val="autoZero"/>
        <c:auto val="1"/>
        <c:lblAlgn val="ctr"/>
        <c:lblOffset val="100"/>
        <c:noMultiLvlLbl val="0"/>
      </c:catAx>
      <c:valAx>
        <c:axId val="1157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06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numRef>
              <c:f>'Trend Projection 2'!$C$10:$C$29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'Trend Projection 2'!$B$10:$B$29</c:f>
              <c:numCache>
                <c:formatCode>General</c:formatCode>
                <c:ptCount val="20"/>
                <c:pt idx="0">
                  <c:v>2634</c:v>
                </c:pt>
                <c:pt idx="1">
                  <c:v>3169</c:v>
                </c:pt>
                <c:pt idx="2">
                  <c:v>3301</c:v>
                </c:pt>
                <c:pt idx="3">
                  <c:v>3754</c:v>
                </c:pt>
                <c:pt idx="4">
                  <c:v>3834</c:v>
                </c:pt>
                <c:pt idx="5">
                  <c:v>5117</c:v>
                </c:pt>
                <c:pt idx="6">
                  <c:v>6448</c:v>
                </c:pt>
                <c:pt idx="7">
                  <c:v>7908</c:v>
                </c:pt>
                <c:pt idx="8">
                  <c:v>9213</c:v>
                </c:pt>
                <c:pt idx="9">
                  <c:v>11502</c:v>
                </c:pt>
                <c:pt idx="10">
                  <c:v>10791</c:v>
                </c:pt>
                <c:pt idx="11">
                  <c:v>10022</c:v>
                </c:pt>
                <c:pt idx="12">
                  <c:v>8342</c:v>
                </c:pt>
                <c:pt idx="13">
                  <c:v>10453</c:v>
                </c:pt>
                <c:pt idx="14">
                  <c:v>10784</c:v>
                </c:pt>
                <c:pt idx="15">
                  <c:v>10718</c:v>
                </c:pt>
                <c:pt idx="16">
                  <c:v>12460</c:v>
                </c:pt>
                <c:pt idx="17">
                  <c:v>13262</c:v>
                </c:pt>
                <c:pt idx="18">
                  <c:v>8772</c:v>
                </c:pt>
                <c:pt idx="19">
                  <c:v>10431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3-4C3E-8DCF-55C09D15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72544"/>
        <c:axId val="202974336"/>
      </c:barChart>
      <c:catAx>
        <c:axId val="2029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74336"/>
        <c:crosses val="autoZero"/>
        <c:auto val="1"/>
        <c:lblAlgn val="ctr"/>
        <c:lblOffset val="100"/>
        <c:noMultiLvlLbl val="0"/>
      </c:catAx>
      <c:valAx>
        <c:axId val="2029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7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Forecasting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 with Trend'!$B$8</c:f>
              <c:strCache>
                <c:ptCount val="1"/>
                <c:pt idx="0">
                  <c:v>Demand</c:v>
                </c:pt>
              </c:strCache>
            </c:strRef>
          </c:tx>
          <c:val>
            <c:numRef>
              <c:f>'Exp with Trend'!$B$9:$B$28</c:f>
              <c:numCache>
                <c:formatCode>General</c:formatCode>
                <c:ptCount val="20"/>
                <c:pt idx="0">
                  <c:v>2634</c:v>
                </c:pt>
                <c:pt idx="1">
                  <c:v>3169</c:v>
                </c:pt>
                <c:pt idx="2">
                  <c:v>3301</c:v>
                </c:pt>
                <c:pt idx="3">
                  <c:v>3754</c:v>
                </c:pt>
                <c:pt idx="4">
                  <c:v>3834</c:v>
                </c:pt>
                <c:pt idx="5">
                  <c:v>5117</c:v>
                </c:pt>
                <c:pt idx="6">
                  <c:v>6448</c:v>
                </c:pt>
                <c:pt idx="7">
                  <c:v>7908</c:v>
                </c:pt>
                <c:pt idx="8">
                  <c:v>9213</c:v>
                </c:pt>
                <c:pt idx="9">
                  <c:v>11502</c:v>
                </c:pt>
                <c:pt idx="10">
                  <c:v>10791</c:v>
                </c:pt>
                <c:pt idx="11">
                  <c:v>10022</c:v>
                </c:pt>
                <c:pt idx="12">
                  <c:v>8342</c:v>
                </c:pt>
                <c:pt idx="13">
                  <c:v>10453</c:v>
                </c:pt>
                <c:pt idx="14">
                  <c:v>10784</c:v>
                </c:pt>
                <c:pt idx="15">
                  <c:v>10718</c:v>
                </c:pt>
                <c:pt idx="16">
                  <c:v>12460</c:v>
                </c:pt>
                <c:pt idx="17">
                  <c:v>13262</c:v>
                </c:pt>
                <c:pt idx="18">
                  <c:v>8772</c:v>
                </c:pt>
                <c:pt idx="19">
                  <c:v>10431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D-469E-8A10-33F3B2A4FDBC}"/>
            </c:ext>
          </c:extLst>
        </c:ser>
        <c:ser>
          <c:idx val="2"/>
          <c:order val="1"/>
          <c:tx>
            <c:strRef>
              <c:f>'Exp with Trend'!$D$8</c:f>
              <c:strCache>
                <c:ptCount val="1"/>
                <c:pt idx="0">
                  <c:v>Smoothed Forecast, Ft</c:v>
                </c:pt>
              </c:strCache>
            </c:strRef>
          </c:tx>
          <c:val>
            <c:numRef>
              <c:f>'Exp with Trend'!$D$9:$D$28</c:f>
              <c:numCache>
                <c:formatCode>General</c:formatCode>
                <c:ptCount val="20"/>
                <c:pt idx="0">
                  <c:v>2634</c:v>
                </c:pt>
                <c:pt idx="1">
                  <c:v>2634</c:v>
                </c:pt>
                <c:pt idx="2">
                  <c:v>3062</c:v>
                </c:pt>
                <c:pt idx="3">
                  <c:v>3270.32</c:v>
                </c:pt>
                <c:pt idx="4">
                  <c:v>3679.2928000000002</c:v>
                </c:pt>
                <c:pt idx="5">
                  <c:v>3837.040512</c:v>
                </c:pt>
                <c:pt idx="6">
                  <c:v>4894.50357248</c:v>
                </c:pt>
                <c:pt idx="7">
                  <c:v>6206.3956129792005</c:v>
                </c:pt>
                <c:pt idx="8">
                  <c:v>7675.4307230023687</c:v>
                </c:pt>
                <c:pt idx="9">
                  <c:v>9050.4488293266222</c:v>
                </c:pt>
                <c:pt idx="10">
                  <c:v>11182.660637899215</c:v>
                </c:pt>
                <c:pt idx="11">
                  <c:v>11091.397297549858</c:v>
                </c:pt>
                <c:pt idx="12">
                  <c:v>10409.881061872009</c:v>
                </c:pt>
                <c:pt idx="13">
                  <c:v>8867.5168448369186</c:v>
                </c:pt>
                <c:pt idx="14">
                  <c:v>10163.761306255992</c:v>
                </c:pt>
                <c:pt idx="15">
                  <c:v>10734.088389538849</c:v>
                </c:pt>
                <c:pt idx="16">
                  <c:v>10803.339663869203</c:v>
                </c:pt>
                <c:pt idx="17">
                  <c:v>12197.135572516203</c:v>
                </c:pt>
                <c:pt idx="18">
                  <c:v>13159.55306264301</c:v>
                </c:pt>
                <c:pt idx="19">
                  <c:v>9776.4280706454902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D-469E-8A10-33F3B2A4FDBC}"/>
            </c:ext>
          </c:extLst>
        </c:ser>
        <c:ser>
          <c:idx val="3"/>
          <c:order val="2"/>
          <c:tx>
            <c:strRef>
              <c:f>'Exp with Trend'!$E$8</c:f>
              <c:strCache>
                <c:ptCount val="1"/>
                <c:pt idx="0">
                  <c:v>Smoothed Trend, Tt</c:v>
                </c:pt>
              </c:strCache>
            </c:strRef>
          </c:tx>
          <c:val>
            <c:numRef>
              <c:f>'Exp with Trend'!$E$9:$E$28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85.600000000000009</c:v>
                </c:pt>
                <c:pt idx="3">
                  <c:v>110.14400000000003</c:v>
                </c:pt>
                <c:pt idx="4">
                  <c:v>169.90976000000003</c:v>
                </c:pt>
                <c:pt idx="5">
                  <c:v>167.47735040000001</c:v>
                </c:pt>
                <c:pt idx="6">
                  <c:v>345.47449241600003</c:v>
                </c:pt>
                <c:pt idx="7">
                  <c:v>538.75800203264021</c:v>
                </c:pt>
                <c:pt idx="8">
                  <c:v>724.81342363074577</c:v>
                </c:pt>
                <c:pt idx="9">
                  <c:v>854.85436016944732</c:v>
                </c:pt>
                <c:pt idx="10">
                  <c:v>1110.3258498500763</c:v>
                </c:pt>
                <c:pt idx="11">
                  <c:v>870.00801181018983</c:v>
                </c:pt>
                <c:pt idx="12">
                  <c:v>559.70316231258198</c:v>
                </c:pt>
                <c:pt idx="13">
                  <c:v>139.28968644304751</c:v>
                </c:pt>
                <c:pt idx="14">
                  <c:v>370.68064143825274</c:v>
                </c:pt>
                <c:pt idx="15">
                  <c:v>410.60992980717356</c:v>
                </c:pt>
                <c:pt idx="16">
                  <c:v>342.3381987118097</c:v>
                </c:pt>
                <c:pt idx="17">
                  <c:v>552.62974069884785</c:v>
                </c:pt>
                <c:pt idx="18">
                  <c:v>634.58729058443976</c:v>
                </c:pt>
                <c:pt idx="19">
                  <c:v>-168.95516593195214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D-469E-8A10-33F3B2A4FDBC}"/>
            </c:ext>
          </c:extLst>
        </c:ser>
        <c:ser>
          <c:idx val="4"/>
          <c:order val="3"/>
          <c:tx>
            <c:strRef>
              <c:f>'Exp with Trend'!$F$8</c:f>
              <c:strCache>
                <c:ptCount val="1"/>
                <c:pt idx="0">
                  <c:v>Forecast Including Trend, FITt</c:v>
                </c:pt>
              </c:strCache>
            </c:strRef>
          </c:tx>
          <c:val>
            <c:numRef>
              <c:f>'Exp with Trend'!$F$9:$F$28</c:f>
              <c:numCache>
                <c:formatCode>General</c:formatCode>
                <c:ptCount val="20"/>
                <c:pt idx="0">
                  <c:v>2634</c:v>
                </c:pt>
                <c:pt idx="1">
                  <c:v>2634</c:v>
                </c:pt>
                <c:pt idx="2">
                  <c:v>3147.6</c:v>
                </c:pt>
                <c:pt idx="3">
                  <c:v>3380.4640000000004</c:v>
                </c:pt>
                <c:pt idx="4">
                  <c:v>3849.2025600000002</c:v>
                </c:pt>
                <c:pt idx="5">
                  <c:v>4004.5178624</c:v>
                </c:pt>
                <c:pt idx="6">
                  <c:v>5239.9780648960004</c:v>
                </c:pt>
                <c:pt idx="7">
                  <c:v>6745.1536150118409</c:v>
                </c:pt>
                <c:pt idx="8">
                  <c:v>8400.2441466331147</c:v>
                </c:pt>
                <c:pt idx="9">
                  <c:v>9905.3031894960695</c:v>
                </c:pt>
                <c:pt idx="10">
                  <c:v>12292.986487749291</c:v>
                </c:pt>
                <c:pt idx="11">
                  <c:v>11961.405309360049</c:v>
                </c:pt>
                <c:pt idx="12">
                  <c:v>10969.584224184591</c:v>
                </c:pt>
                <c:pt idx="13">
                  <c:v>9006.8065312799663</c:v>
                </c:pt>
                <c:pt idx="14">
                  <c:v>10534.441947694246</c:v>
                </c:pt>
                <c:pt idx="15">
                  <c:v>11144.698319346022</c:v>
                </c:pt>
                <c:pt idx="16">
                  <c:v>11145.677862581013</c:v>
                </c:pt>
                <c:pt idx="17">
                  <c:v>12749.765313215052</c:v>
                </c:pt>
                <c:pt idx="18">
                  <c:v>13794.140353227449</c:v>
                </c:pt>
                <c:pt idx="19">
                  <c:v>9607.4729047135388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D-469E-8A10-33F3B2A4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23904"/>
        <c:axId val="200125440"/>
      </c:lineChart>
      <c:catAx>
        <c:axId val="2001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125440"/>
        <c:crosses val="autoZero"/>
        <c:auto val="1"/>
        <c:lblAlgn val="ctr"/>
        <c:lblOffset val="100"/>
        <c:noMultiLvlLbl val="0"/>
      </c:catAx>
      <c:valAx>
        <c:axId val="20012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23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0</xdr:rowOff>
    </xdr:from>
    <xdr:to>
      <xdr:col>5</xdr:col>
      <xdr:colOff>508000</xdr:colOff>
      <xdr:row>4</xdr:row>
      <xdr:rowOff>136525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47750" y="619125"/>
          <a:ext cx="3175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1" anchor="ctr"/>
        <a:lstStyle/>
        <a:p>
          <a:r>
            <a:rPr lang="en-GB" sz="900" b="0" i="0" u="none" strike="noStrike" baseline="0">
              <a:solidFill>
                <a:srgbClr val="9C6500"/>
              </a:solidFill>
              <a:latin typeface="Arial"/>
            </a:rPr>
            <a:t>Enter past demands in the data area. Do not change the time period numbers!</a:t>
          </a:r>
          <a:endParaRPr lang="ar-EG" sz="900" b="0" i="0" u="none" strike="noStrike" baseline="0">
            <a:solidFill>
              <a:srgbClr val="9C6500"/>
            </a:solidFill>
            <a:latin typeface="Arial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</xdr:row>
      <xdr:rowOff>0</xdr:rowOff>
    </xdr:from>
    <xdr:to>
      <xdr:col>5</xdr:col>
      <xdr:colOff>158750</xdr:colOff>
      <xdr:row>5</xdr:row>
      <xdr:rowOff>146050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3500" y="619125"/>
          <a:ext cx="3810000" cy="5080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1" anchor="ctr"/>
        <a:lstStyle/>
        <a:p>
          <a:r>
            <a:rPr lang="en-GB" sz="900" b="0" i="0" u="none" strike="noStrike" baseline="0">
              <a:solidFill>
                <a:srgbClr val="9C6500"/>
              </a:solidFill>
              <a:latin typeface="Arial"/>
            </a:rPr>
            <a:t>If this is trend analysis then simply enter the past demands in the demand column. If this is causal regression then enter the y,x pairs with y first and enter a new value of x at the bottom in order to forecast y.</a:t>
          </a:r>
          <a:endParaRPr lang="ar-EG" sz="900" b="0" i="0" u="none" strike="noStrike" baseline="0">
            <a:solidFill>
              <a:srgbClr val="9C6500"/>
            </a:solidFill>
            <a:latin typeface="Arial"/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</xdr:row>
      <xdr:rowOff>0</xdr:rowOff>
    </xdr:from>
    <xdr:to>
      <xdr:col>5</xdr:col>
      <xdr:colOff>158750</xdr:colOff>
      <xdr:row>5</xdr:row>
      <xdr:rowOff>146050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3500" y="619125"/>
          <a:ext cx="3810000" cy="5080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1" anchor="ctr"/>
        <a:lstStyle/>
        <a:p>
          <a:r>
            <a:rPr lang="en-GB" sz="900" b="0" i="0" u="none" strike="noStrike" baseline="0">
              <a:solidFill>
                <a:srgbClr val="9C6500"/>
              </a:solidFill>
              <a:latin typeface="Arial"/>
            </a:rPr>
            <a:t>If this is trend analysis then simply enter the past demands in the demand column. If this is causal regression then enter the y,x pairs with y first and enter a new value of x at the bottom in order to forecast y.</a:t>
          </a:r>
          <a:endParaRPr lang="ar-EG" sz="900" b="0" i="0" u="none" strike="noStrike" baseline="0">
            <a:solidFill>
              <a:srgbClr val="9C6500"/>
            </a:solidFill>
            <a:latin typeface="Arial"/>
          </a:endParaRP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opLeftCell="A3" workbookViewId="0">
      <selection activeCell="B10" sqref="B10:B25"/>
    </sheetView>
  </sheetViews>
  <sheetFormatPr defaultColWidth="9" defaultRowHeight="15" x14ac:dyDescent="0.25"/>
  <cols>
    <col min="1" max="2" width="10.5703125" style="3" customWidth="1"/>
    <col min="3" max="16384" width="9" style="3"/>
  </cols>
  <sheetData>
    <row r="1" spans="1:14" ht="18.75" x14ac:dyDescent="0.3">
      <c r="A1" s="17" t="s">
        <v>72</v>
      </c>
    </row>
    <row r="3" spans="1:14" ht="17.25" x14ac:dyDescent="0.3">
      <c r="A3" s="4" t="s">
        <v>0</v>
      </c>
      <c r="B3" s="4"/>
      <c r="C3" s="4" t="s">
        <v>1</v>
      </c>
      <c r="D3" s="4"/>
      <c r="E3" s="4"/>
      <c r="F3" s="4"/>
      <c r="G3" s="4"/>
      <c r="H3" s="4"/>
    </row>
    <row r="4" spans="1:14" x14ac:dyDescent="0.25">
      <c r="A4" s="2"/>
      <c r="B4" s="2"/>
    </row>
    <row r="5" spans="1:14" x14ac:dyDescent="0.25">
      <c r="A5" s="3" t="s">
        <v>2</v>
      </c>
    </row>
    <row r="6" spans="1:14" x14ac:dyDescent="0.25">
      <c r="A6" s="5"/>
    </row>
    <row r="8" spans="1:14" ht="15.75" thickBot="1" x14ac:dyDescent="0.3">
      <c r="A8" s="6" t="s">
        <v>3</v>
      </c>
      <c r="K8" s="16" t="s">
        <v>47</v>
      </c>
    </row>
    <row r="9" spans="1:14" x14ac:dyDescent="0.25">
      <c r="A9" s="9" t="s">
        <v>4</v>
      </c>
      <c r="B9" s="10" t="s">
        <v>5</v>
      </c>
      <c r="C9" s="11" t="s">
        <v>16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  <c r="L9" s="3" t="s">
        <v>13</v>
      </c>
      <c r="M9" s="3" t="s">
        <v>14</v>
      </c>
      <c r="N9" s="7" t="s">
        <v>15</v>
      </c>
    </row>
    <row r="10" spans="1:14" x14ac:dyDescent="0.25">
      <c r="A10" s="12" t="s">
        <v>17</v>
      </c>
      <c r="B10" s="8">
        <v>274</v>
      </c>
      <c r="C10" s="13">
        <v>1</v>
      </c>
      <c r="G10" s="3">
        <f>B36</f>
        <v>1.468364652598426</v>
      </c>
      <c r="H10" s="3">
        <f t="shared" ref="H10:H25" si="0">B10/G10</f>
        <v>186.60214921077548</v>
      </c>
      <c r="I10" s="3">
        <f>H27+H28*C10</f>
        <v>178.96234703299555</v>
      </c>
      <c r="J10" s="3">
        <f t="shared" ref="J10:J25" si="1">I10*G10</f>
        <v>262.78198452930349</v>
      </c>
      <c r="K10" s="3">
        <f t="shared" ref="K10:K25" si="2">B10-J10</f>
        <v>11.218015470696514</v>
      </c>
      <c r="L10" s="3">
        <f t="shared" ref="L10:L25" si="3">ABS(K10)</f>
        <v>11.218015470696514</v>
      </c>
      <c r="M10" s="3">
        <f t="shared" ref="M10:M25" si="4">K10^2</f>
        <v>125.84387110078633</v>
      </c>
      <c r="N10" s="7">
        <f t="shared" ref="N10:N25" si="5">L10/B10</f>
        <v>4.0941662301812093E-2</v>
      </c>
    </row>
    <row r="11" spans="1:14" x14ac:dyDescent="0.25">
      <c r="A11" s="12" t="s">
        <v>18</v>
      </c>
      <c r="B11" s="8">
        <v>172</v>
      </c>
      <c r="C11" s="13">
        <v>2</v>
      </c>
      <c r="G11" s="3">
        <f>C36</f>
        <v>0.96158786016021136</v>
      </c>
      <c r="H11" s="3">
        <f t="shared" si="0"/>
        <v>178.87081058962502</v>
      </c>
      <c r="I11" s="3">
        <f>H27+H28*C11</f>
        <v>181.16153837221134</v>
      </c>
      <c r="J11" s="3">
        <f t="shared" si="1"/>
        <v>174.20273602666671</v>
      </c>
      <c r="K11" s="3">
        <f t="shared" si="2"/>
        <v>-2.2027360266667131</v>
      </c>
      <c r="L11" s="3">
        <f t="shared" si="3"/>
        <v>2.2027360266667131</v>
      </c>
      <c r="M11" s="3">
        <f t="shared" si="4"/>
        <v>4.8520460031754586</v>
      </c>
      <c r="N11" s="7">
        <f t="shared" si="5"/>
        <v>1.280660480620182E-2</v>
      </c>
    </row>
    <row r="12" spans="1:14" x14ac:dyDescent="0.25">
      <c r="A12" s="12" t="s">
        <v>19</v>
      </c>
      <c r="B12" s="8">
        <v>130</v>
      </c>
      <c r="C12" s="13">
        <v>3</v>
      </c>
      <c r="D12" s="3">
        <f t="shared" ref="D12:D24" si="6">AVERAGE(B10:B13)</f>
        <v>184.5</v>
      </c>
      <c r="E12" s="3">
        <f t="shared" ref="E12:E23" si="7">AVERAGE(D12:D13)</f>
        <v>185.5</v>
      </c>
      <c r="F12" s="3">
        <f t="shared" ref="F12:F23" si="8">B12/E12</f>
        <v>0.70080862533692723</v>
      </c>
      <c r="G12" s="3">
        <f>D36</f>
        <v>0.70148780445982928</v>
      </c>
      <c r="H12" s="3">
        <f t="shared" si="0"/>
        <v>185.32039926211499</v>
      </c>
      <c r="I12" s="3">
        <f>H27+H28*C12</f>
        <v>183.3607297114271</v>
      </c>
      <c r="J12" s="3">
        <f t="shared" si="1"/>
        <v>128.62531570942119</v>
      </c>
      <c r="K12" s="3">
        <f t="shared" si="2"/>
        <v>1.3746842905788128</v>
      </c>
      <c r="L12" s="3">
        <f t="shared" si="3"/>
        <v>1.3746842905788128</v>
      </c>
      <c r="M12" s="3">
        <f t="shared" si="4"/>
        <v>1.8897568987641737</v>
      </c>
      <c r="N12" s="7">
        <f t="shared" si="5"/>
        <v>1.0574494542913945E-2</v>
      </c>
    </row>
    <row r="13" spans="1:14" x14ac:dyDescent="0.25">
      <c r="A13" s="12" t="s">
        <v>20</v>
      </c>
      <c r="B13" s="8">
        <v>162</v>
      </c>
      <c r="C13" s="13">
        <v>4</v>
      </c>
      <c r="D13" s="3">
        <f t="shared" si="6"/>
        <v>186.5</v>
      </c>
      <c r="E13" s="3">
        <f t="shared" si="7"/>
        <v>187.25</v>
      </c>
      <c r="F13" s="3">
        <f t="shared" si="8"/>
        <v>0.86515353805073436</v>
      </c>
      <c r="G13" s="3">
        <f>E36</f>
        <v>0.86556983004497168</v>
      </c>
      <c r="H13" s="3">
        <f t="shared" si="0"/>
        <v>187.15994293791766</v>
      </c>
      <c r="I13" s="3">
        <f>H27+H28*C13</f>
        <v>185.55992105064288</v>
      </c>
      <c r="J13" s="3">
        <f t="shared" si="1"/>
        <v>160.61506932696332</v>
      </c>
      <c r="K13" s="3">
        <f t="shared" si="2"/>
        <v>1.3849306730366777</v>
      </c>
      <c r="L13" s="3">
        <f t="shared" si="3"/>
        <v>1.3849306730366777</v>
      </c>
      <c r="M13" s="3">
        <f t="shared" si="4"/>
        <v>1.9180329691178251</v>
      </c>
      <c r="N13" s="7">
        <f t="shared" si="5"/>
        <v>8.5489547718313446E-3</v>
      </c>
    </row>
    <row r="14" spans="1:14" x14ac:dyDescent="0.25">
      <c r="A14" s="12" t="s">
        <v>21</v>
      </c>
      <c r="B14" s="8">
        <v>282</v>
      </c>
      <c r="C14" s="13">
        <v>5</v>
      </c>
      <c r="D14" s="3">
        <f t="shared" si="6"/>
        <v>188</v>
      </c>
      <c r="E14" s="3">
        <f t="shared" si="7"/>
        <v>188.75</v>
      </c>
      <c r="F14" s="3">
        <f t="shared" si="8"/>
        <v>1.4940397350993377</v>
      </c>
      <c r="G14" s="3">
        <f>B36</f>
        <v>1.468364652598426</v>
      </c>
      <c r="H14" s="3">
        <f t="shared" si="0"/>
        <v>192.05038714393683</v>
      </c>
      <c r="I14" s="3">
        <f>H27+H28*C14</f>
        <v>187.75911238985867</v>
      </c>
      <c r="J14" s="3">
        <f t="shared" si="1"/>
        <v>275.69884383652362</v>
      </c>
      <c r="K14" s="3">
        <f t="shared" si="2"/>
        <v>6.301156163476378</v>
      </c>
      <c r="L14" s="3">
        <f t="shared" si="3"/>
        <v>6.301156163476378</v>
      </c>
      <c r="M14" s="3">
        <f t="shared" si="4"/>
        <v>39.704568996516343</v>
      </c>
      <c r="N14" s="7">
        <f t="shared" si="5"/>
        <v>2.2344525402398504E-2</v>
      </c>
    </row>
    <row r="15" spans="1:14" x14ac:dyDescent="0.25">
      <c r="A15" s="12" t="s">
        <v>22</v>
      </c>
      <c r="B15" s="8">
        <v>178</v>
      </c>
      <c r="C15" s="13">
        <v>6</v>
      </c>
      <c r="D15" s="3">
        <f t="shared" si="6"/>
        <v>189.5</v>
      </c>
      <c r="E15" s="3">
        <f t="shared" si="7"/>
        <v>190.25</v>
      </c>
      <c r="F15" s="3">
        <f t="shared" si="8"/>
        <v>0.93561103810775292</v>
      </c>
      <c r="G15" s="3">
        <f>C36</f>
        <v>0.96158786016021136</v>
      </c>
      <c r="H15" s="3">
        <f t="shared" si="0"/>
        <v>185.11049002879798</v>
      </c>
      <c r="I15" s="3">
        <f>H27+H28*C15</f>
        <v>189.95830372907446</v>
      </c>
      <c r="J15" s="3">
        <f t="shared" si="1"/>
        <v>182.66159880250422</v>
      </c>
      <c r="K15" s="3">
        <f t="shared" si="2"/>
        <v>-4.6615988025042157</v>
      </c>
      <c r="L15" s="3">
        <f t="shared" si="3"/>
        <v>4.6615988025042157</v>
      </c>
      <c r="M15" s="3">
        <f t="shared" si="4"/>
        <v>21.730503395508737</v>
      </c>
      <c r="N15" s="7">
        <f t="shared" si="5"/>
        <v>2.6188757317439415E-2</v>
      </c>
    </row>
    <row r="16" spans="1:14" x14ac:dyDescent="0.25">
      <c r="A16" s="12" t="s">
        <v>23</v>
      </c>
      <c r="B16" s="8">
        <v>136</v>
      </c>
      <c r="C16" s="13">
        <v>7</v>
      </c>
      <c r="D16" s="3">
        <f t="shared" si="6"/>
        <v>191</v>
      </c>
      <c r="E16" s="3">
        <f t="shared" si="7"/>
        <v>191</v>
      </c>
      <c r="F16" s="3">
        <f t="shared" si="8"/>
        <v>0.7120418848167539</v>
      </c>
      <c r="G16" s="3">
        <f>D36</f>
        <v>0.70148780445982928</v>
      </c>
      <c r="H16" s="3">
        <f t="shared" si="0"/>
        <v>193.87364845882797</v>
      </c>
      <c r="I16" s="3">
        <f>H27+H28*C16</f>
        <v>192.15749506829025</v>
      </c>
      <c r="J16" s="3">
        <f t="shared" si="1"/>
        <v>134.79613932595541</v>
      </c>
      <c r="K16" s="3">
        <f t="shared" si="2"/>
        <v>1.2038606740445914</v>
      </c>
      <c r="L16" s="3">
        <f t="shared" si="3"/>
        <v>1.2038606740445914</v>
      </c>
      <c r="M16" s="3">
        <f t="shared" si="4"/>
        <v>1.4492805225110978</v>
      </c>
      <c r="N16" s="7">
        <f t="shared" si="5"/>
        <v>8.8519167209161129E-3</v>
      </c>
    </row>
    <row r="17" spans="1:14" x14ac:dyDescent="0.25">
      <c r="A17" s="12" t="s">
        <v>24</v>
      </c>
      <c r="B17" s="8">
        <v>168</v>
      </c>
      <c r="C17" s="13">
        <v>8</v>
      </c>
      <c r="D17" s="3">
        <f t="shared" si="6"/>
        <v>191</v>
      </c>
      <c r="E17" s="3">
        <f t="shared" si="7"/>
        <v>191.5</v>
      </c>
      <c r="F17" s="3">
        <f t="shared" si="8"/>
        <v>0.87728459530026115</v>
      </c>
      <c r="G17" s="3">
        <f>E36</f>
        <v>0.86556983004497168</v>
      </c>
      <c r="H17" s="3">
        <f t="shared" si="0"/>
        <v>194.09179267635906</v>
      </c>
      <c r="I17" s="3">
        <f>H27+H28*C17</f>
        <v>194.35668640750603</v>
      </c>
      <c r="J17" s="3">
        <f t="shared" si="1"/>
        <v>168.22928402184885</v>
      </c>
      <c r="K17" s="3">
        <f t="shared" si="2"/>
        <v>-0.22928402184885499</v>
      </c>
      <c r="L17" s="3">
        <f t="shared" si="3"/>
        <v>0.22928402184885499</v>
      </c>
      <c r="M17" s="3">
        <f t="shared" si="4"/>
        <v>5.257116267518621E-2</v>
      </c>
      <c r="N17" s="7">
        <f t="shared" si="5"/>
        <v>1.3647858443384226E-3</v>
      </c>
    </row>
    <row r="18" spans="1:14" x14ac:dyDescent="0.25">
      <c r="A18" s="12" t="s">
        <v>25</v>
      </c>
      <c r="B18" s="8">
        <v>282</v>
      </c>
      <c r="C18" s="13">
        <v>9</v>
      </c>
      <c r="D18" s="3">
        <f t="shared" si="6"/>
        <v>192</v>
      </c>
      <c r="E18" s="3">
        <f t="shared" si="7"/>
        <v>191.75</v>
      </c>
      <c r="F18" s="3">
        <f t="shared" si="8"/>
        <v>1.470664928292047</v>
      </c>
      <c r="G18" s="3">
        <f>B36</f>
        <v>1.468364652598426</v>
      </c>
      <c r="H18" s="3">
        <f t="shared" si="0"/>
        <v>192.05038714393683</v>
      </c>
      <c r="I18" s="3">
        <f>H27+H28*C18</f>
        <v>196.55587774672182</v>
      </c>
      <c r="J18" s="3">
        <f t="shared" si="1"/>
        <v>288.61570314374387</v>
      </c>
      <c r="K18" s="3">
        <f t="shared" si="2"/>
        <v>-6.6157031437438718</v>
      </c>
      <c r="L18" s="3">
        <f t="shared" si="3"/>
        <v>6.6157031437438718</v>
      </c>
      <c r="M18" s="3">
        <f t="shared" si="4"/>
        <v>43.767528086142548</v>
      </c>
      <c r="N18" s="7">
        <f t="shared" si="5"/>
        <v>2.34599402260421E-2</v>
      </c>
    </row>
    <row r="19" spans="1:14" x14ac:dyDescent="0.25">
      <c r="A19" s="12" t="s">
        <v>26</v>
      </c>
      <c r="B19" s="8">
        <v>182</v>
      </c>
      <c r="C19" s="13">
        <v>10</v>
      </c>
      <c r="D19" s="3">
        <f t="shared" si="6"/>
        <v>191.5</v>
      </c>
      <c r="E19" s="3">
        <f t="shared" si="7"/>
        <v>191.75</v>
      </c>
      <c r="F19" s="3">
        <f t="shared" si="8"/>
        <v>0.94915254237288138</v>
      </c>
      <c r="G19" s="3">
        <f>C36</f>
        <v>0.96158786016021136</v>
      </c>
      <c r="H19" s="3">
        <f t="shared" si="0"/>
        <v>189.27027632157996</v>
      </c>
      <c r="I19" s="3">
        <f>H27+H28*C19</f>
        <v>198.75506908593758</v>
      </c>
      <c r="J19" s="3">
        <f t="shared" si="1"/>
        <v>191.12046157834169</v>
      </c>
      <c r="K19" s="3">
        <f t="shared" si="2"/>
        <v>-9.1204615783416898</v>
      </c>
      <c r="L19" s="3">
        <f t="shared" si="3"/>
        <v>9.1204615783416898</v>
      </c>
      <c r="M19" s="3">
        <f t="shared" si="4"/>
        <v>83.182819402006984</v>
      </c>
      <c r="N19" s="7">
        <f t="shared" si="5"/>
        <v>5.011242625462467E-2</v>
      </c>
    </row>
    <row r="20" spans="1:14" x14ac:dyDescent="0.25">
      <c r="A20" s="12" t="s">
        <v>27</v>
      </c>
      <c r="B20" s="8">
        <v>134</v>
      </c>
      <c r="C20" s="13">
        <v>11</v>
      </c>
      <c r="D20" s="3">
        <f t="shared" si="6"/>
        <v>192</v>
      </c>
      <c r="E20" s="3">
        <f t="shared" si="7"/>
        <v>193.75</v>
      </c>
      <c r="F20" s="3">
        <f t="shared" si="8"/>
        <v>0.69161290322580649</v>
      </c>
      <c r="G20" s="3">
        <f>D36</f>
        <v>0.70148780445982928</v>
      </c>
      <c r="H20" s="3">
        <f t="shared" si="0"/>
        <v>191.02256539325697</v>
      </c>
      <c r="I20" s="3">
        <f>H27+H28*C20</f>
        <v>200.95426042515336</v>
      </c>
      <c r="J20" s="3">
        <f t="shared" si="1"/>
        <v>140.9669629424896</v>
      </c>
      <c r="K20" s="3">
        <f t="shared" si="2"/>
        <v>-6.9669629424896016</v>
      </c>
      <c r="L20" s="3">
        <f t="shared" si="3"/>
        <v>6.9669629424896016</v>
      </c>
      <c r="M20" s="3">
        <f t="shared" si="4"/>
        <v>48.538572642023368</v>
      </c>
      <c r="N20" s="7">
        <f t="shared" si="5"/>
        <v>5.1992260764847774E-2</v>
      </c>
    </row>
    <row r="21" spans="1:14" x14ac:dyDescent="0.25">
      <c r="A21" s="12" t="s">
        <v>28</v>
      </c>
      <c r="B21" s="8">
        <v>170</v>
      </c>
      <c r="C21" s="13">
        <v>12</v>
      </c>
      <c r="D21" s="3">
        <f t="shared" si="6"/>
        <v>195.5</v>
      </c>
      <c r="E21" s="3">
        <f t="shared" si="7"/>
        <v>199</v>
      </c>
      <c r="F21" s="3">
        <f t="shared" si="8"/>
        <v>0.85427135678391963</v>
      </c>
      <c r="G21" s="3">
        <f>E36</f>
        <v>0.86556983004497168</v>
      </c>
      <c r="H21" s="3">
        <f t="shared" si="0"/>
        <v>196.40240925583953</v>
      </c>
      <c r="I21" s="3">
        <f>H27+H28*C21</f>
        <v>203.15345176436915</v>
      </c>
      <c r="J21" s="3">
        <f t="shared" si="1"/>
        <v>175.84349871673436</v>
      </c>
      <c r="K21" s="3">
        <f t="shared" si="2"/>
        <v>-5.8434987167343593</v>
      </c>
      <c r="L21" s="3">
        <f t="shared" si="3"/>
        <v>5.8434987167343593</v>
      </c>
      <c r="M21" s="3">
        <f t="shared" si="4"/>
        <v>34.146477252476103</v>
      </c>
      <c r="N21" s="7">
        <f t="shared" si="5"/>
        <v>3.437352186314329E-2</v>
      </c>
    </row>
    <row r="22" spans="1:14" x14ac:dyDescent="0.25">
      <c r="A22" s="12" t="s">
        <v>29</v>
      </c>
      <c r="B22" s="8">
        <v>296</v>
      </c>
      <c r="C22" s="13">
        <v>13</v>
      </c>
      <c r="D22" s="3">
        <f t="shared" si="6"/>
        <v>202.5</v>
      </c>
      <c r="E22" s="3">
        <f t="shared" si="7"/>
        <v>205.5</v>
      </c>
      <c r="F22" s="3">
        <f t="shared" si="8"/>
        <v>1.440389294403893</v>
      </c>
      <c r="G22" s="3">
        <f>B36</f>
        <v>1.468364652598426</v>
      </c>
      <c r="H22" s="3">
        <f t="shared" si="0"/>
        <v>201.58480352696915</v>
      </c>
      <c r="I22" s="3">
        <f>H27+H28*C22</f>
        <v>205.35264310358494</v>
      </c>
      <c r="J22" s="3">
        <f t="shared" si="1"/>
        <v>301.53256245096406</v>
      </c>
      <c r="K22" s="3">
        <f t="shared" si="2"/>
        <v>-5.5325624509640647</v>
      </c>
      <c r="L22" s="3">
        <f t="shared" si="3"/>
        <v>5.5325624509640647</v>
      </c>
      <c r="M22" s="3">
        <f t="shared" si="4"/>
        <v>30.609247273817498</v>
      </c>
      <c r="N22" s="7">
        <f t="shared" si="5"/>
        <v>1.8691089361365085E-2</v>
      </c>
    </row>
    <row r="23" spans="1:14" x14ac:dyDescent="0.25">
      <c r="A23" s="12" t="s">
        <v>30</v>
      </c>
      <c r="B23" s="8">
        <v>210</v>
      </c>
      <c r="C23" s="13">
        <v>14</v>
      </c>
      <c r="D23" s="3">
        <f t="shared" si="6"/>
        <v>208.5</v>
      </c>
      <c r="E23" s="3">
        <f t="shared" si="7"/>
        <v>210</v>
      </c>
      <c r="F23" s="3">
        <f t="shared" si="8"/>
        <v>1</v>
      </c>
      <c r="G23" s="3">
        <f>C36</f>
        <v>0.96158786016021136</v>
      </c>
      <c r="H23" s="3">
        <f t="shared" si="0"/>
        <v>218.3887803710538</v>
      </c>
      <c r="I23" s="3">
        <f>H27+H28*C23</f>
        <v>207.55183444280073</v>
      </c>
      <c r="J23" s="3">
        <f t="shared" si="1"/>
        <v>199.57932435417919</v>
      </c>
      <c r="K23" s="3">
        <f t="shared" si="2"/>
        <v>10.420675645820808</v>
      </c>
      <c r="L23" s="3">
        <f t="shared" si="3"/>
        <v>10.420675645820808</v>
      </c>
      <c r="M23" s="3">
        <f t="shared" si="4"/>
        <v>108.59048091540291</v>
      </c>
      <c r="N23" s="7">
        <f t="shared" si="5"/>
        <v>4.9622264980099084E-2</v>
      </c>
    </row>
    <row r="24" spans="1:14" x14ac:dyDescent="0.25">
      <c r="A24" s="12" t="s">
        <v>31</v>
      </c>
      <c r="B24" s="8">
        <v>158</v>
      </c>
      <c r="C24" s="13">
        <v>15</v>
      </c>
      <c r="D24" s="3">
        <f t="shared" si="6"/>
        <v>211.5</v>
      </c>
      <c r="G24" s="3">
        <f>D36</f>
        <v>0.70148780445982928</v>
      </c>
      <c r="H24" s="3">
        <f t="shared" si="0"/>
        <v>225.23556218010896</v>
      </c>
      <c r="I24" s="3">
        <f>H27+H28*C24</f>
        <v>209.75102578201648</v>
      </c>
      <c r="J24" s="3">
        <f t="shared" si="1"/>
        <v>147.13778655902379</v>
      </c>
      <c r="K24" s="3">
        <f t="shared" si="2"/>
        <v>10.862213440976205</v>
      </c>
      <c r="L24" s="3">
        <f t="shared" si="3"/>
        <v>10.862213440976205</v>
      </c>
      <c r="M24" s="3">
        <f t="shared" si="4"/>
        <v>117.98768083732413</v>
      </c>
      <c r="N24" s="7">
        <f t="shared" si="5"/>
        <v>6.8748186335292436E-2</v>
      </c>
    </row>
    <row r="25" spans="1:14" ht="15.75" thickBot="1" x14ac:dyDescent="0.3">
      <c r="A25" s="14" t="s">
        <v>32</v>
      </c>
      <c r="B25" s="8">
        <v>182</v>
      </c>
      <c r="C25" s="15">
        <v>16</v>
      </c>
      <c r="G25" s="3">
        <f>E36</f>
        <v>0.86556983004497168</v>
      </c>
      <c r="H25" s="3">
        <f t="shared" si="0"/>
        <v>210.26610873272233</v>
      </c>
      <c r="I25" s="3">
        <f>H27+H28*C25</f>
        <v>211.95021712123227</v>
      </c>
      <c r="J25" s="3">
        <f t="shared" si="1"/>
        <v>183.45771341161986</v>
      </c>
      <c r="K25" s="3">
        <f t="shared" si="2"/>
        <v>-1.4577134116198636</v>
      </c>
      <c r="L25" s="3">
        <f t="shared" si="3"/>
        <v>1.4577134116198636</v>
      </c>
      <c r="M25" s="3">
        <f t="shared" si="4"/>
        <v>2.1249283904164216</v>
      </c>
      <c r="N25" s="7">
        <f t="shared" si="5"/>
        <v>8.0094143495596896E-3</v>
      </c>
    </row>
    <row r="26" spans="1:14" x14ac:dyDescent="0.25">
      <c r="J26" s="3" t="s">
        <v>41</v>
      </c>
      <c r="K26" s="3">
        <f>SUM(K10:K25)</f>
        <v>0.13501526371675254</v>
      </c>
      <c r="L26" s="3">
        <f>SUM(L10:L25)</f>
        <v>85.396057453543222</v>
      </c>
      <c r="M26" s="3">
        <f>SUM(M10:M25)</f>
        <v>666.38836584866522</v>
      </c>
      <c r="N26" s="7">
        <f>SUM(N10:N25)</f>
        <v>0.43663080584282582</v>
      </c>
    </row>
    <row r="27" spans="1:14" x14ac:dyDescent="0.25">
      <c r="E27" s="3" t="s">
        <v>6</v>
      </c>
      <c r="G27" s="3" t="s">
        <v>38</v>
      </c>
      <c r="H27" s="3">
        <f>INTERCEPT(H10:H25,C10:C25)</f>
        <v>176.76315569377977</v>
      </c>
      <c r="K27" s="3">
        <f>AVERAGE(K10:K25)</f>
        <v>8.4384539822970339E-3</v>
      </c>
      <c r="L27" s="3">
        <f>AVERAGE(L10:L25)</f>
        <v>5.3372535908464513</v>
      </c>
      <c r="M27" s="3">
        <f>AVERAGE(M10:M25)</f>
        <v>41.649272865541576</v>
      </c>
      <c r="N27" s="7">
        <f>AVERAGE(N10:N25)</f>
        <v>2.7289425365176614E-2</v>
      </c>
    </row>
    <row r="28" spans="1:14" x14ac:dyDescent="0.25">
      <c r="G28" s="3" t="s">
        <v>39</v>
      </c>
      <c r="H28" s="3">
        <f>SLOPE(H10:H25,C10:C25)</f>
        <v>2.199191339215782</v>
      </c>
      <c r="K28" s="3" t="s">
        <v>42</v>
      </c>
      <c r="L28" s="3" t="s">
        <v>43</v>
      </c>
      <c r="M28" s="3" t="s">
        <v>44</v>
      </c>
      <c r="N28" s="3" t="s">
        <v>45</v>
      </c>
    </row>
    <row r="29" spans="1:14" x14ac:dyDescent="0.25">
      <c r="L29" s="3" t="s">
        <v>46</v>
      </c>
      <c r="M29" s="3">
        <f>SQRT(M26/(COUNT(H10:H25)-1-4))</f>
        <v>7.7833643453006127</v>
      </c>
    </row>
    <row r="30" spans="1:14" x14ac:dyDescent="0.25">
      <c r="A30" s="16" t="s">
        <v>33</v>
      </c>
    </row>
    <row r="31" spans="1:14" x14ac:dyDescent="0.25">
      <c r="B31" s="3" t="s">
        <v>34</v>
      </c>
      <c r="C31" s="3" t="s">
        <v>35</v>
      </c>
      <c r="D31" s="3" t="s">
        <v>36</v>
      </c>
      <c r="E31" s="3" t="s">
        <v>37</v>
      </c>
    </row>
    <row r="32" spans="1:14" x14ac:dyDescent="0.25">
      <c r="D32" s="3">
        <f>F12</f>
        <v>0.70080862533692723</v>
      </c>
      <c r="E32" s="3">
        <f>F13</f>
        <v>0.86515353805073436</v>
      </c>
    </row>
    <row r="33" spans="1:5" x14ac:dyDescent="0.25">
      <c r="B33" s="3">
        <f>F14</f>
        <v>1.4940397350993377</v>
      </c>
      <c r="C33" s="3">
        <f>F15</f>
        <v>0.93561103810775292</v>
      </c>
      <c r="D33" s="3">
        <f>F16</f>
        <v>0.7120418848167539</v>
      </c>
      <c r="E33" s="3">
        <f>F17</f>
        <v>0.87728459530026115</v>
      </c>
    </row>
    <row r="34" spans="1:5" x14ac:dyDescent="0.25">
      <c r="B34" s="3">
        <f>F18</f>
        <v>1.470664928292047</v>
      </c>
      <c r="C34" s="3">
        <f>F19</f>
        <v>0.94915254237288138</v>
      </c>
      <c r="D34" s="3">
        <f>F20</f>
        <v>0.69161290322580649</v>
      </c>
      <c r="E34" s="3">
        <f>F21</f>
        <v>0.85427135678391963</v>
      </c>
    </row>
    <row r="35" spans="1:5" x14ac:dyDescent="0.25">
      <c r="B35" s="3">
        <f>F22</f>
        <v>1.440389294403893</v>
      </c>
      <c r="C35" s="3">
        <f>F23</f>
        <v>1</v>
      </c>
    </row>
    <row r="36" spans="1:5" x14ac:dyDescent="0.25">
      <c r="A36" s="3" t="s">
        <v>6</v>
      </c>
      <c r="B36" s="3">
        <f>AVERAGE(B32:B35)</f>
        <v>1.468364652598426</v>
      </c>
      <c r="C36" s="3">
        <f>AVERAGE(C32:C35)</f>
        <v>0.96158786016021136</v>
      </c>
      <c r="D36" s="3">
        <f>AVERAGE(D32:D35)</f>
        <v>0.70148780445982928</v>
      </c>
      <c r="E36" s="3">
        <f>AVERAGE(E32:E35)</f>
        <v>0.86556983004497168</v>
      </c>
    </row>
    <row r="38" spans="1:5" x14ac:dyDescent="0.25">
      <c r="A38" s="16" t="s">
        <v>40</v>
      </c>
    </row>
    <row r="39" spans="1:5" x14ac:dyDescent="0.25">
      <c r="A39" s="3" t="s">
        <v>4</v>
      </c>
      <c r="B39" s="3" t="s">
        <v>10</v>
      </c>
      <c r="C39" s="3" t="s">
        <v>8</v>
      </c>
      <c r="D39" s="3" t="s">
        <v>11</v>
      </c>
    </row>
    <row r="40" spans="1:5" x14ac:dyDescent="0.25">
      <c r="A40" s="3">
        <v>17</v>
      </c>
      <c r="B40" s="3">
        <f>H27+H28*A40</f>
        <v>214.14940846044806</v>
      </c>
      <c r="C40" s="3">
        <f>B36</f>
        <v>1.468364652598426</v>
      </c>
      <c r="D40" s="3">
        <f>B40*C40</f>
        <v>314.44942175818426</v>
      </c>
    </row>
    <row r="41" spans="1:5" x14ac:dyDescent="0.25">
      <c r="A41" s="3">
        <v>18</v>
      </c>
      <c r="B41" s="3">
        <f>H27+H28*A41</f>
        <v>216.34859979966384</v>
      </c>
      <c r="C41" s="3">
        <f>C36</f>
        <v>0.96158786016021136</v>
      </c>
      <c r="D41" s="3">
        <f>B41*C41</f>
        <v>208.03818713001669</v>
      </c>
    </row>
    <row r="42" spans="1:5" x14ac:dyDescent="0.25">
      <c r="A42" s="3">
        <v>19</v>
      </c>
      <c r="B42" s="3">
        <f>H27+H28*A42</f>
        <v>218.54779113887963</v>
      </c>
      <c r="C42" s="3">
        <f>D36</f>
        <v>0.70148780445982928</v>
      </c>
      <c r="D42" s="3">
        <f>B42*C42</f>
        <v>153.30861017555802</v>
      </c>
    </row>
    <row r="43" spans="1:5" x14ac:dyDescent="0.25">
      <c r="A43" s="3">
        <v>20</v>
      </c>
      <c r="B43" s="3">
        <f>H27+H28*A43</f>
        <v>220.74698247809539</v>
      </c>
      <c r="C43" s="3">
        <f>E36</f>
        <v>0.86556983004497168</v>
      </c>
      <c r="D43" s="3">
        <f>B43*C43</f>
        <v>191.07192810650537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13" workbookViewId="0">
      <selection activeCell="C31" sqref="C31"/>
    </sheetView>
  </sheetViews>
  <sheetFormatPr defaultColWidth="9" defaultRowHeight="15" x14ac:dyDescent="0.25"/>
  <cols>
    <col min="1" max="2" width="10.5703125" style="3" customWidth="1"/>
    <col min="3" max="8" width="9" style="3"/>
    <col min="9" max="9" width="10.28515625" style="3" bestFit="1" customWidth="1"/>
    <col min="10" max="16384" width="9" style="3"/>
  </cols>
  <sheetData>
    <row r="1" spans="1:9" ht="18.75" x14ac:dyDescent="0.3">
      <c r="A1" s="17" t="s">
        <v>71</v>
      </c>
    </row>
    <row r="3" spans="1:9" ht="17.25" x14ac:dyDescent="0.3">
      <c r="A3" s="4" t="s">
        <v>0</v>
      </c>
      <c r="B3" s="4"/>
      <c r="C3" s="4" t="s">
        <v>48</v>
      </c>
      <c r="D3" s="39"/>
      <c r="E3" s="39"/>
      <c r="F3" s="4"/>
      <c r="G3" s="4"/>
      <c r="H3" s="4"/>
    </row>
    <row r="4" spans="1:9" x14ac:dyDescent="0.25">
      <c r="A4" s="2"/>
      <c r="B4" s="2"/>
    </row>
    <row r="8" spans="1:9" ht="15.75" thickBot="1" x14ac:dyDescent="0.3">
      <c r="A8" s="6" t="s">
        <v>3</v>
      </c>
      <c r="E8" s="16" t="s">
        <v>47</v>
      </c>
    </row>
    <row r="9" spans="1:9" x14ac:dyDescent="0.25">
      <c r="A9" s="9" t="s">
        <v>4</v>
      </c>
      <c r="B9" s="10" t="s">
        <v>5</v>
      </c>
      <c r="C9" s="11" t="s">
        <v>52</v>
      </c>
      <c r="E9" s="22" t="s">
        <v>49</v>
      </c>
      <c r="F9" s="23" t="s">
        <v>12</v>
      </c>
      <c r="G9" s="23" t="s">
        <v>50</v>
      </c>
      <c r="H9" s="23" t="s">
        <v>51</v>
      </c>
      <c r="I9" s="24" t="s">
        <v>15</v>
      </c>
    </row>
    <row r="10" spans="1:9" x14ac:dyDescent="0.25">
      <c r="A10" s="12" t="s">
        <v>55</v>
      </c>
      <c r="B10" s="8">
        <v>274</v>
      </c>
      <c r="C10" s="8">
        <v>1</v>
      </c>
      <c r="E10" s="21">
        <f t="shared" ref="E10:E25" si="0">$B$27+$B$28*C10</f>
        <v>197.26470588235293</v>
      </c>
      <c r="F10" s="20">
        <f t="shared" ref="F10:F25" si="1">B10-E10</f>
        <v>76.735294117647072</v>
      </c>
      <c r="G10" s="20">
        <f t="shared" ref="G10:G25" si="2">ABS(F10)</f>
        <v>76.735294117647072</v>
      </c>
      <c r="H10" s="20">
        <f t="shared" ref="H10:H25" si="3">F10^2</f>
        <v>5888.3053633218015</v>
      </c>
      <c r="I10" s="25">
        <f t="shared" ref="I10:I25" si="4">G10/B10</f>
        <v>0.28005581794761703</v>
      </c>
    </row>
    <row r="11" spans="1:9" x14ac:dyDescent="0.25">
      <c r="A11" s="12" t="s">
        <v>56</v>
      </c>
      <c r="B11" s="8">
        <v>172</v>
      </c>
      <c r="C11" s="8">
        <v>2</v>
      </c>
      <c r="E11" s="21">
        <f t="shared" si="0"/>
        <v>196.92941176470589</v>
      </c>
      <c r="F11" s="20">
        <f t="shared" si="1"/>
        <v>-24.92941176470589</v>
      </c>
      <c r="G11" s="20">
        <f t="shared" si="2"/>
        <v>24.92941176470589</v>
      </c>
      <c r="H11" s="20">
        <f t="shared" si="3"/>
        <v>621.47557093425644</v>
      </c>
      <c r="I11" s="25">
        <f t="shared" si="4"/>
        <v>0.14493844049247609</v>
      </c>
    </row>
    <row r="12" spans="1:9" x14ac:dyDescent="0.25">
      <c r="A12" s="12" t="s">
        <v>57</v>
      </c>
      <c r="B12" s="8">
        <v>130</v>
      </c>
      <c r="C12" s="8">
        <v>3</v>
      </c>
      <c r="E12" s="21">
        <f t="shared" si="0"/>
        <v>196.59411764705882</v>
      </c>
      <c r="F12" s="20">
        <f t="shared" si="1"/>
        <v>-66.594117647058823</v>
      </c>
      <c r="G12" s="20">
        <f t="shared" si="2"/>
        <v>66.594117647058823</v>
      </c>
      <c r="H12" s="20">
        <f t="shared" si="3"/>
        <v>4434.7765051903116</v>
      </c>
      <c r="I12" s="25">
        <f t="shared" si="4"/>
        <v>0.51226244343891403</v>
      </c>
    </row>
    <row r="13" spans="1:9" x14ac:dyDescent="0.25">
      <c r="A13" s="12" t="s">
        <v>58</v>
      </c>
      <c r="B13" s="8">
        <v>162</v>
      </c>
      <c r="C13" s="8">
        <v>4</v>
      </c>
      <c r="E13" s="21">
        <f t="shared" si="0"/>
        <v>196.25882352941176</v>
      </c>
      <c r="F13" s="20">
        <f t="shared" si="1"/>
        <v>-34.258823529411757</v>
      </c>
      <c r="G13" s="20">
        <f t="shared" si="2"/>
        <v>34.258823529411757</v>
      </c>
      <c r="H13" s="20">
        <f t="shared" si="3"/>
        <v>1173.6669896193766</v>
      </c>
      <c r="I13" s="25">
        <f t="shared" si="4"/>
        <v>0.21147421931735652</v>
      </c>
    </row>
    <row r="14" spans="1:9" x14ac:dyDescent="0.25">
      <c r="A14" s="12" t="s">
        <v>59</v>
      </c>
      <c r="B14" s="8">
        <v>282</v>
      </c>
      <c r="C14" s="8">
        <v>5</v>
      </c>
      <c r="E14" s="21">
        <f t="shared" si="0"/>
        <v>195.92352941176469</v>
      </c>
      <c r="F14" s="20">
        <f t="shared" si="1"/>
        <v>86.07647058823531</v>
      </c>
      <c r="G14" s="20">
        <f t="shared" si="2"/>
        <v>86.07647058823531</v>
      </c>
      <c r="H14" s="20">
        <f t="shared" si="3"/>
        <v>7409.1587889273387</v>
      </c>
      <c r="I14" s="25">
        <f t="shared" si="4"/>
        <v>0.30523571130579896</v>
      </c>
    </row>
    <row r="15" spans="1:9" x14ac:dyDescent="0.25">
      <c r="A15" s="12" t="s">
        <v>60</v>
      </c>
      <c r="B15" s="8">
        <v>178</v>
      </c>
      <c r="C15" s="8">
        <v>6</v>
      </c>
      <c r="E15" s="21">
        <f t="shared" si="0"/>
        <v>195.58823529411765</v>
      </c>
      <c r="F15" s="20">
        <f t="shared" si="1"/>
        <v>-17.588235294117652</v>
      </c>
      <c r="G15" s="20">
        <f t="shared" si="2"/>
        <v>17.588235294117652</v>
      </c>
      <c r="H15" s="20">
        <f t="shared" si="3"/>
        <v>309.34602076124582</v>
      </c>
      <c r="I15" s="25">
        <f t="shared" si="4"/>
        <v>9.8810310641110399E-2</v>
      </c>
    </row>
    <row r="16" spans="1:9" x14ac:dyDescent="0.25">
      <c r="A16" s="12" t="s">
        <v>61</v>
      </c>
      <c r="B16" s="8">
        <v>136</v>
      </c>
      <c r="C16" s="8">
        <v>7</v>
      </c>
      <c r="E16" s="21">
        <f t="shared" si="0"/>
        <v>195.25294117647059</v>
      </c>
      <c r="F16" s="20">
        <f t="shared" si="1"/>
        <v>-59.252941176470586</v>
      </c>
      <c r="G16" s="20">
        <f t="shared" si="2"/>
        <v>59.252941176470586</v>
      </c>
      <c r="H16" s="20">
        <f t="shared" si="3"/>
        <v>3510.9110380622833</v>
      </c>
      <c r="I16" s="25">
        <f t="shared" si="4"/>
        <v>0.43568339100346021</v>
      </c>
    </row>
    <row r="17" spans="1:9" x14ac:dyDescent="0.25">
      <c r="A17" s="12" t="s">
        <v>62</v>
      </c>
      <c r="B17" s="8">
        <v>168</v>
      </c>
      <c r="C17" s="8">
        <v>8</v>
      </c>
      <c r="E17" s="21">
        <f t="shared" si="0"/>
        <v>194.91764705882352</v>
      </c>
      <c r="F17" s="20">
        <f t="shared" si="1"/>
        <v>-26.917647058823519</v>
      </c>
      <c r="G17" s="20">
        <f t="shared" si="2"/>
        <v>26.917647058823519</v>
      </c>
      <c r="H17" s="20">
        <f t="shared" si="3"/>
        <v>724.55972318339047</v>
      </c>
      <c r="I17" s="25">
        <f t="shared" si="4"/>
        <v>0.16022408963585427</v>
      </c>
    </row>
    <row r="18" spans="1:9" x14ac:dyDescent="0.25">
      <c r="A18" s="12" t="s">
        <v>63</v>
      </c>
      <c r="B18" s="8">
        <v>282</v>
      </c>
      <c r="C18" s="8">
        <v>9</v>
      </c>
      <c r="E18" s="21">
        <f t="shared" si="0"/>
        <v>194.58235294117645</v>
      </c>
      <c r="F18" s="20">
        <f t="shared" si="1"/>
        <v>87.417647058823547</v>
      </c>
      <c r="G18" s="20">
        <f t="shared" si="2"/>
        <v>87.417647058823547</v>
      </c>
      <c r="H18" s="20">
        <f t="shared" si="3"/>
        <v>7641.8450173010415</v>
      </c>
      <c r="I18" s="25">
        <f t="shared" si="4"/>
        <v>0.30999165623696295</v>
      </c>
    </row>
    <row r="19" spans="1:9" x14ac:dyDescent="0.25">
      <c r="A19" s="12" t="s">
        <v>64</v>
      </c>
      <c r="B19" s="8">
        <v>182</v>
      </c>
      <c r="C19" s="8">
        <v>10</v>
      </c>
      <c r="E19" s="21">
        <f t="shared" si="0"/>
        <v>194.24705882352941</v>
      </c>
      <c r="F19" s="20">
        <f t="shared" si="1"/>
        <v>-12.247058823529414</v>
      </c>
      <c r="G19" s="20">
        <f t="shared" si="2"/>
        <v>12.247058823529414</v>
      </c>
      <c r="H19" s="20">
        <f t="shared" si="3"/>
        <v>149.99044982698967</v>
      </c>
      <c r="I19" s="25">
        <f t="shared" si="4"/>
        <v>6.7291531997414361E-2</v>
      </c>
    </row>
    <row r="20" spans="1:9" x14ac:dyDescent="0.25">
      <c r="A20" s="12" t="s">
        <v>65</v>
      </c>
      <c r="B20" s="8">
        <v>134</v>
      </c>
      <c r="C20" s="8">
        <v>11</v>
      </c>
      <c r="E20" s="21">
        <f t="shared" si="0"/>
        <v>193.91176470588235</v>
      </c>
      <c r="F20" s="20">
        <f t="shared" si="1"/>
        <v>-59.911764705882348</v>
      </c>
      <c r="G20" s="20">
        <f t="shared" si="2"/>
        <v>59.911764705882348</v>
      </c>
      <c r="H20" s="20">
        <f t="shared" si="3"/>
        <v>3589.4195501730096</v>
      </c>
      <c r="I20" s="25">
        <f t="shared" si="4"/>
        <v>0.44710272168568915</v>
      </c>
    </row>
    <row r="21" spans="1:9" x14ac:dyDescent="0.25">
      <c r="A21" s="12" t="s">
        <v>66</v>
      </c>
      <c r="B21" s="8">
        <v>170</v>
      </c>
      <c r="C21" s="8">
        <v>12</v>
      </c>
      <c r="E21" s="21">
        <f t="shared" si="0"/>
        <v>193.57647058823528</v>
      </c>
      <c r="F21" s="20">
        <f t="shared" si="1"/>
        <v>-23.576470588235281</v>
      </c>
      <c r="G21" s="20">
        <f t="shared" si="2"/>
        <v>23.576470588235281</v>
      </c>
      <c r="H21" s="20">
        <f t="shared" si="3"/>
        <v>555.84996539792326</v>
      </c>
      <c r="I21" s="25">
        <f t="shared" si="4"/>
        <v>0.13868512110726636</v>
      </c>
    </row>
    <row r="22" spans="1:9" x14ac:dyDescent="0.25">
      <c r="A22" s="12" t="s">
        <v>67</v>
      </c>
      <c r="B22" s="8">
        <v>296</v>
      </c>
      <c r="C22" s="8">
        <v>13</v>
      </c>
      <c r="E22" s="21">
        <f t="shared" si="0"/>
        <v>193.24117647058824</v>
      </c>
      <c r="F22" s="20">
        <f t="shared" si="1"/>
        <v>102.75882352941176</v>
      </c>
      <c r="G22" s="20">
        <f t="shared" si="2"/>
        <v>102.75882352941176</v>
      </c>
      <c r="H22" s="20">
        <f t="shared" si="3"/>
        <v>10559.375813148787</v>
      </c>
      <c r="I22" s="25">
        <f t="shared" si="4"/>
        <v>0.34715818759936407</v>
      </c>
    </row>
    <row r="23" spans="1:9" x14ac:dyDescent="0.25">
      <c r="A23" s="12" t="s">
        <v>68</v>
      </c>
      <c r="B23" s="8">
        <v>210</v>
      </c>
      <c r="C23" s="8">
        <v>14</v>
      </c>
      <c r="E23" s="21">
        <f t="shared" si="0"/>
        <v>192.90588235294118</v>
      </c>
      <c r="F23" s="20">
        <f t="shared" si="1"/>
        <v>17.094117647058823</v>
      </c>
      <c r="G23" s="20">
        <f t="shared" si="2"/>
        <v>17.094117647058823</v>
      </c>
      <c r="H23" s="20">
        <f t="shared" si="3"/>
        <v>292.20885813148789</v>
      </c>
      <c r="I23" s="25">
        <f t="shared" si="4"/>
        <v>8.1400560224089633E-2</v>
      </c>
    </row>
    <row r="24" spans="1:9" x14ac:dyDescent="0.25">
      <c r="A24" s="12" t="s">
        <v>69</v>
      </c>
      <c r="B24" s="8">
        <v>158</v>
      </c>
      <c r="C24" s="8">
        <v>15</v>
      </c>
      <c r="E24" s="21">
        <f t="shared" si="0"/>
        <v>192.57058823529411</v>
      </c>
      <c r="F24" s="20">
        <f t="shared" si="1"/>
        <v>-34.57058823529411</v>
      </c>
      <c r="G24" s="20">
        <f t="shared" si="2"/>
        <v>34.57058823529411</v>
      </c>
      <c r="H24" s="20">
        <f t="shared" si="3"/>
        <v>1195.1255709342556</v>
      </c>
      <c r="I24" s="25">
        <f t="shared" si="4"/>
        <v>0.21880119136262094</v>
      </c>
    </row>
    <row r="25" spans="1:9" ht="15.75" thickBot="1" x14ac:dyDescent="0.3">
      <c r="A25" s="14" t="s">
        <v>70</v>
      </c>
      <c r="B25" s="8">
        <v>182</v>
      </c>
      <c r="C25" s="8">
        <v>16</v>
      </c>
      <c r="E25" s="28">
        <f t="shared" si="0"/>
        <v>192.23529411764704</v>
      </c>
      <c r="F25" s="19">
        <f t="shared" si="1"/>
        <v>-10.235294117647044</v>
      </c>
      <c r="G25" s="19">
        <f t="shared" si="2"/>
        <v>10.235294117647044</v>
      </c>
      <c r="H25" s="19">
        <f t="shared" si="3"/>
        <v>104.76124567474018</v>
      </c>
      <c r="I25" s="29">
        <f t="shared" si="4"/>
        <v>5.623787976729145E-2</v>
      </c>
    </row>
    <row r="26" spans="1:9" ht="15.75" thickBot="1" x14ac:dyDescent="0.3">
      <c r="E26" s="22" t="s">
        <v>41</v>
      </c>
      <c r="F26" s="23">
        <f>SUM(F10:F25)</f>
        <v>8.5265128291212022E-14</v>
      </c>
      <c r="G26" s="23">
        <f>SUM(G10:G25)</f>
        <v>740.16470588235302</v>
      </c>
      <c r="H26" s="23">
        <f>SUM(H10:H25)</f>
        <v>48160.776470588236</v>
      </c>
      <c r="I26" s="24">
        <f>SUM(I10:I25)</f>
        <v>3.8153532737632863</v>
      </c>
    </row>
    <row r="27" spans="1:9" x14ac:dyDescent="0.25">
      <c r="A27" s="31" t="s">
        <v>38</v>
      </c>
      <c r="B27" s="38">
        <f>INTERCEPT(B10:B25,C10:C25)</f>
        <v>197.6</v>
      </c>
      <c r="E27" s="30" t="s">
        <v>6</v>
      </c>
      <c r="F27" s="27">
        <f>AVERAGE(F10:F25)</f>
        <v>5.3290705182007514E-15</v>
      </c>
      <c r="G27" s="27">
        <f>AVERAGE(G10:G25)</f>
        <v>46.260294117647064</v>
      </c>
      <c r="H27" s="27">
        <f>AVERAGE(H10:H25)</f>
        <v>3010.0485294117648</v>
      </c>
      <c r="I27" s="35">
        <f>AVERAGE(I10:I25)</f>
        <v>0.23845957961020539</v>
      </c>
    </row>
    <row r="28" spans="1:9" ht="15.75" thickBot="1" x14ac:dyDescent="0.3">
      <c r="A28" s="32" t="s">
        <v>39</v>
      </c>
      <c r="B28" s="37">
        <f>SLOPE(B10:B25,C10:C25)</f>
        <v>-0.3352941176470588</v>
      </c>
      <c r="E28" s="30"/>
      <c r="F28" s="27" t="s">
        <v>42</v>
      </c>
      <c r="G28" s="27" t="s">
        <v>43</v>
      </c>
      <c r="H28" s="27" t="s">
        <v>44</v>
      </c>
      <c r="I28" s="36" t="s">
        <v>45</v>
      </c>
    </row>
    <row r="29" spans="1:9" x14ac:dyDescent="0.25">
      <c r="E29" s="30"/>
      <c r="F29" s="27"/>
      <c r="G29" s="27" t="s">
        <v>46</v>
      </c>
      <c r="H29" s="27">
        <f>STEYX(B10:B25,C10:C25)</f>
        <v>58.651986003756718</v>
      </c>
      <c r="I29" s="36"/>
    </row>
    <row r="30" spans="1:9" x14ac:dyDescent="0.25">
      <c r="A30" s="16" t="s">
        <v>49</v>
      </c>
      <c r="B30" s="16">
        <f>$B$27+$B$28*C30</f>
        <v>191.56470588235294</v>
      </c>
      <c r="C30" s="18">
        <v>18</v>
      </c>
      <c r="E30" s="30"/>
      <c r="F30" s="27"/>
      <c r="G30" s="27"/>
      <c r="H30" s="27"/>
      <c r="I30" s="36"/>
    </row>
    <row r="31" spans="1:9" x14ac:dyDescent="0.25">
      <c r="E31" s="30"/>
      <c r="F31" s="27"/>
      <c r="G31" s="27" t="s">
        <v>53</v>
      </c>
      <c r="H31" s="27">
        <f>CORREL(B10:B25,C10:C25)</f>
        <v>-2.8160890174589899E-2</v>
      </c>
      <c r="I31" s="36"/>
    </row>
    <row r="32" spans="1:9" ht="15.75" thickBot="1" x14ac:dyDescent="0.3">
      <c r="E32" s="32"/>
      <c r="F32" s="33"/>
      <c r="G32" s="34" t="s">
        <v>54</v>
      </c>
      <c r="H32" s="33">
        <f>H31*H31</f>
        <v>7.9303573542531395E-4</v>
      </c>
      <c r="I32" s="37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9"/>
  <sheetViews>
    <sheetView workbookViewId="0">
      <selection activeCell="H39" sqref="H39"/>
    </sheetView>
  </sheetViews>
  <sheetFormatPr defaultColWidth="9" defaultRowHeight="15" x14ac:dyDescent="0.25"/>
  <cols>
    <col min="1" max="2" width="10.5703125" style="3" customWidth="1"/>
    <col min="3" max="8" width="9" style="3"/>
    <col min="9" max="9" width="10.28515625" style="3" bestFit="1" customWidth="1"/>
    <col min="10" max="16384" width="9" style="3"/>
  </cols>
  <sheetData>
    <row r="1" spans="1:9" ht="18.75" x14ac:dyDescent="0.3">
      <c r="A1" s="17" t="s">
        <v>98</v>
      </c>
    </row>
    <row r="3" spans="1:9" ht="17.25" x14ac:dyDescent="0.3">
      <c r="A3" s="4" t="s">
        <v>0</v>
      </c>
      <c r="B3" s="4"/>
      <c r="C3" s="4" t="s">
        <v>48</v>
      </c>
      <c r="D3" s="39"/>
      <c r="E3" s="39"/>
      <c r="F3" s="4"/>
      <c r="G3" s="4"/>
      <c r="H3" s="4"/>
    </row>
    <row r="4" spans="1:9" x14ac:dyDescent="0.25">
      <c r="A4" s="2"/>
      <c r="B4" s="2"/>
    </row>
    <row r="8" spans="1:9" ht="15.75" thickBot="1" x14ac:dyDescent="0.3">
      <c r="A8" s="6" t="s">
        <v>3</v>
      </c>
      <c r="E8" s="16" t="s">
        <v>47</v>
      </c>
    </row>
    <row r="9" spans="1:9" x14ac:dyDescent="0.25">
      <c r="A9" s="9" t="s">
        <v>4</v>
      </c>
      <c r="B9" s="10" t="s">
        <v>5</v>
      </c>
      <c r="C9" s="11" t="s">
        <v>52</v>
      </c>
      <c r="E9" s="22" t="s">
        <v>49</v>
      </c>
      <c r="F9" s="23" t="s">
        <v>12</v>
      </c>
      <c r="G9" s="23" t="s">
        <v>50</v>
      </c>
      <c r="H9" s="23" t="s">
        <v>51</v>
      </c>
      <c r="I9" s="24" t="s">
        <v>15</v>
      </c>
    </row>
    <row r="10" spans="1:9" x14ac:dyDescent="0.25">
      <c r="A10" s="12" t="s">
        <v>78</v>
      </c>
      <c r="B10" s="8">
        <v>2634</v>
      </c>
      <c r="C10" s="8">
        <v>1</v>
      </c>
      <c r="E10" s="21">
        <f t="shared" ref="E10:E29" si="0">$B$31+$B$32*C10</f>
        <v>3398.3571428571427</v>
      </c>
      <c r="F10" s="20">
        <f t="shared" ref="F10:F29" si="1">B10-E10</f>
        <v>-764.35714285714266</v>
      </c>
      <c r="G10" s="20">
        <f t="shared" ref="G10:G29" si="2">ABS(F10)</f>
        <v>764.35714285714266</v>
      </c>
      <c r="H10" s="20">
        <f t="shared" ref="H10:H29" si="3">F10^2</f>
        <v>584241.84183673444</v>
      </c>
      <c r="I10" s="25">
        <f t="shared" ref="I10:I29" si="4">G10/B10</f>
        <v>0.29018874064432143</v>
      </c>
    </row>
    <row r="11" spans="1:9" x14ac:dyDescent="0.25">
      <c r="A11" s="12" t="s">
        <v>79</v>
      </c>
      <c r="B11" s="8">
        <v>3169</v>
      </c>
      <c r="C11" s="8">
        <v>2</v>
      </c>
      <c r="E11" s="21">
        <f t="shared" si="0"/>
        <v>3898.082706766917</v>
      </c>
      <c r="F11" s="20">
        <f t="shared" si="1"/>
        <v>-729.082706766917</v>
      </c>
      <c r="G11" s="20">
        <f t="shared" si="2"/>
        <v>729.082706766917</v>
      </c>
      <c r="H11" s="20">
        <f t="shared" si="3"/>
        <v>531561.59330657427</v>
      </c>
      <c r="I11" s="25">
        <f t="shared" si="4"/>
        <v>0.23006712110032093</v>
      </c>
    </row>
    <row r="12" spans="1:9" x14ac:dyDescent="0.25">
      <c r="A12" s="12" t="s">
        <v>80</v>
      </c>
      <c r="B12" s="8">
        <v>3301</v>
      </c>
      <c r="C12" s="8">
        <v>3</v>
      </c>
      <c r="E12" s="21">
        <f t="shared" si="0"/>
        <v>4397.8082706766918</v>
      </c>
      <c r="F12" s="20">
        <f t="shared" si="1"/>
        <v>-1096.8082706766918</v>
      </c>
      <c r="G12" s="20">
        <f t="shared" si="2"/>
        <v>1096.8082706766918</v>
      </c>
      <c r="H12" s="20">
        <f t="shared" si="3"/>
        <v>1202988.3826247952</v>
      </c>
      <c r="I12" s="25">
        <f t="shared" si="4"/>
        <v>0.33226545612744374</v>
      </c>
    </row>
    <row r="13" spans="1:9" x14ac:dyDescent="0.25">
      <c r="A13" s="12" t="s">
        <v>81</v>
      </c>
      <c r="B13" s="8">
        <v>3754</v>
      </c>
      <c r="C13" s="8">
        <v>4</v>
      </c>
      <c r="E13" s="21">
        <f t="shared" si="0"/>
        <v>4897.5338345864657</v>
      </c>
      <c r="F13" s="20">
        <f t="shared" si="1"/>
        <v>-1143.5338345864657</v>
      </c>
      <c r="G13" s="20">
        <f t="shared" si="2"/>
        <v>1143.5338345864657</v>
      </c>
      <c r="H13" s="20">
        <f t="shared" si="3"/>
        <v>1307669.6308440263</v>
      </c>
      <c r="I13" s="25">
        <f t="shared" si="4"/>
        <v>0.3046174306303851</v>
      </c>
    </row>
    <row r="14" spans="1:9" x14ac:dyDescent="0.25">
      <c r="A14" s="12" t="s">
        <v>82</v>
      </c>
      <c r="B14" s="8">
        <v>3834</v>
      </c>
      <c r="C14" s="8">
        <v>5</v>
      </c>
      <c r="E14" s="21">
        <f t="shared" si="0"/>
        <v>5397.2593984962405</v>
      </c>
      <c r="F14" s="20">
        <f t="shared" si="1"/>
        <v>-1563.2593984962405</v>
      </c>
      <c r="G14" s="20">
        <f t="shared" si="2"/>
        <v>1563.2593984962405</v>
      </c>
      <c r="H14" s="20">
        <f t="shared" si="3"/>
        <v>2443779.9469868275</v>
      </c>
      <c r="I14" s="25">
        <f t="shared" si="4"/>
        <v>0.40773588901832042</v>
      </c>
    </row>
    <row r="15" spans="1:9" x14ac:dyDescent="0.25">
      <c r="A15" s="12" t="s">
        <v>83</v>
      </c>
      <c r="B15" s="8">
        <v>5117</v>
      </c>
      <c r="C15" s="8">
        <v>6</v>
      </c>
      <c r="E15" s="21">
        <f t="shared" si="0"/>
        <v>5896.9849624060153</v>
      </c>
      <c r="F15" s="20">
        <f t="shared" si="1"/>
        <v>-779.98496240601526</v>
      </c>
      <c r="G15" s="20">
        <f t="shared" si="2"/>
        <v>779.98496240601526</v>
      </c>
      <c r="H15" s="20">
        <f t="shared" si="3"/>
        <v>608376.541579513</v>
      </c>
      <c r="I15" s="25">
        <f t="shared" si="4"/>
        <v>0.15243012749775556</v>
      </c>
    </row>
    <row r="16" spans="1:9" x14ac:dyDescent="0.25">
      <c r="A16" s="12" t="s">
        <v>84</v>
      </c>
      <c r="B16" s="8">
        <v>6448</v>
      </c>
      <c r="C16" s="8">
        <v>7</v>
      </c>
      <c r="E16" s="21">
        <f t="shared" si="0"/>
        <v>6396.71052631579</v>
      </c>
      <c r="F16" s="20">
        <f t="shared" si="1"/>
        <v>51.289473684209952</v>
      </c>
      <c r="G16" s="20">
        <f t="shared" si="2"/>
        <v>51.289473684209952</v>
      </c>
      <c r="H16" s="20">
        <f t="shared" si="3"/>
        <v>2630.6101108032653</v>
      </c>
      <c r="I16" s="25">
        <f t="shared" si="4"/>
        <v>7.9543228418439745E-3</v>
      </c>
    </row>
    <row r="17" spans="1:9" x14ac:dyDescent="0.25">
      <c r="A17" s="12" t="s">
        <v>85</v>
      </c>
      <c r="B17" s="8">
        <v>7908</v>
      </c>
      <c r="C17" s="8">
        <v>8</v>
      </c>
      <c r="E17" s="21">
        <f t="shared" si="0"/>
        <v>6896.4360902255639</v>
      </c>
      <c r="F17" s="20">
        <f t="shared" si="1"/>
        <v>1011.5639097744361</v>
      </c>
      <c r="G17" s="20">
        <f t="shared" si="2"/>
        <v>1011.5639097744361</v>
      </c>
      <c r="H17" s="20">
        <f t="shared" si="3"/>
        <v>1023261.5435581434</v>
      </c>
      <c r="I17" s="25">
        <f t="shared" si="4"/>
        <v>0.12791652880303947</v>
      </c>
    </row>
    <row r="18" spans="1:9" x14ac:dyDescent="0.25">
      <c r="A18" s="12" t="s">
        <v>86</v>
      </c>
      <c r="B18" s="8">
        <v>9213</v>
      </c>
      <c r="C18" s="8">
        <v>9</v>
      </c>
      <c r="E18" s="21">
        <f t="shared" si="0"/>
        <v>7396.1616541353387</v>
      </c>
      <c r="F18" s="20">
        <f t="shared" si="1"/>
        <v>1816.8383458646613</v>
      </c>
      <c r="G18" s="20">
        <f t="shared" si="2"/>
        <v>1816.8383458646613</v>
      </c>
      <c r="H18" s="20">
        <f t="shared" si="3"/>
        <v>3300901.5750042386</v>
      </c>
      <c r="I18" s="25">
        <f t="shared" si="4"/>
        <v>0.1972037713952742</v>
      </c>
    </row>
    <row r="19" spans="1:9" x14ac:dyDescent="0.25">
      <c r="A19" s="12" t="s">
        <v>87</v>
      </c>
      <c r="B19" s="8">
        <v>11502</v>
      </c>
      <c r="C19" s="8">
        <v>10</v>
      </c>
      <c r="E19" s="21">
        <f t="shared" si="0"/>
        <v>7895.8872180451126</v>
      </c>
      <c r="F19" s="20">
        <f t="shared" si="1"/>
        <v>3606.1127819548874</v>
      </c>
      <c r="G19" s="20">
        <f t="shared" si="2"/>
        <v>3606.1127819548874</v>
      </c>
      <c r="H19" s="20">
        <f t="shared" si="3"/>
        <v>13004049.396178417</v>
      </c>
      <c r="I19" s="25">
        <f t="shared" si="4"/>
        <v>0.31352049921360525</v>
      </c>
    </row>
    <row r="20" spans="1:9" x14ac:dyDescent="0.25">
      <c r="A20" s="12" t="s">
        <v>88</v>
      </c>
      <c r="B20" s="8">
        <v>10791</v>
      </c>
      <c r="C20" s="8">
        <v>11</v>
      </c>
      <c r="E20" s="21">
        <f t="shared" si="0"/>
        <v>8395.6127819548874</v>
      </c>
      <c r="F20" s="20">
        <f t="shared" si="1"/>
        <v>2395.3872180451126</v>
      </c>
      <c r="G20" s="20">
        <f t="shared" si="2"/>
        <v>2395.3872180451126</v>
      </c>
      <c r="H20" s="20">
        <f t="shared" si="3"/>
        <v>5737879.9243739042</v>
      </c>
      <c r="I20" s="25">
        <f t="shared" si="4"/>
        <v>0.22198009619545109</v>
      </c>
    </row>
    <row r="21" spans="1:9" x14ac:dyDescent="0.25">
      <c r="A21" s="12" t="s">
        <v>89</v>
      </c>
      <c r="B21" s="8">
        <v>10022</v>
      </c>
      <c r="C21" s="8">
        <v>12</v>
      </c>
      <c r="E21" s="21">
        <f t="shared" si="0"/>
        <v>8895.3383458646622</v>
      </c>
      <c r="F21" s="20">
        <f t="shared" si="1"/>
        <v>1126.6616541353378</v>
      </c>
      <c r="G21" s="20">
        <f t="shared" si="2"/>
        <v>1126.6616541353378</v>
      </c>
      <c r="H21" s="20">
        <f t="shared" si="3"/>
        <v>1269366.4828989755</v>
      </c>
      <c r="I21" s="25">
        <f t="shared" si="4"/>
        <v>0.11241884395682876</v>
      </c>
    </row>
    <row r="22" spans="1:9" x14ac:dyDescent="0.25">
      <c r="A22" s="12" t="s">
        <v>90</v>
      </c>
      <c r="B22" s="8">
        <v>8342</v>
      </c>
      <c r="C22" s="8">
        <v>13</v>
      </c>
      <c r="E22" s="21">
        <f t="shared" si="0"/>
        <v>9395.0639097744352</v>
      </c>
      <c r="F22" s="20">
        <f t="shared" si="1"/>
        <v>-1053.0639097744352</v>
      </c>
      <c r="G22" s="20">
        <f t="shared" si="2"/>
        <v>1053.0639097744352</v>
      </c>
      <c r="H22" s="20">
        <f t="shared" si="3"/>
        <v>1108943.5980694196</v>
      </c>
      <c r="I22" s="25">
        <f t="shared" si="4"/>
        <v>0.1262363833342646</v>
      </c>
    </row>
    <row r="23" spans="1:9" x14ac:dyDescent="0.25">
      <c r="A23" s="12" t="s">
        <v>91</v>
      </c>
      <c r="B23" s="8">
        <v>10453</v>
      </c>
      <c r="C23" s="8">
        <v>14</v>
      </c>
      <c r="E23" s="21">
        <f t="shared" si="0"/>
        <v>9894.78947368421</v>
      </c>
      <c r="F23" s="20">
        <f t="shared" si="1"/>
        <v>558.21052631579005</v>
      </c>
      <c r="G23" s="20">
        <f t="shared" si="2"/>
        <v>558.21052631579005</v>
      </c>
      <c r="H23" s="20">
        <f t="shared" si="3"/>
        <v>311598.99168975133</v>
      </c>
      <c r="I23" s="25">
        <f t="shared" si="4"/>
        <v>5.3401944543747255E-2</v>
      </c>
    </row>
    <row r="24" spans="1:9" x14ac:dyDescent="0.25">
      <c r="A24" s="12" t="s">
        <v>92</v>
      </c>
      <c r="B24" s="8">
        <v>10784</v>
      </c>
      <c r="C24" s="8">
        <v>15</v>
      </c>
      <c r="E24" s="21">
        <f t="shared" si="0"/>
        <v>10394.515037593985</v>
      </c>
      <c r="F24" s="20">
        <f t="shared" si="1"/>
        <v>389.48496240601526</v>
      </c>
      <c r="G24" s="20">
        <f t="shared" si="2"/>
        <v>389.48496240601526</v>
      </c>
      <c r="H24" s="20">
        <f t="shared" si="3"/>
        <v>151698.53594041511</v>
      </c>
      <c r="I24" s="25">
        <f t="shared" si="4"/>
        <v>3.6116929006492514E-2</v>
      </c>
    </row>
    <row r="25" spans="1:9" x14ac:dyDescent="0.25">
      <c r="A25" s="12" t="s">
        <v>93</v>
      </c>
      <c r="B25" s="8">
        <v>10718</v>
      </c>
      <c r="C25" s="8">
        <v>16</v>
      </c>
      <c r="E25" s="21">
        <f t="shared" si="0"/>
        <v>10894.24060150376</v>
      </c>
      <c r="F25" s="20">
        <f t="shared" si="1"/>
        <v>-176.24060150375954</v>
      </c>
      <c r="G25" s="20">
        <f t="shared" si="2"/>
        <v>176.24060150375954</v>
      </c>
      <c r="H25" s="20">
        <f t="shared" si="3"/>
        <v>31060.749618406968</v>
      </c>
      <c r="I25" s="25">
        <f t="shared" si="4"/>
        <v>1.6443422420578422E-2</v>
      </c>
    </row>
    <row r="26" spans="1:9" x14ac:dyDescent="0.25">
      <c r="A26" s="12" t="s">
        <v>94</v>
      </c>
      <c r="B26" s="8">
        <v>12460</v>
      </c>
      <c r="C26" s="8">
        <v>17</v>
      </c>
      <c r="E26" s="21">
        <f t="shared" si="0"/>
        <v>11393.966165413534</v>
      </c>
      <c r="F26" s="20">
        <f t="shared" si="1"/>
        <v>1066.0338345864657</v>
      </c>
      <c r="G26" s="20">
        <f t="shared" si="2"/>
        <v>1066.0338345864657</v>
      </c>
      <c r="H26" s="20">
        <f t="shared" si="3"/>
        <v>1136428.136483124</v>
      </c>
      <c r="I26" s="25">
        <f t="shared" si="4"/>
        <v>8.5556487527003663E-2</v>
      </c>
    </row>
    <row r="27" spans="1:9" x14ac:dyDescent="0.25">
      <c r="A27" s="12" t="s">
        <v>95</v>
      </c>
      <c r="B27" s="8">
        <v>13262</v>
      </c>
      <c r="C27" s="8">
        <v>18</v>
      </c>
      <c r="E27" s="21">
        <f t="shared" si="0"/>
        <v>11893.691729323309</v>
      </c>
      <c r="F27" s="20">
        <f t="shared" si="1"/>
        <v>1368.3082706766909</v>
      </c>
      <c r="G27" s="20">
        <f t="shared" si="2"/>
        <v>1368.3082706766909</v>
      </c>
      <c r="H27" s="20">
        <f t="shared" si="3"/>
        <v>1872267.5236022363</v>
      </c>
      <c r="I27" s="25">
        <f t="shared" si="4"/>
        <v>0.10317510712386449</v>
      </c>
    </row>
    <row r="28" spans="1:9" x14ac:dyDescent="0.25">
      <c r="A28" s="12" t="s">
        <v>96</v>
      </c>
      <c r="B28" s="8">
        <v>8772</v>
      </c>
      <c r="C28" s="8">
        <v>19</v>
      </c>
      <c r="E28" s="21">
        <f t="shared" si="0"/>
        <v>12393.417293233082</v>
      </c>
      <c r="F28" s="20">
        <f t="shared" si="1"/>
        <v>-3621.4172932330821</v>
      </c>
      <c r="G28" s="20">
        <f t="shared" si="2"/>
        <v>3621.4172932330821</v>
      </c>
      <c r="H28" s="20">
        <f t="shared" si="3"/>
        <v>13114663.211727623</v>
      </c>
      <c r="I28" s="25">
        <f t="shared" si="4"/>
        <v>0.41283826872242158</v>
      </c>
    </row>
    <row r="29" spans="1:9" ht="15.75" thickBot="1" x14ac:dyDescent="0.3">
      <c r="A29" s="12" t="s">
        <v>97</v>
      </c>
      <c r="B29" s="8">
        <v>10431</v>
      </c>
      <c r="C29" s="8">
        <v>20</v>
      </c>
      <c r="E29" s="28">
        <f t="shared" si="0"/>
        <v>12893.142857142857</v>
      </c>
      <c r="F29" s="19">
        <f t="shared" si="1"/>
        <v>-2462.1428571428569</v>
      </c>
      <c r="G29" s="19">
        <f t="shared" si="2"/>
        <v>2462.1428571428569</v>
      </c>
      <c r="H29" s="19">
        <f t="shared" si="3"/>
        <v>6062147.448979591</v>
      </c>
      <c r="I29" s="29">
        <f t="shared" si="4"/>
        <v>0.2360409219770738</v>
      </c>
    </row>
    <row r="30" spans="1:9" ht="15.75" thickBot="1" x14ac:dyDescent="0.3">
      <c r="E30" s="22" t="s">
        <v>41</v>
      </c>
      <c r="F30" s="23">
        <f>SUM(F10:F29)</f>
        <v>0</v>
      </c>
      <c r="G30" s="23">
        <f>SUM(G10:G29)</f>
        <v>26779.781954887214</v>
      </c>
      <c r="H30" s="23">
        <f>SUM(H10:H29)</f>
        <v>54805515.665413536</v>
      </c>
      <c r="I30" s="24">
        <f>SUM(I10:I29)</f>
        <v>3.7681082920800359</v>
      </c>
    </row>
    <row r="31" spans="1:9" x14ac:dyDescent="0.25">
      <c r="A31" s="31" t="s">
        <v>38</v>
      </c>
      <c r="B31" s="38">
        <f>INTERCEPT(B10:B29,C10:C29)</f>
        <v>2898.6315789473683</v>
      </c>
      <c r="E31" s="30" t="s">
        <v>6</v>
      </c>
      <c r="F31" s="27">
        <f>AVERAGE(F10:F29)</f>
        <v>0</v>
      </c>
      <c r="G31" s="27">
        <f>AVERAGE(G10:G29)</f>
        <v>1338.9890977443606</v>
      </c>
      <c r="H31" s="27">
        <f>AVERAGE(H10:H29)</f>
        <v>2740275.7832706766</v>
      </c>
      <c r="I31" s="35">
        <f>AVERAGE(I10:I29)</f>
        <v>0.18840541460400179</v>
      </c>
    </row>
    <row r="32" spans="1:9" ht="15.75" thickBot="1" x14ac:dyDescent="0.3">
      <c r="A32" s="32" t="s">
        <v>39</v>
      </c>
      <c r="B32" s="37">
        <f>SLOPE(B10:B29,C10:C29)</f>
        <v>499.72556390977445</v>
      </c>
      <c r="E32" s="30"/>
      <c r="F32" s="27" t="s">
        <v>42</v>
      </c>
      <c r="G32" s="27" t="s">
        <v>43</v>
      </c>
      <c r="H32" s="27" t="s">
        <v>44</v>
      </c>
      <c r="I32" s="36" t="s">
        <v>45</v>
      </c>
    </row>
    <row r="33" spans="1:9" x14ac:dyDescent="0.25">
      <c r="E33" s="30"/>
      <c r="F33" s="27"/>
      <c r="G33" s="27" t="s">
        <v>46</v>
      </c>
      <c r="H33" s="27">
        <f>STEYX(B10:B29,C10:C29)</f>
        <v>1744.9214510403474</v>
      </c>
      <c r="I33" s="36"/>
    </row>
    <row r="34" spans="1:9" x14ac:dyDescent="0.25">
      <c r="A34" s="16" t="s">
        <v>49</v>
      </c>
      <c r="B34" s="16">
        <f>$B$31+$B$32*C34</f>
        <v>13392.868421052632</v>
      </c>
      <c r="C34" s="18">
        <v>21</v>
      </c>
      <c r="E34" s="30"/>
      <c r="F34" s="27"/>
      <c r="G34" s="27"/>
      <c r="H34" s="27"/>
      <c r="I34" s="36"/>
    </row>
    <row r="35" spans="1:9" x14ac:dyDescent="0.25">
      <c r="E35" s="30"/>
      <c r="F35" s="27"/>
      <c r="G35" s="27" t="s">
        <v>53</v>
      </c>
      <c r="H35" s="27">
        <f>CORREL(B10:B29,C10:C29)</f>
        <v>0.86710364079417224</v>
      </c>
      <c r="I35" s="36"/>
    </row>
    <row r="36" spans="1:9" ht="15.75" thickBot="1" x14ac:dyDescent="0.3">
      <c r="E36" s="32"/>
      <c r="F36" s="33"/>
      <c r="G36" s="34" t="s">
        <v>54</v>
      </c>
      <c r="H36" s="33">
        <f>H35*H35</f>
        <v>0.75186872387850889</v>
      </c>
      <c r="I36" s="37"/>
    </row>
    <row r="39" spans="1:9" x14ac:dyDescent="0.25">
      <c r="H39" s="3">
        <v>2740275.7832706766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52"/>
  <sheetViews>
    <sheetView tabSelected="1" zoomScaleNormal="100" workbookViewId="0">
      <selection activeCell="I31" sqref="I31"/>
    </sheetView>
  </sheetViews>
  <sheetFormatPr defaultColWidth="9" defaultRowHeight="15" x14ac:dyDescent="0.25"/>
  <cols>
    <col min="1" max="11" width="9" style="3"/>
    <col min="12" max="12" width="7.42578125" style="3" customWidth="1"/>
    <col min="13" max="13" width="3.7109375" style="3" customWidth="1"/>
    <col min="14" max="14" width="6.28515625" style="3" customWidth="1"/>
    <col min="15" max="15" width="28.42578125" style="3" customWidth="1"/>
    <col min="16" max="16" width="23.42578125" style="3" customWidth="1"/>
    <col min="17" max="17" width="18.42578125" style="3" customWidth="1"/>
    <col min="18" max="18" width="19.28515625" style="3" customWidth="1"/>
    <col min="19" max="19" width="16.28515625" style="3" customWidth="1"/>
    <col min="20" max="20" width="9" style="3"/>
    <col min="21" max="21" width="9" style="3" customWidth="1"/>
    <col min="22" max="22" width="2.5703125" style="3" customWidth="1"/>
    <col min="23" max="23" width="18.42578125" style="3" customWidth="1"/>
    <col min="24" max="24" width="15.5703125" style="3" customWidth="1"/>
    <col min="25" max="16384" width="9" style="3"/>
  </cols>
  <sheetData>
    <row r="1" spans="1:24" ht="19.5" x14ac:dyDescent="0.3">
      <c r="A1" s="1" t="s">
        <v>0</v>
      </c>
      <c r="B1" s="4"/>
      <c r="C1" s="4" t="s">
        <v>99</v>
      </c>
      <c r="D1" s="4"/>
      <c r="E1" s="4"/>
      <c r="F1" s="4"/>
      <c r="G1" s="4"/>
      <c r="H1" s="4"/>
      <c r="I1" s="4"/>
      <c r="J1" s="4"/>
    </row>
    <row r="2" spans="1:24" x14ac:dyDescent="0.25">
      <c r="A2" s="2"/>
      <c r="B2" s="2"/>
    </row>
    <row r="5" spans="1:24" x14ac:dyDescent="0.25">
      <c r="A5" s="3" t="s">
        <v>73</v>
      </c>
      <c r="B5" s="8">
        <v>0.8</v>
      </c>
      <c r="C5" s="40" t="str">
        <f>IF(OR(B5&lt;0,B5&gt;1),"Alpha should be between 0 and 1","")</f>
        <v/>
      </c>
    </row>
    <row r="6" spans="1:24" x14ac:dyDescent="0.25">
      <c r="A6" s="3" t="s">
        <v>100</v>
      </c>
      <c r="B6" s="8">
        <v>0.2</v>
      </c>
      <c r="C6" s="40" t="str">
        <f>IF(OR(B6&lt;0,B6&gt;1),"Beta should be between 0 and 1","")</f>
        <v/>
      </c>
      <c r="J6" s="7"/>
    </row>
    <row r="7" spans="1:24" ht="15.75" thickBot="1" x14ac:dyDescent="0.3">
      <c r="A7" s="6" t="s">
        <v>3</v>
      </c>
      <c r="D7" s="16" t="s">
        <v>47</v>
      </c>
      <c r="E7" s="16"/>
      <c r="F7" s="16"/>
      <c r="J7" s="7"/>
    </row>
    <row r="8" spans="1:24" s="50" customFormat="1" ht="39.75" x14ac:dyDescent="0.25">
      <c r="A8" s="50" t="s">
        <v>4</v>
      </c>
      <c r="B8" s="50" t="s">
        <v>74</v>
      </c>
      <c r="D8" s="57" t="s">
        <v>101</v>
      </c>
      <c r="E8" s="58" t="s">
        <v>102</v>
      </c>
      <c r="F8" s="58" t="s">
        <v>103</v>
      </c>
      <c r="G8" s="51" t="s">
        <v>12</v>
      </c>
      <c r="H8" s="51" t="s">
        <v>50</v>
      </c>
      <c r="I8" s="51" t="s">
        <v>51</v>
      </c>
      <c r="J8" s="52" t="s">
        <v>15</v>
      </c>
      <c r="M8" s="59" t="s">
        <v>116</v>
      </c>
      <c r="N8" s="59" t="s">
        <v>115</v>
      </c>
      <c r="O8" s="59" t="s">
        <v>104</v>
      </c>
      <c r="P8" s="59" t="s">
        <v>105</v>
      </c>
      <c r="Q8" s="59" t="s">
        <v>106</v>
      </c>
      <c r="R8" s="59" t="s">
        <v>108</v>
      </c>
      <c r="S8" s="59" t="s">
        <v>107</v>
      </c>
      <c r="V8" s="59" t="s">
        <v>116</v>
      </c>
      <c r="W8" s="59" t="s">
        <v>108</v>
      </c>
      <c r="X8" s="59" t="s">
        <v>107</v>
      </c>
    </row>
    <row r="9" spans="1:24" x14ac:dyDescent="0.25">
      <c r="A9" s="3" t="s">
        <v>78</v>
      </c>
      <c r="B9" s="8">
        <v>2634</v>
      </c>
      <c r="D9" s="21">
        <f>$B$9</f>
        <v>2634</v>
      </c>
      <c r="E9" s="41">
        <v>0</v>
      </c>
      <c r="F9" s="41">
        <f>D9+E9</f>
        <v>2634</v>
      </c>
      <c r="G9" s="20">
        <f t="shared" ref="G9:G28" si="0">B9-F9</f>
        <v>0</v>
      </c>
      <c r="H9" s="20">
        <f t="shared" ref="H9:H28" si="1">ABS(G9)</f>
        <v>0</v>
      </c>
      <c r="I9" s="20">
        <f t="shared" ref="I9:I28" si="2">G9^2</f>
        <v>0</v>
      </c>
      <c r="J9" s="25">
        <f t="shared" ref="J9:J28" si="3">H9/B9</f>
        <v>0</v>
      </c>
      <c r="M9" s="60">
        <v>1</v>
      </c>
      <c r="N9" s="60">
        <v>2634</v>
      </c>
      <c r="O9" s="60">
        <v>2634</v>
      </c>
      <c r="P9" s="61">
        <v>0</v>
      </c>
      <c r="Q9" s="60">
        <v>2634</v>
      </c>
      <c r="R9" s="60">
        <v>0</v>
      </c>
      <c r="S9" s="60">
        <v>0</v>
      </c>
      <c r="V9" s="60">
        <v>1</v>
      </c>
      <c r="W9" s="60">
        <v>0</v>
      </c>
      <c r="X9" s="60">
        <v>0</v>
      </c>
    </row>
    <row r="10" spans="1:24" ht="17.25" x14ac:dyDescent="0.25">
      <c r="A10" s="3" t="s">
        <v>79</v>
      </c>
      <c r="B10" s="8">
        <v>3169</v>
      </c>
      <c r="D10" s="21">
        <f>$B$5*B9+(1-$B$5)*F9</f>
        <v>2634</v>
      </c>
      <c r="E10" s="41">
        <f>$B$6*(D10-D9)+(1-$B$6)*E9</f>
        <v>0</v>
      </c>
      <c r="F10" s="41">
        <f>D10+E10</f>
        <v>2634</v>
      </c>
      <c r="G10" s="20">
        <f t="shared" si="0"/>
        <v>535</v>
      </c>
      <c r="H10" s="20">
        <f t="shared" si="1"/>
        <v>535</v>
      </c>
      <c r="I10" s="20">
        <f t="shared" si="2"/>
        <v>286225</v>
      </c>
      <c r="J10" s="25">
        <f t="shared" si="3"/>
        <v>0.16882297254654466</v>
      </c>
      <c r="M10" s="60">
        <v>2</v>
      </c>
      <c r="N10" s="60">
        <v>3169</v>
      </c>
      <c r="O10" s="62" t="s">
        <v>111</v>
      </c>
      <c r="P10" s="62" t="s">
        <v>109</v>
      </c>
      <c r="Q10" s="62" t="s">
        <v>110</v>
      </c>
      <c r="R10" s="62" t="s">
        <v>112</v>
      </c>
      <c r="S10" s="62" t="s">
        <v>113</v>
      </c>
      <c r="V10" s="60">
        <v>2</v>
      </c>
      <c r="W10" s="62" t="s">
        <v>112</v>
      </c>
      <c r="X10" s="62" t="s">
        <v>113</v>
      </c>
    </row>
    <row r="11" spans="1:24" ht="17.25" x14ac:dyDescent="0.25">
      <c r="A11" s="3" t="s">
        <v>80</v>
      </c>
      <c r="B11" s="8">
        <v>3301</v>
      </c>
      <c r="D11" s="21">
        <f t="shared" ref="D11:D29" si="4">$B$5*B10+(1-$B$5)*F10</f>
        <v>3062</v>
      </c>
      <c r="E11" s="41">
        <f t="shared" ref="E11:E29" si="5">$B$6*(D11-D10)+(1-$B$6)*E10</f>
        <v>85.600000000000009</v>
      </c>
      <c r="F11" s="41">
        <f t="shared" ref="F11:F29" si="6">D11+E11</f>
        <v>3147.6</v>
      </c>
      <c r="G11" s="20">
        <f t="shared" si="0"/>
        <v>153.40000000000009</v>
      </c>
      <c r="H11" s="20">
        <f t="shared" si="1"/>
        <v>153.40000000000009</v>
      </c>
      <c r="I11" s="20">
        <f t="shared" si="2"/>
        <v>23531.560000000027</v>
      </c>
      <c r="J11" s="25">
        <f t="shared" si="3"/>
        <v>4.6470766434413842E-2</v>
      </c>
      <c r="M11" s="60">
        <v>3</v>
      </c>
      <c r="N11" s="60">
        <v>3301</v>
      </c>
      <c r="O11" s="62" t="s">
        <v>114</v>
      </c>
      <c r="P11" s="62" t="s">
        <v>117</v>
      </c>
      <c r="Q11" s="62" t="s">
        <v>118</v>
      </c>
      <c r="R11" s="62" t="s">
        <v>119</v>
      </c>
      <c r="S11" s="62" t="s">
        <v>120</v>
      </c>
      <c r="V11" s="60">
        <v>3</v>
      </c>
      <c r="W11" s="62" t="s">
        <v>119</v>
      </c>
      <c r="X11" s="62" t="s">
        <v>120</v>
      </c>
    </row>
    <row r="12" spans="1:24" x14ac:dyDescent="0.25">
      <c r="A12" s="3" t="s">
        <v>81</v>
      </c>
      <c r="B12" s="8">
        <v>3754</v>
      </c>
      <c r="D12" s="21">
        <f t="shared" si="4"/>
        <v>3270.32</v>
      </c>
      <c r="E12" s="41">
        <f t="shared" si="5"/>
        <v>110.14400000000003</v>
      </c>
      <c r="F12" s="41">
        <f t="shared" si="6"/>
        <v>3380.4640000000004</v>
      </c>
      <c r="G12" s="20">
        <f t="shared" si="0"/>
        <v>373.5359999999996</v>
      </c>
      <c r="H12" s="20">
        <f t="shared" si="1"/>
        <v>373.5359999999996</v>
      </c>
      <c r="I12" s="20">
        <f t="shared" si="2"/>
        <v>139529.1432959997</v>
      </c>
      <c r="J12" s="25">
        <f t="shared" si="3"/>
        <v>9.9503462972828874E-2</v>
      </c>
      <c r="M12" s="60">
        <v>4</v>
      </c>
      <c r="N12" s="60">
        <v>3754</v>
      </c>
      <c r="O12" s="64">
        <v>3270.32</v>
      </c>
      <c r="P12" s="64">
        <v>110.14400000000003</v>
      </c>
      <c r="Q12" s="64">
        <v>3380.4640000000004</v>
      </c>
      <c r="R12" s="64">
        <v>373.5359999999996</v>
      </c>
      <c r="S12" s="64">
        <v>139529.1432959997</v>
      </c>
      <c r="V12" s="60">
        <v>4</v>
      </c>
      <c r="W12" s="63">
        <v>373.5359999999996</v>
      </c>
      <c r="X12" s="63">
        <v>139529.1432959997</v>
      </c>
    </row>
    <row r="13" spans="1:24" x14ac:dyDescent="0.25">
      <c r="A13" s="3" t="s">
        <v>82</v>
      </c>
      <c r="B13" s="8">
        <v>3834</v>
      </c>
      <c r="D13" s="21">
        <f t="shared" si="4"/>
        <v>3679.2928000000002</v>
      </c>
      <c r="E13" s="41">
        <f t="shared" si="5"/>
        <v>169.90976000000003</v>
      </c>
      <c r="F13" s="41">
        <f t="shared" si="6"/>
        <v>3849.2025600000002</v>
      </c>
      <c r="G13" s="20">
        <f t="shared" si="0"/>
        <v>-15.202560000000176</v>
      </c>
      <c r="H13" s="20">
        <f t="shared" si="1"/>
        <v>15.202560000000176</v>
      </c>
      <c r="I13" s="20">
        <f t="shared" si="2"/>
        <v>231.11783055360536</v>
      </c>
      <c r="J13" s="25">
        <f t="shared" si="3"/>
        <v>3.9651956181534108E-3</v>
      </c>
      <c r="M13" s="60">
        <v>5</v>
      </c>
      <c r="N13" s="60">
        <v>3834</v>
      </c>
      <c r="O13" s="64">
        <v>3679.2928000000002</v>
      </c>
      <c r="P13" s="64">
        <v>169.90976000000003</v>
      </c>
      <c r="Q13" s="64">
        <v>3849.2025600000002</v>
      </c>
      <c r="R13" s="64">
        <v>-15.202560000000176</v>
      </c>
      <c r="S13" s="64">
        <v>231.11783055360536</v>
      </c>
      <c r="V13" s="60">
        <v>5</v>
      </c>
      <c r="W13" s="63">
        <v>-15.202560000000176</v>
      </c>
      <c r="X13" s="63">
        <v>231.11783055360536</v>
      </c>
    </row>
    <row r="14" spans="1:24" x14ac:dyDescent="0.25">
      <c r="A14" s="3" t="s">
        <v>83</v>
      </c>
      <c r="B14" s="8">
        <v>5117</v>
      </c>
      <c r="D14" s="21">
        <f t="shared" si="4"/>
        <v>3837.040512</v>
      </c>
      <c r="E14" s="41">
        <f t="shared" si="5"/>
        <v>167.47735040000001</v>
      </c>
      <c r="F14" s="41">
        <f t="shared" si="6"/>
        <v>4004.5178624</v>
      </c>
      <c r="G14" s="20">
        <f t="shared" si="0"/>
        <v>1112.4821376</v>
      </c>
      <c r="H14" s="20">
        <f t="shared" si="1"/>
        <v>1112.4821376</v>
      </c>
      <c r="I14" s="20">
        <f t="shared" si="2"/>
        <v>1237616.5064790654</v>
      </c>
      <c r="J14" s="25">
        <f t="shared" si="3"/>
        <v>0.21740905561852647</v>
      </c>
      <c r="M14" s="60">
        <v>6</v>
      </c>
      <c r="N14" s="60">
        <v>5117</v>
      </c>
      <c r="O14" s="64">
        <v>3837.040512</v>
      </c>
      <c r="P14" s="64">
        <v>167.47735040000001</v>
      </c>
      <c r="Q14" s="64">
        <v>4004.5178624</v>
      </c>
      <c r="R14" s="64">
        <v>1112.4821376</v>
      </c>
      <c r="S14" s="64">
        <v>1237616.5064790654</v>
      </c>
      <c r="V14" s="60">
        <v>6</v>
      </c>
      <c r="W14" s="63">
        <v>1112.4821376</v>
      </c>
      <c r="X14" s="63">
        <v>1237616.5064790654</v>
      </c>
    </row>
    <row r="15" spans="1:24" x14ac:dyDescent="0.25">
      <c r="A15" s="3" t="s">
        <v>84</v>
      </c>
      <c r="B15" s="8">
        <v>6448</v>
      </c>
      <c r="D15" s="21">
        <f t="shared" si="4"/>
        <v>4894.50357248</v>
      </c>
      <c r="E15" s="41">
        <f t="shared" si="5"/>
        <v>345.47449241600003</v>
      </c>
      <c r="F15" s="41">
        <f t="shared" si="6"/>
        <v>5239.9780648960004</v>
      </c>
      <c r="G15" s="20">
        <f t="shared" si="0"/>
        <v>1208.0219351039996</v>
      </c>
      <c r="H15" s="20">
        <f t="shared" si="1"/>
        <v>1208.0219351039996</v>
      </c>
      <c r="I15" s="20">
        <f t="shared" si="2"/>
        <v>1459316.9956924117</v>
      </c>
      <c r="J15" s="25">
        <f t="shared" si="3"/>
        <v>0.18734831499751856</v>
      </c>
      <c r="M15" s="60">
        <v>7</v>
      </c>
      <c r="N15" s="60">
        <v>6448</v>
      </c>
      <c r="O15" s="64">
        <v>4894.50357248</v>
      </c>
      <c r="P15" s="64">
        <v>345.47449241600003</v>
      </c>
      <c r="Q15" s="64">
        <v>5239.9780648960004</v>
      </c>
      <c r="R15" s="64">
        <v>1208.0219351039996</v>
      </c>
      <c r="S15" s="64">
        <v>1459316.9956924117</v>
      </c>
      <c r="V15" s="60">
        <v>7</v>
      </c>
      <c r="W15" s="63">
        <v>1208.0219351039996</v>
      </c>
      <c r="X15" s="63">
        <v>1459316.9956924117</v>
      </c>
    </row>
    <row r="16" spans="1:24" x14ac:dyDescent="0.25">
      <c r="A16" s="3" t="s">
        <v>85</v>
      </c>
      <c r="B16" s="8">
        <v>7908</v>
      </c>
      <c r="D16" s="21">
        <f t="shared" si="4"/>
        <v>6206.3956129792005</v>
      </c>
      <c r="E16" s="41">
        <f t="shared" si="5"/>
        <v>538.75800203264021</v>
      </c>
      <c r="F16" s="41">
        <f t="shared" si="6"/>
        <v>6745.1536150118409</v>
      </c>
      <c r="G16" s="20">
        <f t="shared" si="0"/>
        <v>1162.8463849881591</v>
      </c>
      <c r="H16" s="20">
        <f t="shared" si="1"/>
        <v>1162.8463849881591</v>
      </c>
      <c r="I16" s="20">
        <f t="shared" si="2"/>
        <v>1352211.71508003</v>
      </c>
      <c r="J16" s="25">
        <f t="shared" si="3"/>
        <v>0.14704683674610003</v>
      </c>
      <c r="M16" s="60">
        <v>8</v>
      </c>
      <c r="N16" s="60">
        <v>7908</v>
      </c>
      <c r="O16" s="64">
        <v>6206.3956129792005</v>
      </c>
      <c r="P16" s="64">
        <v>538.75800203264021</v>
      </c>
      <c r="Q16" s="64">
        <v>6745.1536150118409</v>
      </c>
      <c r="R16" s="64">
        <v>1162.8463849881591</v>
      </c>
      <c r="S16" s="64">
        <v>1352211.71508003</v>
      </c>
      <c r="V16" s="60">
        <v>8</v>
      </c>
      <c r="W16" s="63">
        <v>1162.8463849881591</v>
      </c>
      <c r="X16" s="63">
        <v>1352211.71508003</v>
      </c>
    </row>
    <row r="17" spans="1:24" x14ac:dyDescent="0.25">
      <c r="A17" s="3" t="s">
        <v>86</v>
      </c>
      <c r="B17" s="8">
        <v>9213</v>
      </c>
      <c r="D17" s="21">
        <f t="shared" si="4"/>
        <v>7675.4307230023687</v>
      </c>
      <c r="E17" s="41">
        <f t="shared" si="5"/>
        <v>724.81342363074577</v>
      </c>
      <c r="F17" s="41">
        <f t="shared" si="6"/>
        <v>8400.2441466331147</v>
      </c>
      <c r="G17" s="20">
        <f t="shared" si="0"/>
        <v>812.75585336688528</v>
      </c>
      <c r="H17" s="20">
        <f t="shared" si="1"/>
        <v>812.75585336688528</v>
      </c>
      <c r="I17" s="20">
        <f t="shared" si="2"/>
        <v>660572.07718213391</v>
      </c>
      <c r="J17" s="25">
        <f t="shared" si="3"/>
        <v>8.8218371145868363E-2</v>
      </c>
      <c r="M17" s="60">
        <v>9</v>
      </c>
      <c r="N17" s="60">
        <v>9213</v>
      </c>
      <c r="O17" s="64">
        <v>7675.4307230023687</v>
      </c>
      <c r="P17" s="64">
        <v>724.81342363074577</v>
      </c>
      <c r="Q17" s="64">
        <v>8400.2441466331147</v>
      </c>
      <c r="R17" s="64">
        <v>812.75585336688528</v>
      </c>
      <c r="S17" s="64">
        <v>660572.07718213391</v>
      </c>
      <c r="V17" s="60">
        <v>9</v>
      </c>
      <c r="W17" s="63">
        <v>812.75585336688528</v>
      </c>
      <c r="X17" s="63">
        <v>660572.07718213391</v>
      </c>
    </row>
    <row r="18" spans="1:24" x14ac:dyDescent="0.25">
      <c r="A18" s="3" t="s">
        <v>87</v>
      </c>
      <c r="B18" s="8">
        <v>11502</v>
      </c>
      <c r="D18" s="21">
        <f t="shared" si="4"/>
        <v>9050.4488293266222</v>
      </c>
      <c r="E18" s="41">
        <f t="shared" si="5"/>
        <v>854.85436016944732</v>
      </c>
      <c r="F18" s="41">
        <f t="shared" si="6"/>
        <v>9905.3031894960695</v>
      </c>
      <c r="G18" s="20">
        <f t="shared" si="0"/>
        <v>1596.6968105039305</v>
      </c>
      <c r="H18" s="20">
        <f t="shared" si="1"/>
        <v>1596.6968105039305</v>
      </c>
      <c r="I18" s="20">
        <f t="shared" si="2"/>
        <v>2549440.7046734244</v>
      </c>
      <c r="J18" s="25">
        <f t="shared" si="3"/>
        <v>0.13881905846843423</v>
      </c>
      <c r="M18" s="60">
        <v>10</v>
      </c>
      <c r="N18" s="60">
        <v>11502</v>
      </c>
      <c r="O18" s="64">
        <v>9050.4488293266222</v>
      </c>
      <c r="P18" s="64">
        <v>854.85436016944732</v>
      </c>
      <c r="Q18" s="64">
        <v>9905.3031894960695</v>
      </c>
      <c r="R18" s="64">
        <v>1596.6968105039305</v>
      </c>
      <c r="S18" s="64">
        <v>2549440.7046734244</v>
      </c>
      <c r="V18" s="60">
        <v>10</v>
      </c>
      <c r="W18" s="63">
        <v>1596.6968105039305</v>
      </c>
      <c r="X18" s="63">
        <v>2549440.7046734244</v>
      </c>
    </row>
    <row r="19" spans="1:24" x14ac:dyDescent="0.25">
      <c r="A19" s="3" t="s">
        <v>88</v>
      </c>
      <c r="B19" s="8">
        <v>10791</v>
      </c>
      <c r="D19" s="21">
        <f t="shared" si="4"/>
        <v>11182.660637899215</v>
      </c>
      <c r="E19" s="41">
        <f t="shared" si="5"/>
        <v>1110.3258498500763</v>
      </c>
      <c r="F19" s="41">
        <f t="shared" si="6"/>
        <v>12292.986487749291</v>
      </c>
      <c r="G19" s="20">
        <f t="shared" si="0"/>
        <v>-1501.986487749291</v>
      </c>
      <c r="H19" s="20">
        <f t="shared" si="1"/>
        <v>1501.986487749291</v>
      </c>
      <c r="I19" s="20">
        <f t="shared" si="2"/>
        <v>2255963.4093814511</v>
      </c>
      <c r="J19" s="25">
        <f t="shared" si="3"/>
        <v>0.13918881361776397</v>
      </c>
      <c r="M19" s="60">
        <v>11</v>
      </c>
      <c r="N19" s="60">
        <v>10791</v>
      </c>
      <c r="O19" s="64">
        <v>11182.660637899215</v>
      </c>
      <c r="P19" s="64">
        <v>1110.3258498500763</v>
      </c>
      <c r="Q19" s="64">
        <v>12292.986487749291</v>
      </c>
      <c r="R19" s="64">
        <v>-1501.986487749291</v>
      </c>
      <c r="S19" s="64">
        <v>2255963.4093814511</v>
      </c>
      <c r="V19" s="60">
        <v>11</v>
      </c>
      <c r="W19" s="63">
        <v>-1501.986487749291</v>
      </c>
      <c r="X19" s="63">
        <v>2255963.4093814511</v>
      </c>
    </row>
    <row r="20" spans="1:24" x14ac:dyDescent="0.25">
      <c r="A20" s="3" t="s">
        <v>89</v>
      </c>
      <c r="B20" s="8">
        <v>10022</v>
      </c>
      <c r="D20" s="21">
        <f t="shared" si="4"/>
        <v>11091.397297549858</v>
      </c>
      <c r="E20" s="41">
        <f t="shared" si="5"/>
        <v>870.00801181018983</v>
      </c>
      <c r="F20" s="41">
        <f t="shared" si="6"/>
        <v>11961.405309360049</v>
      </c>
      <c r="G20" s="20">
        <f t="shared" si="0"/>
        <v>-1939.4053093600487</v>
      </c>
      <c r="H20" s="20">
        <f t="shared" si="1"/>
        <v>1939.4053093600487</v>
      </c>
      <c r="I20" s="20">
        <f t="shared" si="2"/>
        <v>3761292.9539739462</v>
      </c>
      <c r="J20" s="25">
        <f t="shared" si="3"/>
        <v>0.19351479837956981</v>
      </c>
      <c r="M20" s="60">
        <v>12</v>
      </c>
      <c r="N20" s="60">
        <v>10022</v>
      </c>
      <c r="O20" s="64">
        <v>11091.397297549858</v>
      </c>
      <c r="P20" s="64">
        <v>870.00801181018983</v>
      </c>
      <c r="Q20" s="64">
        <v>11961.405309360049</v>
      </c>
      <c r="R20" s="64">
        <v>-1939.4053093600487</v>
      </c>
      <c r="S20" s="64">
        <v>3761292.9539739462</v>
      </c>
      <c r="V20" s="60">
        <v>12</v>
      </c>
      <c r="W20" s="63">
        <v>-1939.4053093600487</v>
      </c>
      <c r="X20" s="63">
        <v>3761292.9539739462</v>
      </c>
    </row>
    <row r="21" spans="1:24" x14ac:dyDescent="0.25">
      <c r="A21" s="3" t="s">
        <v>90</v>
      </c>
      <c r="B21" s="8">
        <v>8342</v>
      </c>
      <c r="D21" s="21">
        <f t="shared" si="4"/>
        <v>10409.881061872009</v>
      </c>
      <c r="E21" s="41">
        <f t="shared" si="5"/>
        <v>559.70316231258198</v>
      </c>
      <c r="F21" s="41">
        <f t="shared" si="6"/>
        <v>10969.584224184591</v>
      </c>
      <c r="G21" s="20">
        <f t="shared" si="0"/>
        <v>-2627.5842241845912</v>
      </c>
      <c r="H21" s="20">
        <f t="shared" si="1"/>
        <v>2627.5842241845912</v>
      </c>
      <c r="I21" s="20">
        <f t="shared" si="2"/>
        <v>6904198.8551837401</v>
      </c>
      <c r="J21" s="25">
        <f t="shared" si="3"/>
        <v>0.31498252507607183</v>
      </c>
      <c r="M21" s="60">
        <v>13</v>
      </c>
      <c r="N21" s="60">
        <v>8342</v>
      </c>
      <c r="O21" s="64">
        <v>10409.881061872009</v>
      </c>
      <c r="P21" s="64">
        <v>559.70316231258198</v>
      </c>
      <c r="Q21" s="64">
        <v>10969.584224184591</v>
      </c>
      <c r="R21" s="64">
        <v>-2627.5842241845912</v>
      </c>
      <c r="S21" s="64">
        <v>6904198.8551837401</v>
      </c>
      <c r="V21" s="60">
        <v>13</v>
      </c>
      <c r="W21" s="63">
        <v>-2627.5842241845912</v>
      </c>
      <c r="X21" s="63">
        <v>6904198.8551837401</v>
      </c>
    </row>
    <row r="22" spans="1:24" x14ac:dyDescent="0.25">
      <c r="A22" s="3" t="s">
        <v>91</v>
      </c>
      <c r="B22" s="8">
        <v>10453</v>
      </c>
      <c r="D22" s="21">
        <f t="shared" si="4"/>
        <v>8867.5168448369186</v>
      </c>
      <c r="E22" s="41">
        <f t="shared" si="5"/>
        <v>139.28968644304751</v>
      </c>
      <c r="F22" s="41">
        <f t="shared" si="6"/>
        <v>9006.8065312799663</v>
      </c>
      <c r="G22" s="20">
        <f t="shared" si="0"/>
        <v>1446.1934687200337</v>
      </c>
      <c r="H22" s="20">
        <f t="shared" si="1"/>
        <v>1446.1934687200337</v>
      </c>
      <c r="I22" s="20">
        <f t="shared" si="2"/>
        <v>2091475.548968483</v>
      </c>
      <c r="J22" s="25">
        <f t="shared" si="3"/>
        <v>0.13835200121687877</v>
      </c>
      <c r="M22" s="60">
        <v>14</v>
      </c>
      <c r="N22" s="60">
        <v>10453</v>
      </c>
      <c r="O22" s="64">
        <v>8867.5168448369186</v>
      </c>
      <c r="P22" s="64">
        <v>139.28968644304751</v>
      </c>
      <c r="Q22" s="64">
        <v>9006.8065312799663</v>
      </c>
      <c r="R22" s="64">
        <v>1446.1934687200337</v>
      </c>
      <c r="S22" s="64">
        <v>2091475.548968483</v>
      </c>
      <c r="V22" s="60">
        <v>14</v>
      </c>
      <c r="W22" s="63">
        <v>1446.1934687200337</v>
      </c>
      <c r="X22" s="63">
        <v>2091475.548968483</v>
      </c>
    </row>
    <row r="23" spans="1:24" x14ac:dyDescent="0.25">
      <c r="A23" s="3" t="s">
        <v>92</v>
      </c>
      <c r="B23" s="8">
        <v>10784</v>
      </c>
      <c r="D23" s="21">
        <f t="shared" si="4"/>
        <v>10163.761306255992</v>
      </c>
      <c r="E23" s="41">
        <f t="shared" si="5"/>
        <v>370.68064143825274</v>
      </c>
      <c r="F23" s="41">
        <f t="shared" si="6"/>
        <v>10534.441947694246</v>
      </c>
      <c r="G23" s="20">
        <f t="shared" si="0"/>
        <v>249.55805230575425</v>
      </c>
      <c r="H23" s="20">
        <f t="shared" si="1"/>
        <v>249.55805230575425</v>
      </c>
      <c r="I23" s="20">
        <f t="shared" si="2"/>
        <v>62279.221470641569</v>
      </c>
      <c r="J23" s="25">
        <f t="shared" si="3"/>
        <v>2.3141510785029139E-2</v>
      </c>
      <c r="M23" s="60">
        <v>15</v>
      </c>
      <c r="N23" s="60">
        <v>10784</v>
      </c>
      <c r="O23" s="64">
        <v>10163.761306255992</v>
      </c>
      <c r="P23" s="64">
        <v>370.68064143825274</v>
      </c>
      <c r="Q23" s="64">
        <v>10534.441947694246</v>
      </c>
      <c r="R23" s="64">
        <v>249.55805230575425</v>
      </c>
      <c r="S23" s="64">
        <v>62279.221470641569</v>
      </c>
      <c r="V23" s="60">
        <v>15</v>
      </c>
      <c r="W23" s="63">
        <v>249.55805230575425</v>
      </c>
      <c r="X23" s="63">
        <v>62279.221470641569</v>
      </c>
    </row>
    <row r="24" spans="1:24" x14ac:dyDescent="0.25">
      <c r="A24" s="3" t="s">
        <v>93</v>
      </c>
      <c r="B24" s="8">
        <v>10718</v>
      </c>
      <c r="D24" s="21">
        <f t="shared" si="4"/>
        <v>10734.088389538849</v>
      </c>
      <c r="E24" s="41">
        <f t="shared" si="5"/>
        <v>410.60992980717356</v>
      </c>
      <c r="F24" s="41">
        <f t="shared" si="6"/>
        <v>11144.698319346022</v>
      </c>
      <c r="G24" s="20">
        <f t="shared" si="0"/>
        <v>-426.69831934602189</v>
      </c>
      <c r="H24" s="20">
        <f t="shared" si="1"/>
        <v>426.69831934602189</v>
      </c>
      <c r="I24" s="20">
        <f t="shared" si="2"/>
        <v>182071.45573271968</v>
      </c>
      <c r="J24" s="25">
        <f t="shared" si="3"/>
        <v>3.9811375195560918E-2</v>
      </c>
      <c r="M24" s="60">
        <v>16</v>
      </c>
      <c r="N24" s="60">
        <v>10718</v>
      </c>
      <c r="O24" s="64">
        <v>10734.088389538849</v>
      </c>
      <c r="P24" s="64">
        <v>410.60992980717356</v>
      </c>
      <c r="Q24" s="64">
        <v>11144.698319346022</v>
      </c>
      <c r="R24" s="64">
        <v>-426.69831934602189</v>
      </c>
      <c r="S24" s="64">
        <v>182071.45573271968</v>
      </c>
      <c r="V24" s="60">
        <v>16</v>
      </c>
      <c r="W24" s="63">
        <v>-426.69831934602189</v>
      </c>
      <c r="X24" s="63">
        <v>182071.45573271968</v>
      </c>
    </row>
    <row r="25" spans="1:24" x14ac:dyDescent="0.25">
      <c r="A25" s="3" t="s">
        <v>94</v>
      </c>
      <c r="B25" s="8">
        <v>12460</v>
      </c>
      <c r="D25" s="21">
        <f t="shared" si="4"/>
        <v>10803.339663869203</v>
      </c>
      <c r="E25" s="41">
        <f t="shared" si="5"/>
        <v>342.3381987118097</v>
      </c>
      <c r="F25" s="41">
        <f t="shared" si="6"/>
        <v>11145.677862581013</v>
      </c>
      <c r="G25" s="20">
        <f t="shared" si="0"/>
        <v>1314.322137418987</v>
      </c>
      <c r="H25" s="20">
        <f t="shared" si="1"/>
        <v>1314.322137418987</v>
      </c>
      <c r="I25" s="20">
        <f t="shared" si="2"/>
        <v>1727442.6809096145</v>
      </c>
      <c r="J25" s="25">
        <f t="shared" si="3"/>
        <v>0.10548331760987055</v>
      </c>
      <c r="M25" s="60">
        <v>17</v>
      </c>
      <c r="N25" s="60">
        <v>12460</v>
      </c>
      <c r="O25" s="64">
        <v>10803.339663869203</v>
      </c>
      <c r="P25" s="64">
        <v>342.3381987118097</v>
      </c>
      <c r="Q25" s="64">
        <v>11145.677862581013</v>
      </c>
      <c r="R25" s="64">
        <v>1314.322137418987</v>
      </c>
      <c r="S25" s="64">
        <v>1727442.6809096145</v>
      </c>
      <c r="V25" s="60">
        <v>17</v>
      </c>
      <c r="W25" s="63">
        <v>1314.322137418987</v>
      </c>
      <c r="X25" s="63">
        <v>1727442.6809096145</v>
      </c>
    </row>
    <row r="26" spans="1:24" x14ac:dyDescent="0.25">
      <c r="A26" s="3" t="s">
        <v>95</v>
      </c>
      <c r="B26" s="8">
        <v>13262</v>
      </c>
      <c r="D26" s="21">
        <f t="shared" si="4"/>
        <v>12197.135572516203</v>
      </c>
      <c r="E26" s="41">
        <f t="shared" si="5"/>
        <v>552.62974069884785</v>
      </c>
      <c r="F26" s="41">
        <f t="shared" si="6"/>
        <v>12749.765313215052</v>
      </c>
      <c r="G26" s="20">
        <f t="shared" si="0"/>
        <v>512.23468678494828</v>
      </c>
      <c r="H26" s="20">
        <f t="shared" si="1"/>
        <v>512.23468678494828</v>
      </c>
      <c r="I26" s="20">
        <f t="shared" si="2"/>
        <v>262384.37434567406</v>
      </c>
      <c r="J26" s="25">
        <f t="shared" si="3"/>
        <v>3.8624241199287306E-2</v>
      </c>
      <c r="M26" s="60">
        <v>18</v>
      </c>
      <c r="N26" s="60">
        <v>13262</v>
      </c>
      <c r="O26" s="64">
        <v>12197.135572516203</v>
      </c>
      <c r="P26" s="64">
        <v>552.62974069884785</v>
      </c>
      <c r="Q26" s="64">
        <v>12749.765313215052</v>
      </c>
      <c r="R26" s="64">
        <v>512.23468678494828</v>
      </c>
      <c r="S26" s="64">
        <v>262384.37434567406</v>
      </c>
      <c r="V26" s="60">
        <v>18</v>
      </c>
      <c r="W26" s="63">
        <v>512.23468678494828</v>
      </c>
      <c r="X26" s="63">
        <v>262384.37434567406</v>
      </c>
    </row>
    <row r="27" spans="1:24" x14ac:dyDescent="0.25">
      <c r="A27" s="3" t="s">
        <v>96</v>
      </c>
      <c r="B27" s="8">
        <v>8772</v>
      </c>
      <c r="D27" s="21">
        <f t="shared" si="4"/>
        <v>13159.55306264301</v>
      </c>
      <c r="E27" s="41">
        <f t="shared" si="5"/>
        <v>634.58729058443976</v>
      </c>
      <c r="F27" s="41">
        <f t="shared" si="6"/>
        <v>13794.140353227449</v>
      </c>
      <c r="G27" s="20">
        <f t="shared" si="0"/>
        <v>-5022.1403532274489</v>
      </c>
      <c r="H27" s="20">
        <f t="shared" si="1"/>
        <v>5022.1403532274489</v>
      </c>
      <c r="I27" s="20">
        <f t="shared" si="2"/>
        <v>25221893.727515526</v>
      </c>
      <c r="J27" s="25">
        <f t="shared" si="3"/>
        <v>0.57251942011256829</v>
      </c>
      <c r="M27" s="60">
        <v>19</v>
      </c>
      <c r="N27" s="60">
        <v>8772</v>
      </c>
      <c r="O27" s="64">
        <v>13159.55306264301</v>
      </c>
      <c r="P27" s="64">
        <v>634.58729058443976</v>
      </c>
      <c r="Q27" s="64">
        <v>13794.140353227449</v>
      </c>
      <c r="R27" s="64">
        <v>-5022.1403532274489</v>
      </c>
      <c r="S27" s="64">
        <v>25221893.727515526</v>
      </c>
      <c r="V27" s="60">
        <v>19</v>
      </c>
      <c r="W27" s="63">
        <v>-5022.1403532274489</v>
      </c>
      <c r="X27" s="63">
        <v>25221893.727515526</v>
      </c>
    </row>
    <row r="28" spans="1:24" ht="15.75" thickBot="1" x14ac:dyDescent="0.3">
      <c r="A28" s="3" t="s">
        <v>97</v>
      </c>
      <c r="B28" s="8">
        <v>10431</v>
      </c>
      <c r="D28" s="28">
        <f t="shared" si="4"/>
        <v>9776.4280706454902</v>
      </c>
      <c r="E28" s="53">
        <f t="shared" si="5"/>
        <v>-168.95516593195214</v>
      </c>
      <c r="F28" s="53">
        <f t="shared" si="6"/>
        <v>9607.4729047135388</v>
      </c>
      <c r="G28" s="20">
        <f t="shared" si="0"/>
        <v>823.52709528646119</v>
      </c>
      <c r="H28" s="20">
        <f t="shared" si="1"/>
        <v>823.52709528646119</v>
      </c>
      <c r="I28" s="20">
        <f t="shared" si="2"/>
        <v>678196.87667095615</v>
      </c>
      <c r="J28" s="26">
        <f t="shared" si="3"/>
        <v>7.8949965994292132E-2</v>
      </c>
      <c r="M28" s="60">
        <v>20</v>
      </c>
      <c r="N28" s="60">
        <v>10431</v>
      </c>
      <c r="O28" s="64">
        <v>9776.4280706454902</v>
      </c>
      <c r="P28" s="64">
        <v>-168.95516593195214</v>
      </c>
      <c r="Q28" s="64">
        <v>9607.4729047135388</v>
      </c>
      <c r="R28" s="64">
        <v>823.52709528646119</v>
      </c>
      <c r="S28" s="64">
        <v>678196.87667095615</v>
      </c>
      <c r="V28" s="60">
        <v>20</v>
      </c>
      <c r="W28" s="63">
        <v>823.52709528646119</v>
      </c>
      <c r="X28" s="63">
        <v>678196.87667095615</v>
      </c>
    </row>
    <row r="29" spans="1:24" ht="15.75" thickBot="1" x14ac:dyDescent="0.3">
      <c r="B29" s="42" t="s">
        <v>75</v>
      </c>
      <c r="C29" s="56"/>
      <c r="D29" s="56">
        <f t="shared" si="4"/>
        <v>10266.294580942709</v>
      </c>
      <c r="E29" s="56">
        <f t="shared" si="5"/>
        <v>-37.190830686117891</v>
      </c>
      <c r="F29" s="43">
        <f t="shared" si="6"/>
        <v>10229.103750256591</v>
      </c>
      <c r="G29" s="41"/>
      <c r="H29" s="20"/>
      <c r="I29" s="20"/>
      <c r="J29" s="26"/>
      <c r="M29" s="60">
        <v>21</v>
      </c>
      <c r="N29" s="60"/>
      <c r="O29" s="64">
        <v>10266.294580942709</v>
      </c>
      <c r="P29" s="64">
        <v>-37.190830686117891</v>
      </c>
      <c r="Q29" s="64">
        <v>10229.103750256591</v>
      </c>
      <c r="R29" s="64"/>
      <c r="S29" s="64"/>
    </row>
    <row r="30" spans="1:24" x14ac:dyDescent="0.25">
      <c r="D30" s="54" t="s">
        <v>41</v>
      </c>
      <c r="E30" s="55"/>
      <c r="F30" s="55"/>
      <c r="G30" s="20">
        <f>SUM(G9:G28)</f>
        <v>-232.44269178824288</v>
      </c>
      <c r="H30" s="20">
        <f>SUM(H9:H28)</f>
        <v>22833.591815946558</v>
      </c>
      <c r="I30" s="20">
        <f>SUM(I9:I28)</f>
        <v>50855873.924386367</v>
      </c>
      <c r="J30" s="25">
        <f>SUM(J9:J28)</f>
        <v>2.7421720037352815</v>
      </c>
    </row>
    <row r="31" spans="1:24" x14ac:dyDescent="0.25">
      <c r="D31" s="45" t="s">
        <v>6</v>
      </c>
      <c r="E31" s="47"/>
      <c r="F31" s="47"/>
      <c r="G31" s="27">
        <f>AVERAGE(G9:G28)</f>
        <v>-11.622134589412145</v>
      </c>
      <c r="H31" s="27">
        <f>AVERAGE(H9:H28)</f>
        <v>1141.6795907973278</v>
      </c>
      <c r="I31" s="27">
        <f>AVERAGE(I9:I28)</f>
        <v>2542793.6962193185</v>
      </c>
      <c r="J31" s="35">
        <f>AVERAGE(J9:J28)</f>
        <v>0.13710860018676407</v>
      </c>
    </row>
    <row r="32" spans="1:24" ht="72" x14ac:dyDescent="0.25">
      <c r="D32" s="30"/>
      <c r="E32" s="48"/>
      <c r="F32" s="48"/>
      <c r="G32" s="44" t="s">
        <v>42</v>
      </c>
      <c r="H32" s="44" t="s">
        <v>43</v>
      </c>
      <c r="I32" s="44" t="s">
        <v>44</v>
      </c>
      <c r="J32" s="36" t="s">
        <v>45</v>
      </c>
      <c r="M32" s="59" t="s">
        <v>116</v>
      </c>
      <c r="N32" s="59" t="s">
        <v>108</v>
      </c>
      <c r="O32" s="59" t="s">
        <v>107</v>
      </c>
    </row>
    <row r="33" spans="1:15" ht="15.75" thickBot="1" x14ac:dyDescent="0.3">
      <c r="D33" s="32"/>
      <c r="E33" s="49"/>
      <c r="F33" s="49"/>
      <c r="G33" s="33"/>
      <c r="H33" s="34" t="s">
        <v>46</v>
      </c>
      <c r="I33" s="33">
        <f>SQRT(I30/(COUNT(I9:I28)-2))</f>
        <v>1680.8707056560229</v>
      </c>
      <c r="J33" s="37"/>
      <c r="M33" s="60">
        <v>1</v>
      </c>
      <c r="N33" s="60">
        <v>0</v>
      </c>
      <c r="O33" s="60">
        <v>0</v>
      </c>
    </row>
    <row r="34" spans="1:15" ht="17.25" x14ac:dyDescent="0.25">
      <c r="A34" s="16"/>
      <c r="B34" s="16"/>
      <c r="I34" s="3" t="str">
        <f>IF(COUNT(I9:I28)-2&lt;1,"Not enough data to compute the standard error","")</f>
        <v/>
      </c>
      <c r="M34" s="60">
        <v>2</v>
      </c>
      <c r="N34" s="62" t="s">
        <v>112</v>
      </c>
      <c r="O34" s="62" t="s">
        <v>113</v>
      </c>
    </row>
    <row r="35" spans="1:15" ht="17.25" x14ac:dyDescent="0.25">
      <c r="M35" s="60">
        <v>3</v>
      </c>
      <c r="N35" s="62" t="s">
        <v>119</v>
      </c>
      <c r="O35" s="62" t="s">
        <v>120</v>
      </c>
    </row>
    <row r="36" spans="1:15" x14ac:dyDescent="0.25">
      <c r="I36" s="3">
        <v>50855873.924386367</v>
      </c>
      <c r="M36" s="60">
        <v>4</v>
      </c>
      <c r="N36" s="60">
        <v>373.5359999999996</v>
      </c>
      <c r="O36" s="60">
        <v>139529.1432959997</v>
      </c>
    </row>
    <row r="37" spans="1:15" x14ac:dyDescent="0.25">
      <c r="M37" s="60">
        <v>5</v>
      </c>
      <c r="N37" s="60">
        <v>-15.202560000000176</v>
      </c>
      <c r="O37" s="60">
        <v>231.11783055360536</v>
      </c>
    </row>
    <row r="38" spans="1:15" x14ac:dyDescent="0.25">
      <c r="M38" s="60">
        <v>6</v>
      </c>
      <c r="N38" s="60">
        <v>1112.4821376</v>
      </c>
      <c r="O38" s="60">
        <v>1237616.5064790654</v>
      </c>
    </row>
    <row r="39" spans="1:15" x14ac:dyDescent="0.25">
      <c r="M39" s="60">
        <v>7</v>
      </c>
      <c r="N39" s="60">
        <v>1208.0219351039996</v>
      </c>
      <c r="O39" s="60">
        <v>1459316.9956924117</v>
      </c>
    </row>
    <row r="40" spans="1:15" x14ac:dyDescent="0.25">
      <c r="M40" s="60">
        <v>8</v>
      </c>
      <c r="N40" s="60">
        <v>1162.8463849881591</v>
      </c>
      <c r="O40" s="60">
        <v>1352211.71508003</v>
      </c>
    </row>
    <row r="41" spans="1:15" x14ac:dyDescent="0.25">
      <c r="D41" s="3" t="s">
        <v>76</v>
      </c>
      <c r="E41" s="3" t="s">
        <v>77</v>
      </c>
      <c r="F41" s="3" t="s">
        <v>76</v>
      </c>
      <c r="G41" s="3">
        <v>2</v>
      </c>
      <c r="H41" s="3" t="s">
        <v>77</v>
      </c>
      <c r="M41" s="60">
        <v>9</v>
      </c>
      <c r="N41" s="60">
        <v>812.75585336688528</v>
      </c>
      <c r="O41" s="60">
        <v>660572.07718213391</v>
      </c>
    </row>
    <row r="42" spans="1:15" x14ac:dyDescent="0.25">
      <c r="D42" s="3">
        <v>2010</v>
      </c>
      <c r="E42" s="46">
        <v>10431</v>
      </c>
      <c r="F42" s="3">
        <v>2000</v>
      </c>
      <c r="G42" s="46">
        <v>11502</v>
      </c>
      <c r="I42" s="46">
        <v>10791</v>
      </c>
      <c r="M42" s="60">
        <v>10</v>
      </c>
      <c r="N42" s="60">
        <v>1596.6968105039305</v>
      </c>
      <c r="O42" s="60">
        <v>2549440.7046734244</v>
      </c>
    </row>
    <row r="43" spans="1:15" x14ac:dyDescent="0.25">
      <c r="D43" s="3">
        <v>2009</v>
      </c>
      <c r="E43" s="46">
        <v>8772</v>
      </c>
      <c r="F43" s="3">
        <v>1999</v>
      </c>
      <c r="G43" s="46">
        <v>9213</v>
      </c>
      <c r="I43" s="46">
        <v>10022</v>
      </c>
      <c r="M43" s="60">
        <v>11</v>
      </c>
      <c r="N43" s="60">
        <v>-1501.986487749291</v>
      </c>
      <c r="O43" s="60">
        <v>2255963.4093814511</v>
      </c>
    </row>
    <row r="44" spans="1:15" x14ac:dyDescent="0.25">
      <c r="D44" s="3">
        <v>2008</v>
      </c>
      <c r="E44" s="46">
        <v>13262</v>
      </c>
      <c r="F44" s="3">
        <v>1998</v>
      </c>
      <c r="G44" s="46">
        <v>7908</v>
      </c>
      <c r="I44" s="46">
        <v>8342</v>
      </c>
      <c r="M44" s="60">
        <v>12</v>
      </c>
      <c r="N44" s="60">
        <v>-1939.4053093600487</v>
      </c>
      <c r="O44" s="60">
        <v>3761292.9539739462</v>
      </c>
    </row>
    <row r="45" spans="1:15" x14ac:dyDescent="0.25">
      <c r="D45" s="3">
        <v>2007</v>
      </c>
      <c r="E45" s="46">
        <v>12460</v>
      </c>
      <c r="F45" s="3">
        <v>1997</v>
      </c>
      <c r="G45" s="46">
        <v>6448</v>
      </c>
      <c r="I45" s="46">
        <v>10453</v>
      </c>
      <c r="M45" s="60">
        <v>13</v>
      </c>
      <c r="N45" s="60">
        <v>-2627.5842241845912</v>
      </c>
      <c r="O45" s="60">
        <v>6904198.8551837401</v>
      </c>
    </row>
    <row r="46" spans="1:15" x14ac:dyDescent="0.25">
      <c r="D46" s="3">
        <v>2006</v>
      </c>
      <c r="E46" s="46">
        <v>10718</v>
      </c>
      <c r="F46" s="3">
        <v>1996</v>
      </c>
      <c r="G46" s="46">
        <v>5117</v>
      </c>
      <c r="I46" s="46">
        <v>10784</v>
      </c>
      <c r="M46" s="60">
        <v>14</v>
      </c>
      <c r="N46" s="60">
        <v>1446.1934687200337</v>
      </c>
      <c r="O46" s="60">
        <v>2091475.548968483</v>
      </c>
    </row>
    <row r="47" spans="1:15" x14ac:dyDescent="0.25">
      <c r="D47" s="3">
        <v>2005</v>
      </c>
      <c r="E47" s="46">
        <v>10784</v>
      </c>
      <c r="F47" s="3">
        <v>1995</v>
      </c>
      <c r="G47" s="46">
        <v>3834</v>
      </c>
      <c r="I47" s="46">
        <v>10718</v>
      </c>
      <c r="M47" s="60">
        <v>15</v>
      </c>
      <c r="N47" s="60">
        <v>249.55805230575425</v>
      </c>
      <c r="O47" s="60">
        <v>62279.221470641569</v>
      </c>
    </row>
    <row r="48" spans="1:15" x14ac:dyDescent="0.25">
      <c r="D48" s="3">
        <v>2004</v>
      </c>
      <c r="E48" s="46">
        <v>10453</v>
      </c>
      <c r="F48" s="3">
        <v>1994</v>
      </c>
      <c r="G48" s="46">
        <v>3754</v>
      </c>
      <c r="I48" s="46">
        <v>12460</v>
      </c>
      <c r="M48" s="60">
        <v>16</v>
      </c>
      <c r="N48" s="60">
        <v>-426.69831934602189</v>
      </c>
      <c r="O48" s="60">
        <v>182071.45573271968</v>
      </c>
    </row>
    <row r="49" spans="4:15" x14ac:dyDescent="0.25">
      <c r="D49" s="3">
        <v>2003</v>
      </c>
      <c r="E49" s="46">
        <v>8342</v>
      </c>
      <c r="F49" s="3">
        <v>1993</v>
      </c>
      <c r="G49" s="46">
        <v>3301</v>
      </c>
      <c r="I49" s="46">
        <v>13262</v>
      </c>
      <c r="M49" s="60">
        <v>17</v>
      </c>
      <c r="N49" s="60">
        <v>1314.322137418987</v>
      </c>
      <c r="O49" s="60">
        <v>1727442.6809096145</v>
      </c>
    </row>
    <row r="50" spans="4:15" x14ac:dyDescent="0.25">
      <c r="D50" s="3">
        <v>2002</v>
      </c>
      <c r="E50" s="46">
        <v>10022</v>
      </c>
      <c r="F50" s="3">
        <v>1992</v>
      </c>
      <c r="G50" s="46">
        <v>3169</v>
      </c>
      <c r="I50" s="46">
        <v>8772</v>
      </c>
      <c r="M50" s="60">
        <v>18</v>
      </c>
      <c r="N50" s="60">
        <v>512.23468678494828</v>
      </c>
      <c r="O50" s="60">
        <v>262384.37434567406</v>
      </c>
    </row>
    <row r="51" spans="4:15" x14ac:dyDescent="0.25">
      <c r="D51" s="3">
        <v>2001</v>
      </c>
      <c r="E51" s="46">
        <v>10791</v>
      </c>
      <c r="F51" s="3">
        <v>1991</v>
      </c>
      <c r="G51" s="46">
        <v>2634</v>
      </c>
      <c r="I51" s="46">
        <v>10431</v>
      </c>
      <c r="M51" s="60">
        <v>19</v>
      </c>
      <c r="N51" s="60">
        <v>-5022.1403532274489</v>
      </c>
      <c r="O51" s="60">
        <v>25221893.727515526</v>
      </c>
    </row>
    <row r="52" spans="4:15" x14ac:dyDescent="0.25">
      <c r="M52" s="60">
        <v>20</v>
      </c>
      <c r="N52" s="60">
        <v>823.52709528646119</v>
      </c>
      <c r="O52" s="60">
        <v>678196.87667095615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CMAwG</vt:lpstr>
      <vt:lpstr>Trend Projection</vt:lpstr>
      <vt:lpstr>Trend Projection 2</vt:lpstr>
      <vt:lpstr>Exp with Trend</vt:lpstr>
      <vt:lpstr>Graph for Sheet7</vt:lpstr>
      <vt:lpstr>Graph for Sheet5</vt:lpstr>
      <vt:lpstr>Graph for Sheet9</vt:lpstr>
      <vt:lpstr>Graph for 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SeheS</cp:lastModifiedBy>
  <dcterms:created xsi:type="dcterms:W3CDTF">2021-06-11T09:44:53Z</dcterms:created>
  <dcterms:modified xsi:type="dcterms:W3CDTF">2022-12-12T22:13:11Z</dcterms:modified>
</cp:coreProperties>
</file>