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 firstSheet="25" activeTab="28"/>
  </bookViews>
  <sheets>
    <sheet name="3月" sheetId="1" r:id="rId1"/>
    <sheet name="4月" sheetId="2" r:id="rId2"/>
    <sheet name="5-6月" sheetId="3" r:id="rId3"/>
    <sheet name="7月" sheetId="4" r:id="rId4"/>
    <sheet name="8月" sheetId="5" r:id="rId5"/>
    <sheet name="9月" sheetId="6" r:id="rId6"/>
    <sheet name="10月" sheetId="7" r:id="rId7"/>
    <sheet name="11-12月" sheetId="8" r:id="rId8"/>
    <sheet name="17年01" sheetId="9" r:id="rId9"/>
    <sheet name="17年02" sheetId="10" r:id="rId10"/>
    <sheet name="17年03" sheetId="11" r:id="rId11"/>
    <sheet name="17年04" sheetId="12" r:id="rId12"/>
    <sheet name="17年05" sheetId="13" r:id="rId13"/>
    <sheet name="17年06销售额" sheetId="14" r:id="rId14"/>
    <sheet name="17年07月销售额" sheetId="15" r:id="rId15"/>
    <sheet name="17年08月销售额" sheetId="16" r:id="rId16"/>
    <sheet name="17年09月销售额" sheetId="17" r:id="rId17"/>
    <sheet name="17年10月销售额" sheetId="18" r:id="rId18"/>
    <sheet name="17年11月销售额" sheetId="19" r:id="rId19"/>
    <sheet name="17年12月销售额" sheetId="20" r:id="rId20"/>
    <sheet name="18年1月销售额" sheetId="21" r:id="rId21"/>
    <sheet name="18年2月销售额" sheetId="22" r:id="rId22"/>
    <sheet name="18年3月销售额" sheetId="23" r:id="rId23"/>
    <sheet name="18年4月销售额（当月开票）" sheetId="24" r:id="rId24"/>
    <sheet name="18年5月销售额" sheetId="25" r:id="rId25"/>
    <sheet name="18年6月销售额" sheetId="26" r:id="rId26"/>
    <sheet name="18年7月销售额" sheetId="27" r:id="rId27"/>
    <sheet name="18年8月销售额" sheetId="28" r:id="rId28"/>
    <sheet name="18年9月销售额" sheetId="29" r:id="rId29"/>
    <sheet name="18年10月销售额" sheetId="30" r:id="rId30"/>
    <sheet name="18年11月销售额" sheetId="31" r:id="rId31"/>
    <sheet name="18年12月銷售額" sheetId="32" r:id="rId32"/>
    <sheet name="19年1月销售额" sheetId="33" r:id="rId33"/>
    <sheet name="19年2月销售额" sheetId="34" r:id="rId34"/>
    <sheet name="19年3月销售额" sheetId="35" r:id="rId35"/>
    <sheet name="19年4月销售额" sheetId="36" r:id="rId36"/>
    <sheet name="19年5月销售额" sheetId="37" r:id="rId37"/>
    <sheet name="19年6月销售额" sheetId="38" r:id="rId38"/>
    <sheet name="19年7月销售额" sheetId="39" r:id="rId39"/>
    <sheet name="19年8月销售额" sheetId="40" r:id="rId40"/>
    <sheet name="19年9月销售额" sheetId="41" r:id="rId41"/>
    <sheet name="19年10月销售额" sheetId="42" r:id="rId42"/>
  </sheets>
  <definedNames>
    <definedName name="_xlnm._FilterDatabase" localSheetId="27" hidden="1">'18年8月销售额'!$A$1:$I$55</definedName>
    <definedName name="_xlnm._FilterDatabase" localSheetId="29" hidden="1">'18年10月销售额'!$A$1:$K$56</definedName>
    <definedName name="_xlnm._FilterDatabase" localSheetId="30" hidden="1">'18年11月销售额'!$A$1:$K$60</definedName>
    <definedName name="_xlnm._FilterDatabase" localSheetId="31" hidden="1">'18年12月銷售額'!$A$1:$I$49</definedName>
    <definedName name="_xlnm._FilterDatabase" localSheetId="41" hidden="1">'19年10月销售额'!$A$1:$L$71</definedName>
    <definedName name="_xlnm._FilterDatabase" localSheetId="32" hidden="1">'19年1月销售额'!$A$1:$I$19</definedName>
    <definedName name="_xlnm._FilterDatabase" localSheetId="33" hidden="1">'19年2月销售额'!$A$1:$I$61</definedName>
    <definedName name="_xlnm._FilterDatabase" localSheetId="34" hidden="1">'19年3月销售额'!$A$1:$K$12</definedName>
    <definedName name="_xlnm._FilterDatabase" localSheetId="35" hidden="1">'19年4月销售额'!$L$1:$L$1</definedName>
    <definedName name="_xlnm._FilterDatabase" localSheetId="36" hidden="1">'19年5月销售额'!$A$1:$I$23</definedName>
    <definedName name="_xlnm._FilterDatabase" localSheetId="37" hidden="1">'19年6月销售额'!$A$1:$N$38</definedName>
    <definedName name="_xlnm._FilterDatabase" localSheetId="38" hidden="1">'19年7月销售额'!$A$1:$K$28</definedName>
    <definedName name="_xlnm._FilterDatabase" localSheetId="39" hidden="1">'19年8月销售额'!$A$1:$K$61</definedName>
    <definedName name="_xlnm._FilterDatabase" localSheetId="40" hidden="1">'19年9月销售额'!$A$1:$K$57</definedName>
  </definedNames>
  <calcPr calcId="144525" concurrentCalc="0"/>
</workbook>
</file>

<file path=xl/comments1.xml><?xml version="1.0" encoding="utf-8"?>
<comments xmlns="http://schemas.openxmlformats.org/spreadsheetml/2006/main">
  <authors>
    <author>win7</author>
  </authors>
  <commentList>
    <comment ref="B6" authorId="0">
      <text>
        <r>
          <rPr>
            <b/>
            <sz val="9"/>
            <rFont val="Tahoma"/>
            <charset val="134"/>
          </rPr>
          <t>win7: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退票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420+5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4200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2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420+5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4200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9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之前开</t>
        </r>
        <r>
          <rPr>
            <sz val="9"/>
            <rFont val="Tahoma"/>
            <charset val="134"/>
          </rPr>
          <t>98000</t>
        </r>
        <r>
          <rPr>
            <sz val="9"/>
            <rFont val="宋体"/>
            <charset val="134"/>
          </rPr>
          <t>元，开多了</t>
        </r>
        <r>
          <rPr>
            <sz val="9"/>
            <rFont val="Tahoma"/>
            <charset val="134"/>
          </rPr>
          <t>3000</t>
        </r>
        <r>
          <rPr>
            <sz val="9"/>
            <rFont val="宋体"/>
            <charset val="134"/>
          </rPr>
          <t>元，作废一张冲红，重开</t>
        </r>
        <r>
          <rPr>
            <sz val="9"/>
            <rFont val="Tahoma"/>
            <charset val="134"/>
          </rPr>
          <t>6800</t>
        </r>
        <r>
          <rPr>
            <sz val="9"/>
            <rFont val="宋体"/>
            <charset val="134"/>
          </rPr>
          <t>元一张。</t>
        </r>
      </text>
    </comment>
  </commentList>
</comments>
</file>

<file path=xl/sharedStrings.xml><?xml version="1.0" encoding="utf-8"?>
<sst xmlns="http://schemas.openxmlformats.org/spreadsheetml/2006/main" count="5332" uniqueCount="339">
  <si>
    <t>公司名称</t>
  </si>
  <si>
    <t>含税金额</t>
  </si>
  <si>
    <t>品名</t>
  </si>
  <si>
    <t>规格</t>
  </si>
  <si>
    <t>单位</t>
  </si>
  <si>
    <t>单价</t>
  </si>
  <si>
    <t>数量</t>
  </si>
  <si>
    <t>备注</t>
  </si>
  <si>
    <t>翔智达</t>
  </si>
  <si>
    <t>集成电路</t>
  </si>
  <si>
    <t>pcs</t>
  </si>
  <si>
    <t>0.09－0.1</t>
  </si>
  <si>
    <t>？</t>
  </si>
  <si>
    <t>12-1月</t>
  </si>
  <si>
    <t>创和</t>
  </si>
  <si>
    <t>1月</t>
  </si>
  <si>
    <t>备注：黄色部分请您帮参考</t>
  </si>
  <si>
    <t>合计</t>
  </si>
  <si>
    <t>已开过发票</t>
  </si>
  <si>
    <t>3-4月开票明细</t>
  </si>
  <si>
    <t>金额</t>
  </si>
  <si>
    <t>单价（参考）</t>
  </si>
  <si>
    <t>4月</t>
  </si>
  <si>
    <t>5-6月</t>
  </si>
  <si>
    <t>5月</t>
  </si>
  <si>
    <t>6月</t>
  </si>
  <si>
    <t>杰芯</t>
  </si>
  <si>
    <t>PCS</t>
  </si>
  <si>
    <t>7月</t>
  </si>
  <si>
    <t>精英</t>
  </si>
  <si>
    <t>0.1-0.11</t>
  </si>
  <si>
    <t>8月</t>
  </si>
  <si>
    <t>9月</t>
  </si>
  <si>
    <t xml:space="preserve">已开过发票 </t>
  </si>
  <si>
    <t>屏显天下</t>
  </si>
  <si>
    <t>格特隆</t>
  </si>
  <si>
    <t>创合</t>
  </si>
  <si>
    <t>10月</t>
  </si>
  <si>
    <t>注：</t>
  </si>
  <si>
    <t>格特隆和屏显的资料我再提供给你</t>
  </si>
  <si>
    <t>11月</t>
  </si>
  <si>
    <t>鑫鸿臻</t>
  </si>
  <si>
    <t>明朗微</t>
  </si>
  <si>
    <t>9-11月</t>
  </si>
  <si>
    <t>12月</t>
  </si>
  <si>
    <t>乐达明</t>
  </si>
  <si>
    <t>盛世海岳</t>
  </si>
  <si>
    <t>已开票</t>
  </si>
  <si>
    <t>一 月</t>
  </si>
  <si>
    <t>南京福卡</t>
  </si>
  <si>
    <t>退票重开</t>
  </si>
  <si>
    <t>二月</t>
  </si>
  <si>
    <t>优景观复</t>
  </si>
  <si>
    <t>EC4953</t>
  </si>
  <si>
    <t>需按实际成交价开票</t>
  </si>
  <si>
    <t>科创鑫</t>
  </si>
  <si>
    <t>12-2月</t>
  </si>
  <si>
    <t>需按实际成交价补开票</t>
  </si>
  <si>
    <t>3月</t>
  </si>
  <si>
    <t>3月（注意不要与720元的开在一起。）</t>
  </si>
  <si>
    <t>2月</t>
  </si>
  <si>
    <t>屏显</t>
  </si>
  <si>
    <t>康硕展</t>
  </si>
  <si>
    <t>已开发票</t>
  </si>
  <si>
    <t>极光王</t>
  </si>
  <si>
    <t>注：按实际标注单价开票</t>
  </si>
  <si>
    <t>注：4月28日已开完发票。不要重复开</t>
  </si>
  <si>
    <r>
      <rPr>
        <sz val="18"/>
        <color rgb="FF000000"/>
        <rFont val="宋体"/>
        <charset val="134"/>
        <scheme val="minor"/>
      </rPr>
      <t>P</t>
    </r>
    <r>
      <rPr>
        <sz val="18"/>
        <color rgb="FF000000"/>
        <rFont val="宋体"/>
        <charset val="134"/>
        <scheme val="minor"/>
      </rPr>
      <t>CS</t>
    </r>
  </si>
  <si>
    <t>注：按实际标注单价开票 要备注四月份货款</t>
  </si>
  <si>
    <t>已更换开票资料，待通知再开。</t>
  </si>
  <si>
    <t>康佳</t>
  </si>
  <si>
    <r>
      <rPr>
        <sz val="18"/>
        <rFont val="宋体"/>
        <charset val="134"/>
        <scheme val="minor"/>
      </rPr>
      <t>G</t>
    </r>
    <r>
      <rPr>
        <sz val="18"/>
        <rFont val="宋体"/>
        <charset val="134"/>
        <scheme val="minor"/>
      </rPr>
      <t>M</t>
    </r>
    <r>
      <rPr>
        <sz val="18"/>
        <rFont val="宋体"/>
        <charset val="134"/>
        <scheme val="minor"/>
      </rPr>
      <t>4953</t>
    </r>
  </si>
  <si>
    <t>元亨</t>
  </si>
  <si>
    <t>GM4953</t>
  </si>
  <si>
    <t>东莞科福</t>
  </si>
  <si>
    <t>宇阳成</t>
  </si>
  <si>
    <t>\</t>
  </si>
  <si>
    <t>多利鑫</t>
  </si>
  <si>
    <t>蓝普视讯</t>
  </si>
  <si>
    <t>ES4953</t>
  </si>
  <si>
    <t>悦之彩</t>
  </si>
  <si>
    <t>注：按实际标注单价开票 要备注五月份货款</t>
  </si>
  <si>
    <t>五月暂不开</t>
  </si>
  <si>
    <t>三升显示</t>
  </si>
  <si>
    <t>金品诺</t>
  </si>
  <si>
    <t>另截止2017年5月共开票</t>
  </si>
  <si>
    <t>已开发票，除翔智达</t>
  </si>
  <si>
    <t>含税单价（参考）</t>
  </si>
  <si>
    <t>大族元亨</t>
  </si>
  <si>
    <t>个</t>
  </si>
  <si>
    <t>艾派奇</t>
  </si>
  <si>
    <t>ES4812</t>
  </si>
  <si>
    <t>EM8205A</t>
  </si>
  <si>
    <t>注：按实际标注单价开票 要备注六月份货款</t>
  </si>
  <si>
    <t>五月份</t>
  </si>
  <si>
    <t>创赢</t>
  </si>
  <si>
    <t>注：按实际单价</t>
  </si>
  <si>
    <t>威智登</t>
  </si>
  <si>
    <t>晶园</t>
  </si>
  <si>
    <t>SKWQ028</t>
  </si>
  <si>
    <t>片</t>
  </si>
  <si>
    <t>SKWQ024</t>
  </si>
  <si>
    <t>SKE</t>
  </si>
  <si>
    <t>已开发票31/7</t>
  </si>
  <si>
    <t>含税总金额</t>
  </si>
  <si>
    <t>注：按未税金额：9159.18*1.17开票</t>
  </si>
  <si>
    <t>洲明</t>
  </si>
  <si>
    <t>注：未税金额：27666.39*1.17开票</t>
  </si>
  <si>
    <t>注：按实际标注单价开票 要备注七月份货款</t>
  </si>
  <si>
    <t>同上次</t>
  </si>
  <si>
    <t>六月暂不开</t>
  </si>
  <si>
    <t>派立通</t>
  </si>
  <si>
    <t>晶圆</t>
  </si>
  <si>
    <t>SKWQ039</t>
  </si>
  <si>
    <t>SKWQ026</t>
  </si>
  <si>
    <t>SKWQ047</t>
  </si>
  <si>
    <t>SKWQ082</t>
  </si>
  <si>
    <t>SKWQ012</t>
  </si>
  <si>
    <t>八月总计开票：</t>
  </si>
  <si>
    <t>注：已开过票</t>
  </si>
  <si>
    <t>六月</t>
  </si>
  <si>
    <t>已在领票前开票</t>
  </si>
  <si>
    <t>注：按实际标注单价开票 要备注八月份货款</t>
  </si>
  <si>
    <t>微电能</t>
  </si>
  <si>
    <t>8月暂不开</t>
  </si>
  <si>
    <t>按未税0.126500*1.17</t>
  </si>
  <si>
    <t>ES4411</t>
  </si>
  <si>
    <t>未税0.11111</t>
  </si>
  <si>
    <t>打拆片</t>
  </si>
  <si>
    <t>SKWQ045</t>
  </si>
  <si>
    <t>SKWQ174</t>
  </si>
  <si>
    <t>S9E</t>
  </si>
  <si>
    <t>无锡日晟微</t>
  </si>
  <si>
    <r>
      <rPr>
        <sz val="12"/>
        <color theme="1"/>
        <rFont val="宋体"/>
        <charset val="134"/>
        <scheme val="minor"/>
      </rPr>
      <t>S</t>
    </r>
    <r>
      <rPr>
        <sz val="12"/>
        <color theme="1"/>
        <rFont val="宋体"/>
        <charset val="134"/>
        <scheme val="minor"/>
      </rPr>
      <t>KWQ045</t>
    </r>
  </si>
  <si>
    <t>/</t>
  </si>
  <si>
    <t>重庆芯芮能</t>
  </si>
  <si>
    <t>SKWQ036</t>
  </si>
  <si>
    <t xml:space="preserve">                                                                                                                                                        </t>
  </si>
  <si>
    <t>九月开票总计：1072775.15</t>
  </si>
  <si>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>-6月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</si>
  <si>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0月</t>
    </r>
  </si>
  <si>
    <t>注:以上均已开过发票</t>
  </si>
  <si>
    <t>11-12月</t>
  </si>
  <si>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月</t>
    </r>
  </si>
  <si>
    <t>暂不开</t>
  </si>
  <si>
    <t>世伟通讯</t>
  </si>
  <si>
    <t>ES9926</t>
  </si>
  <si>
    <t>注：按实际标注单价开票 要备注九月份货款</t>
  </si>
  <si>
    <t>EV3407</t>
  </si>
  <si>
    <t>8月份货款</t>
  </si>
  <si>
    <t>新功率</t>
  </si>
  <si>
    <t>SKWQ030</t>
  </si>
  <si>
    <t>打折片</t>
  </si>
  <si>
    <t>SKWQ086</t>
  </si>
  <si>
    <t>杭州元佑</t>
  </si>
  <si>
    <t>DUP</t>
  </si>
  <si>
    <t>颗</t>
  </si>
  <si>
    <t>DWO</t>
  </si>
  <si>
    <t>十月开票总计：</t>
  </si>
  <si>
    <t>已开</t>
  </si>
  <si>
    <t>EN2300</t>
  </si>
  <si>
    <t>EV3400</t>
  </si>
  <si>
    <t>EV3401</t>
  </si>
  <si>
    <t>已开/作废</t>
  </si>
  <si>
    <t>百一光电</t>
  </si>
  <si>
    <t>芸一</t>
  </si>
  <si>
    <t>翔智达7月</t>
  </si>
  <si>
    <t>翔智达8月</t>
  </si>
  <si>
    <r>
      <rPr>
        <sz val="18"/>
        <color theme="1"/>
        <rFont val="宋体"/>
        <charset val="134"/>
        <scheme val="minor"/>
      </rPr>
      <t>SKW</t>
    </r>
    <r>
      <rPr>
        <sz val="18"/>
        <color rgb="FFFF0000"/>
        <rFont val="宋体"/>
        <charset val="134"/>
        <scheme val="minor"/>
      </rPr>
      <t>S</t>
    </r>
    <r>
      <rPr>
        <sz val="18"/>
        <color theme="1"/>
        <rFont val="宋体"/>
        <charset val="134"/>
        <scheme val="minor"/>
      </rPr>
      <t>028</t>
    </r>
  </si>
  <si>
    <t>120N08L</t>
  </si>
  <si>
    <t>含税单价</t>
  </si>
  <si>
    <t xml:space="preserve">十一月份货款 </t>
  </si>
  <si>
    <t>EC8205</t>
  </si>
  <si>
    <t>EN2301</t>
  </si>
  <si>
    <t>鑫亿光</t>
  </si>
  <si>
    <t xml:space="preserve">康佳 </t>
  </si>
  <si>
    <t>欧派奇</t>
  </si>
  <si>
    <t>南通钰泰</t>
  </si>
  <si>
    <t>12月的</t>
  </si>
  <si>
    <t>记得作废微电能的三张，康硕展的冲红一张</t>
  </si>
  <si>
    <t>y</t>
  </si>
  <si>
    <t xml:space="preserve">要备注2017年12月份货款 </t>
  </si>
  <si>
    <t>EV2315</t>
  </si>
  <si>
    <t>先洲</t>
  </si>
  <si>
    <t>要求未税0.126500</t>
  </si>
  <si>
    <t>RX80N08L</t>
  </si>
  <si>
    <t>路华</t>
  </si>
  <si>
    <t xml:space="preserve">要备注2018年一月份货款 </t>
  </si>
  <si>
    <t>聚力</t>
  </si>
  <si>
    <t>SKWQ007</t>
  </si>
  <si>
    <t>80N08L</t>
  </si>
  <si>
    <t>SKWQ103</t>
  </si>
  <si>
    <t>12月业绩的</t>
  </si>
  <si>
    <t>2018年1月份业绩</t>
  </si>
  <si>
    <t>2017年11月与12月业绩</t>
  </si>
  <si>
    <t>三月业绩3月底已开票</t>
  </si>
  <si>
    <t>汕头美高乐</t>
  </si>
  <si>
    <t>4月11号已开票</t>
  </si>
  <si>
    <r>
      <rPr>
        <sz val="10"/>
        <rFont val="宋体"/>
        <charset val="134"/>
        <scheme val="minor"/>
      </rPr>
      <t>地址错4月1</t>
    </r>
    <r>
      <rPr>
        <b/>
        <sz val="10"/>
        <rFont val="宋体"/>
        <charset val="134"/>
        <scheme val="minor"/>
      </rPr>
      <t>1号已开票.4月25重开</t>
    </r>
  </si>
  <si>
    <t>EC8205-A</t>
  </si>
  <si>
    <t>退了120K,下月少开120K</t>
  </si>
  <si>
    <r>
      <rPr>
        <sz val="12"/>
        <rFont val="宋体"/>
        <charset val="134"/>
        <scheme val="minor"/>
      </rPr>
      <t>4月1</t>
    </r>
    <r>
      <rPr>
        <b/>
        <sz val="12"/>
        <rFont val="宋体"/>
        <charset val="134"/>
        <scheme val="minor"/>
      </rPr>
      <t>1号已开票</t>
    </r>
  </si>
  <si>
    <t>NCE2301B</t>
  </si>
  <si>
    <t>4月20已开票</t>
  </si>
  <si>
    <t>RMW3419</t>
  </si>
  <si>
    <t>25片（2100000个）</t>
  </si>
  <si>
    <t>4月份业绩提前开</t>
  </si>
  <si>
    <t>瑞一</t>
  </si>
  <si>
    <t>ES9435</t>
  </si>
  <si>
    <t>4月25号重开</t>
  </si>
  <si>
    <t>4月25号开票</t>
  </si>
  <si>
    <t>EM8205F</t>
  </si>
  <si>
    <t>4月26号开票</t>
  </si>
  <si>
    <t>5月份业绩(当月开)</t>
  </si>
  <si>
    <t>2-3月份业绩</t>
  </si>
  <si>
    <t>5月份业绩</t>
  </si>
  <si>
    <t>元享</t>
  </si>
  <si>
    <t>EY4409</t>
  </si>
  <si>
    <t>康硕康</t>
  </si>
  <si>
    <t>2018/6/7(6/11)</t>
  </si>
  <si>
    <t>80N08</t>
  </si>
  <si>
    <t>SKTW025</t>
  </si>
  <si>
    <t>16片*2700=43200已开.(6月27日)</t>
  </si>
  <si>
    <t>剩下9片7月开票</t>
  </si>
  <si>
    <t>6月份业绩</t>
  </si>
  <si>
    <t>2018/7/11(7/17)</t>
  </si>
  <si>
    <t>4月份业绩</t>
  </si>
  <si>
    <t>8月3日已开</t>
  </si>
  <si>
    <t>7月份业绩</t>
  </si>
  <si>
    <t>8月9日已开</t>
  </si>
  <si>
    <t>8月份业绩</t>
  </si>
  <si>
    <t>9月13日已开</t>
  </si>
  <si>
    <t>GM4953L</t>
  </si>
  <si>
    <t>8月份业绩(代工+芯片)</t>
  </si>
  <si>
    <t>9月6日已开</t>
  </si>
  <si>
    <t>10月份业绩</t>
  </si>
  <si>
    <t>9月份业绩</t>
  </si>
  <si>
    <t>10月12日已开</t>
  </si>
  <si>
    <t>重开11月13日(红冲)</t>
  </si>
  <si>
    <t>10/29已开</t>
  </si>
  <si>
    <t>11月份业绩</t>
  </si>
  <si>
    <t>10月9日已开</t>
  </si>
  <si>
    <t>EV3400-G</t>
  </si>
  <si>
    <t>ES4606</t>
  </si>
  <si>
    <t>2N7002</t>
  </si>
  <si>
    <t>联芯泰</t>
  </si>
  <si>
    <t>创思</t>
  </si>
  <si>
    <t>亚美</t>
  </si>
  <si>
    <t>9/10月业绩</t>
  </si>
  <si>
    <t>宏威创</t>
  </si>
  <si>
    <t>12月份业绩</t>
  </si>
  <si>
    <t>1/11已开</t>
  </si>
  <si>
    <r>
      <rPr>
        <sz val="12"/>
        <color theme="1"/>
        <rFont val="宋体"/>
        <charset val="134"/>
        <scheme val="minor"/>
      </rPr>
      <t>作废(单价错误</t>
    </r>
    <r>
      <rPr>
        <sz val="12"/>
        <color theme="1"/>
        <rFont val="宋体"/>
        <charset val="134"/>
        <scheme val="minor"/>
      </rPr>
      <t>)</t>
    </r>
  </si>
  <si>
    <t>EC8205A</t>
  </si>
  <si>
    <t>1月份业绩</t>
  </si>
  <si>
    <t>2/26已开</t>
  </si>
  <si>
    <t>2/26已开作废,3/12已重开</t>
  </si>
  <si>
    <t>2/26,3/12已开.</t>
  </si>
  <si>
    <t>EV3404</t>
  </si>
  <si>
    <t>2019/2/26已开</t>
  </si>
  <si>
    <t>3/12已开</t>
  </si>
  <si>
    <t>2/26重开后再次作废.3/12已重开.</t>
  </si>
  <si>
    <t>欧瑞华</t>
  </si>
  <si>
    <t>2/3月份业绩</t>
  </si>
  <si>
    <t>3/20已开</t>
  </si>
  <si>
    <t>2月份业绩</t>
  </si>
  <si>
    <t>3月份业绩</t>
  </si>
  <si>
    <t>3/27已开</t>
  </si>
  <si>
    <t>优尚至</t>
  </si>
  <si>
    <t>综合金额开票.</t>
  </si>
  <si>
    <t>待开</t>
  </si>
  <si>
    <t>3/27已重开</t>
  </si>
  <si>
    <t>ET2316</t>
  </si>
  <si>
    <t>2N7002K</t>
  </si>
  <si>
    <t>开13% 4/22已开</t>
  </si>
  <si>
    <t>开13%  4/23已开</t>
  </si>
  <si>
    <t>开13%,4/23已开</t>
  </si>
  <si>
    <t>开13%  4/23已开(部分待通知)(78840/1.16*1.13)</t>
  </si>
  <si>
    <t>开13%,4/26已开(按78840/1.16*1.13-0.07)</t>
  </si>
  <si>
    <t>安圣美</t>
  </si>
  <si>
    <t>3/27已开,作废.按16% 4月23日已重开</t>
  </si>
  <si>
    <t>5/14已开</t>
  </si>
  <si>
    <t>5/16已开</t>
  </si>
  <si>
    <t>ET4435</t>
  </si>
  <si>
    <t>5/24已开</t>
  </si>
  <si>
    <t>旺平实业</t>
  </si>
  <si>
    <t>5/30已开</t>
  </si>
  <si>
    <t>6/24已开</t>
  </si>
  <si>
    <t>6/17已开</t>
  </si>
  <si>
    <t>亚美创新</t>
  </si>
  <si>
    <t>7/22已开</t>
  </si>
  <si>
    <t>7/23已开</t>
  </si>
  <si>
    <t>朗曼</t>
  </si>
  <si>
    <t>7/22已开作废,7/25重开.</t>
  </si>
  <si>
    <t>ES4409</t>
  </si>
  <si>
    <t>优景</t>
  </si>
  <si>
    <t>7/22开票地址错误作废,7/24日重开.</t>
  </si>
  <si>
    <t>天翼通</t>
  </si>
  <si>
    <t>7/12已开</t>
  </si>
  <si>
    <t>8/22已开</t>
  </si>
  <si>
    <t>EM8810</t>
  </si>
  <si>
    <t>微电能(待通知再开票)</t>
  </si>
  <si>
    <t>5/14已开,作废.8/22已开</t>
  </si>
  <si>
    <t>深圳创赢</t>
  </si>
  <si>
    <t>8/28已开</t>
  </si>
  <si>
    <t>6月份业绩/7月17000元业绩包含在此笔中</t>
  </si>
  <si>
    <t>8/8已开</t>
  </si>
  <si>
    <t>8月业绩</t>
  </si>
  <si>
    <t>9月17日已开</t>
  </si>
  <si>
    <t>10/18已开票</t>
  </si>
  <si>
    <t>已做</t>
  </si>
  <si>
    <t>星为</t>
  </si>
  <si>
    <t>8月至9月业绩</t>
  </si>
  <si>
    <t>10/23已开.客户名称错误,重开</t>
  </si>
  <si>
    <t>百一</t>
  </si>
  <si>
    <t>9月17日已作废,10/21开红字票,重开.</t>
  </si>
  <si>
    <t>9月业绩</t>
  </si>
  <si>
    <t>10/16已开票</t>
  </si>
  <si>
    <t>10/21已开票</t>
  </si>
  <si>
    <t>10/23已开票</t>
  </si>
  <si>
    <t>10/30已开</t>
  </si>
  <si>
    <t>诚辉达</t>
  </si>
  <si>
    <t>ET6300</t>
  </si>
  <si>
    <t>10/18开票作废.10/23重开</t>
  </si>
  <si>
    <t>10月业绩</t>
  </si>
  <si>
    <t>11/15已开</t>
  </si>
  <si>
    <t>东莞创赢</t>
  </si>
  <si>
    <t>三顺</t>
  </si>
  <si>
    <t>庄正</t>
  </si>
  <si>
    <t>EC8205-B</t>
  </si>
  <si>
    <t>EV2315A</t>
  </si>
  <si>
    <t>飞狮</t>
  </si>
  <si>
    <t>2018年7月份业绩</t>
  </si>
  <si>
    <t>EV3407-G</t>
  </si>
  <si>
    <t>2018年8月份业绩</t>
  </si>
  <si>
    <t>2018年9月份业绩</t>
  </si>
  <si>
    <t>2018年10月份业绩</t>
  </si>
  <si>
    <t>2018年11月份业绩</t>
  </si>
  <si>
    <t>2018年12月份业绩</t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</si>
</sst>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¥-804]#,##0.00"/>
    <numFmt numFmtId="177" formatCode="yyyy\-mm\-dd;@"/>
    <numFmt numFmtId="178" formatCode="\¥#,##0.00;\¥\-#,##0.00"/>
    <numFmt numFmtId="179" formatCode="#,##0_);[Red]\(#,##0\)"/>
    <numFmt numFmtId="180" formatCode="#,##0.00_);[Red]\(#,##0.00\)"/>
    <numFmt numFmtId="181" formatCode="#,##0_ "/>
    <numFmt numFmtId="182" formatCode="0.00_);[Red]\(0.00\)"/>
    <numFmt numFmtId="183" formatCode="0_);[Red]\(0\)"/>
    <numFmt numFmtId="184" formatCode="0.00_ "/>
  </numFmts>
  <fonts count="45">
    <font>
      <sz val="12"/>
      <color theme="1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18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2" fillId="27" borderId="15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8" borderId="14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4" fillId="23" borderId="17" applyNumberFormat="0" applyAlignment="0" applyProtection="0">
      <alignment vertical="center"/>
    </xf>
    <xf numFmtId="0" fontId="28" fillId="23" borderId="15" applyNumberFormat="0" applyAlignment="0" applyProtection="0">
      <alignment vertical="center"/>
    </xf>
    <xf numFmtId="0" fontId="38" fillId="37" borderId="19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40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80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9" fontId="1" fillId="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9" fontId="2" fillId="5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/>
    <xf numFmtId="57" fontId="1" fillId="2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9" fontId="2" fillId="3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9" fontId="1" fillId="5" borderId="1" xfId="0" applyNumberFormat="1" applyFont="1" applyFill="1" applyBorder="1" applyAlignment="1">
      <alignment horizontal="center"/>
    </xf>
    <xf numFmtId="57" fontId="1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8" fontId="0" fillId="2" borderId="0" xfId="0" applyNumberFormat="1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/>
    </xf>
    <xf numFmtId="14" fontId="0" fillId="2" borderId="0" xfId="0" applyNumberFormat="1" applyFill="1"/>
    <xf numFmtId="58" fontId="2" fillId="2" borderId="1" xfId="0" applyNumberFormat="1" applyFont="1" applyFill="1" applyBorder="1"/>
    <xf numFmtId="14" fontId="0" fillId="2" borderId="0" xfId="0" applyNumberFormat="1" applyFont="1" applyFill="1"/>
    <xf numFmtId="178" fontId="0" fillId="0" borderId="0" xfId="0" applyNumberFormat="1"/>
    <xf numFmtId="58" fontId="1" fillId="2" borderId="1" xfId="0" applyNumberFormat="1" applyFont="1" applyFill="1" applyBorder="1" applyAlignment="1">
      <alignment horizontal="center"/>
    </xf>
    <xf numFmtId="182" fontId="4" fillId="2" borderId="1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Border="1"/>
    <xf numFmtId="57" fontId="0" fillId="0" borderId="1" xfId="0" applyNumberFormat="1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78" fontId="4" fillId="2" borderId="1" xfId="0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9" fontId="4" fillId="3" borderId="1" xfId="0" applyNumberFormat="1" applyFont="1" applyFill="1" applyBorder="1" applyAlignment="1">
      <alignment horizontal="center"/>
    </xf>
    <xf numFmtId="184" fontId="1" fillId="2" borderId="2" xfId="0" applyNumberFormat="1" applyFont="1" applyFill="1" applyBorder="1" applyAlignment="1">
      <alignment horizontal="center" vertical="center"/>
    </xf>
    <xf numFmtId="184" fontId="1" fillId="2" borderId="4" xfId="0" applyNumberFormat="1" applyFont="1" applyFill="1" applyBorder="1" applyAlignment="1">
      <alignment horizontal="center" vertical="center"/>
    </xf>
    <xf numFmtId="184" fontId="1" fillId="2" borderId="3" xfId="0" applyNumberFormat="1" applyFont="1" applyFill="1" applyBorder="1" applyAlignment="1">
      <alignment horizontal="center" vertical="center"/>
    </xf>
    <xf numFmtId="177" fontId="0" fillId="0" borderId="0" xfId="0" applyNumberFormat="1"/>
    <xf numFmtId="58" fontId="2" fillId="2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2" fillId="4" borderId="1" xfId="0" applyNumberFormat="1" applyFont="1" applyFill="1" applyBorder="1" applyAlignment="1">
      <alignment horizontal="center"/>
    </xf>
    <xf numFmtId="183" fontId="0" fillId="0" borderId="0" xfId="0" applyNumberFormat="1"/>
    <xf numFmtId="183" fontId="1" fillId="3" borderId="1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3" fontId="1" fillId="5" borderId="1" xfId="0" applyNumberFormat="1" applyFont="1" applyFill="1" applyBorder="1" applyAlignment="1">
      <alignment horizontal="center"/>
    </xf>
    <xf numFmtId="58" fontId="4" fillId="2" borderId="1" xfId="0" applyNumberFormat="1" applyFont="1" applyFill="1" applyBorder="1"/>
    <xf numFmtId="0" fontId="1" fillId="2" borderId="0" xfId="0" applyFont="1" applyFill="1" applyBorder="1" applyAlignment="1">
      <alignment horizontal="center" vertical="center"/>
    </xf>
    <xf numFmtId="178" fontId="2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79" fontId="1" fillId="3" borderId="0" xfId="0" applyNumberFormat="1" applyFont="1" applyFill="1" applyBorder="1" applyAlignment="1">
      <alignment horizontal="center"/>
    </xf>
    <xf numFmtId="0" fontId="0" fillId="0" borderId="0" xfId="0" applyFont="1"/>
    <xf numFmtId="58" fontId="2" fillId="2" borderId="0" xfId="0" applyNumberFormat="1" applyFont="1" applyFill="1" applyBorder="1"/>
    <xf numFmtId="178" fontId="4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83" fontId="4" fillId="5" borderId="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/>
    </xf>
    <xf numFmtId="183" fontId="2" fillId="2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83" fontId="2" fillId="4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8" fontId="2" fillId="4" borderId="1" xfId="0" applyNumberFormat="1" applyFont="1" applyFill="1" applyBorder="1"/>
    <xf numFmtId="178" fontId="5" fillId="4" borderId="0" xfId="0" applyNumberFormat="1" applyFont="1" applyFill="1" applyBorder="1" applyAlignment="1"/>
    <xf numFmtId="178" fontId="2" fillId="4" borderId="3" xfId="0" applyNumberFormat="1" applyFont="1" applyFill="1" applyBorder="1" applyAlignment="1"/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8" fontId="2" fillId="4" borderId="2" xfId="0" applyNumberFormat="1" applyFont="1" applyFill="1" applyBorder="1" applyAlignment="1"/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9" fontId="1" fillId="5" borderId="3" xfId="0" applyNumberFormat="1" applyFont="1" applyFill="1" applyBorder="1" applyAlignment="1">
      <alignment horizontal="center"/>
    </xf>
    <xf numFmtId="58" fontId="2" fillId="4" borderId="3" xfId="0" applyNumberFormat="1" applyFont="1" applyFill="1" applyBorder="1"/>
    <xf numFmtId="179" fontId="1" fillId="5" borderId="2" xfId="0" applyNumberFormat="1" applyFont="1" applyFill="1" applyBorder="1" applyAlignment="1">
      <alignment horizontal="center"/>
    </xf>
    <xf numFmtId="184" fontId="2" fillId="0" borderId="2" xfId="0" applyNumberFormat="1" applyFont="1" applyBorder="1" applyAlignment="1">
      <alignment horizontal="center" vertical="center"/>
    </xf>
    <xf numFmtId="184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/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/>
    <xf numFmtId="18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180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181" fontId="2" fillId="2" borderId="1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2" borderId="1" xfId="0" applyFont="1" applyFill="1" applyBorder="1"/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8" xfId="0" applyFont="1" applyFill="1" applyBorder="1" applyAlignment="1"/>
    <xf numFmtId="178" fontId="0" fillId="0" borderId="0" xfId="0" applyNumberFormat="1" applyBorder="1"/>
    <xf numFmtId="0" fontId="1" fillId="0" borderId="2" xfId="0" applyFont="1" applyBorder="1" applyAlignment="1">
      <alignment horizontal="center"/>
    </xf>
    <xf numFmtId="179" fontId="1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57" fontId="0" fillId="0" borderId="0" xfId="0" applyNumberFormat="1"/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2" borderId="1" xfId="0" applyFont="1" applyFill="1" applyBorder="1"/>
    <xf numFmtId="180" fontId="1" fillId="0" borderId="1" xfId="0" applyNumberFormat="1" applyFont="1" applyBorder="1" applyAlignment="1"/>
    <xf numFmtId="0" fontId="1" fillId="3" borderId="1" xfId="0" applyFont="1" applyFill="1" applyBorder="1" applyAlignment="1"/>
    <xf numFmtId="179" fontId="1" fillId="3" borderId="1" xfId="0" applyNumberFormat="1" applyFont="1" applyFill="1" applyBorder="1" applyAlignment="1"/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2" fillId="2" borderId="2" xfId="0" applyFont="1" applyFill="1" applyBorder="1" applyAlignment="1">
      <alignment vertical="center"/>
    </xf>
    <xf numFmtId="0" fontId="1" fillId="2" borderId="9" xfId="0" applyFont="1" applyFill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1" fillId="0" borderId="9" xfId="0" applyFont="1" applyBorder="1" applyAlignment="1"/>
    <xf numFmtId="0" fontId="3" fillId="2" borderId="1" xfId="0" applyFont="1" applyFill="1" applyBorder="1" applyAlignment="1">
      <alignment vertical="center"/>
    </xf>
    <xf numFmtId="0" fontId="0" fillId="0" borderId="4" xfId="0" applyFill="1" applyBorder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/>
    <xf numFmtId="0" fontId="4" fillId="4" borderId="1" xfId="0" applyFont="1" applyFill="1" applyBorder="1"/>
    <xf numFmtId="0" fontId="1" fillId="0" borderId="2" xfId="0" applyFont="1" applyBorder="1" applyAlignment="1">
      <alignment horizontal="left" vertical="center"/>
    </xf>
    <xf numFmtId="178" fontId="1" fillId="0" borderId="1" xfId="0" applyNumberFormat="1" applyFont="1" applyBorder="1" applyAlignment="1"/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80" fontId="1" fillId="0" borderId="9" xfId="0" applyNumberFormat="1" applyFont="1" applyBorder="1" applyAlignment="1"/>
    <xf numFmtId="0" fontId="1" fillId="3" borderId="9" xfId="0" applyFont="1" applyFill="1" applyBorder="1" applyAlignment="1"/>
    <xf numFmtId="0" fontId="3" fillId="2" borderId="1" xfId="0" applyFont="1" applyFill="1" applyBorder="1" applyAlignment="1">
      <alignment horizontal="right" vertical="center"/>
    </xf>
    <xf numFmtId="180" fontId="2" fillId="2" borderId="1" xfId="0" applyNumberFormat="1" applyFont="1" applyFill="1" applyBorder="1" applyAlignment="1">
      <alignment vertical="center"/>
    </xf>
    <xf numFmtId="58" fontId="4" fillId="4" borderId="1" xfId="0" applyNumberFormat="1" applyFont="1" applyFill="1" applyBorder="1"/>
    <xf numFmtId="58" fontId="3" fillId="0" borderId="1" xfId="0" applyNumberFormat="1" applyFont="1" applyBorder="1"/>
    <xf numFmtId="179" fontId="1" fillId="3" borderId="9" xfId="0" applyNumberFormat="1" applyFont="1" applyFill="1" applyBorder="1" applyAlignment="1"/>
    <xf numFmtId="0" fontId="8" fillId="0" borderId="9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right"/>
    </xf>
    <xf numFmtId="0" fontId="0" fillId="4" borderId="1" xfId="0" applyFont="1" applyFill="1" applyBorder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79" fontId="9" fillId="3" borderId="1" xfId="0" applyNumberFormat="1" applyFont="1" applyFill="1" applyBorder="1" applyAlignment="1">
      <alignment horizontal="center"/>
    </xf>
    <xf numFmtId="176" fontId="2" fillId="2" borderId="7" xfId="0" applyNumberFormat="1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left"/>
    </xf>
    <xf numFmtId="0" fontId="4" fillId="2" borderId="7" xfId="0" applyFont="1" applyFill="1" applyBorder="1"/>
    <xf numFmtId="0" fontId="2" fillId="3" borderId="7" xfId="0" applyFont="1" applyFill="1" applyBorder="1" applyAlignment="1">
      <alignment horizontal="left"/>
    </xf>
    <xf numFmtId="179" fontId="2" fillId="3" borderId="7" xfId="0" applyNumberFormat="1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/>
    <xf numFmtId="179" fontId="2" fillId="3" borderId="7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 vertical="center"/>
    </xf>
    <xf numFmtId="176" fontId="2" fillId="6" borderId="1" xfId="0" applyNumberFormat="1" applyFont="1" applyFill="1" applyBorder="1" applyAlignment="1">
      <alignment vertical="center"/>
    </xf>
    <xf numFmtId="0" fontId="2" fillId="6" borderId="7" xfId="0" applyFont="1" applyFill="1" applyBorder="1"/>
    <xf numFmtId="0" fontId="2" fillId="6" borderId="7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79" fontId="2" fillId="7" borderId="7" xfId="0" applyNumberFormat="1" applyFont="1" applyFill="1" applyBorder="1"/>
    <xf numFmtId="0" fontId="2" fillId="2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176" fontId="2" fillId="6" borderId="7" xfId="0" applyNumberFormat="1" applyFont="1" applyFill="1" applyBorder="1"/>
    <xf numFmtId="0" fontId="11" fillId="2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6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vertical="center"/>
    </xf>
    <xf numFmtId="0" fontId="5" fillId="2" borderId="7" xfId="0" applyFont="1" applyFill="1" applyBorder="1"/>
    <xf numFmtId="0" fontId="13" fillId="0" borderId="1" xfId="0" applyFont="1" applyBorder="1" applyAlignment="1">
      <alignment vertical="center"/>
    </xf>
    <xf numFmtId="180" fontId="13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2" borderId="7" xfId="0" applyFont="1" applyFill="1" applyBorder="1"/>
    <xf numFmtId="0" fontId="2" fillId="6" borderId="2" xfId="0" applyFont="1" applyFill="1" applyBorder="1" applyAlignment="1">
      <alignment vertical="center"/>
    </xf>
    <xf numFmtId="0" fontId="4" fillId="6" borderId="7" xfId="0" applyFont="1" applyFill="1" applyBorder="1"/>
    <xf numFmtId="0" fontId="2" fillId="6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/>
    </xf>
    <xf numFmtId="180" fontId="3" fillId="2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176" fontId="2" fillId="2" borderId="9" xfId="0" applyNumberFormat="1" applyFont="1" applyFill="1" applyBorder="1"/>
    <xf numFmtId="0" fontId="2" fillId="2" borderId="9" xfId="0" applyFont="1" applyFill="1" applyBorder="1"/>
    <xf numFmtId="0" fontId="2" fillId="3" borderId="9" xfId="0" applyFont="1" applyFill="1" applyBorder="1"/>
    <xf numFmtId="179" fontId="2" fillId="3" borderId="9" xfId="0" applyNumberFormat="1" applyFont="1" applyFill="1" applyBorder="1"/>
    <xf numFmtId="0" fontId="2" fillId="6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9" fontId="2" fillId="7" borderId="7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10" fillId="6" borderId="7" xfId="0" applyFont="1" applyFill="1" applyBorder="1"/>
    <xf numFmtId="176" fontId="2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176" fontId="4" fillId="2" borderId="7" xfId="0" applyNumberFormat="1" applyFont="1" applyFill="1" applyBorder="1"/>
    <xf numFmtId="0" fontId="3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80" fontId="4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80" fontId="0" fillId="0" borderId="1" xfId="0" applyNumberFormat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176" fontId="2" fillId="6" borderId="1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/>
    <xf numFmtId="180" fontId="3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/>
    </xf>
    <xf numFmtId="0" fontId="2" fillId="3" borderId="7" xfId="0" applyFont="1" applyFill="1" applyBorder="1"/>
    <xf numFmtId="176" fontId="2" fillId="4" borderId="1" xfId="0" applyNumberFormat="1" applyFont="1" applyFill="1" applyBorder="1" applyAlignment="1">
      <alignment vertical="center"/>
    </xf>
    <xf numFmtId="176" fontId="2" fillId="4" borderId="7" xfId="0" applyNumberFormat="1" applyFont="1" applyFill="1" applyBorder="1" applyAlignment="1">
      <alignment vertical="center"/>
    </xf>
    <xf numFmtId="176" fontId="2" fillId="4" borderId="7" xfId="0" applyNumberFormat="1" applyFont="1" applyFill="1" applyBorder="1"/>
    <xf numFmtId="176" fontId="2" fillId="4" borderId="9" xfId="0" applyNumberFormat="1" applyFont="1" applyFill="1" applyBorder="1"/>
    <xf numFmtId="0" fontId="3" fillId="6" borderId="1" xfId="0" applyFont="1" applyFill="1" applyBorder="1" applyAlignment="1">
      <alignment vertical="center"/>
    </xf>
    <xf numFmtId="180" fontId="3" fillId="4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80" fontId="4" fillId="0" borderId="1" xfId="0" applyNumberFormat="1" applyFont="1" applyBorder="1" applyAlignment="1">
      <alignment vertical="center"/>
    </xf>
    <xf numFmtId="0" fontId="6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179" fontId="2" fillId="3" borderId="1" xfId="0" applyNumberFormat="1" applyFont="1" applyFill="1" applyBorder="1"/>
    <xf numFmtId="176" fontId="2" fillId="6" borderId="7" xfId="0" applyNumberFormat="1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176" fontId="2" fillId="6" borderId="9" xfId="0" applyNumberFormat="1" applyFont="1" applyFill="1" applyBorder="1"/>
    <xf numFmtId="0" fontId="15" fillId="2" borderId="1" xfId="0" applyFont="1" applyFill="1" applyBorder="1" applyAlignment="1">
      <alignment horizontal="left"/>
    </xf>
    <xf numFmtId="176" fontId="4" fillId="2" borderId="1" xfId="0" applyNumberFormat="1" applyFont="1" applyFill="1" applyBorder="1"/>
    <xf numFmtId="0" fontId="0" fillId="6" borderId="1" xfId="0" applyFill="1" applyBorder="1" applyAlignment="1">
      <alignment vertical="center"/>
    </xf>
    <xf numFmtId="180" fontId="0" fillId="9" borderId="1" xfId="0" applyNumberForma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80" fontId="7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80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80" fontId="7" fillId="0" borderId="1" xfId="0" applyNumberFormat="1" applyFont="1" applyBorder="1" applyAlignment="1">
      <alignment vertical="center"/>
    </xf>
    <xf numFmtId="0" fontId="7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179" fontId="2" fillId="5" borderId="7" xfId="0" applyNumberFormat="1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179" fontId="2" fillId="5" borderId="1" xfId="0" applyNumberFormat="1" applyFont="1" applyFill="1" applyBorder="1"/>
    <xf numFmtId="176" fontId="2" fillId="2" borderId="1" xfId="0" applyNumberFormat="1" applyFont="1" applyFill="1" applyBorder="1"/>
    <xf numFmtId="0" fontId="16" fillId="0" borderId="1" xfId="0" applyFont="1" applyBorder="1" applyAlignment="1">
      <alignment vertical="center"/>
    </xf>
    <xf numFmtId="0" fontId="1" fillId="0" borderId="1" xfId="0" applyFont="1" applyBorder="1"/>
    <xf numFmtId="176" fontId="1" fillId="0" borderId="9" xfId="0" applyNumberFormat="1" applyFont="1" applyBorder="1"/>
    <xf numFmtId="0" fontId="1" fillId="0" borderId="9" xfId="0" applyFont="1" applyBorder="1"/>
    <xf numFmtId="0" fontId="1" fillId="3" borderId="9" xfId="0" applyFont="1" applyFill="1" applyBorder="1"/>
    <xf numFmtId="179" fontId="1" fillId="3" borderId="9" xfId="0" applyNumberFormat="1" applyFont="1" applyFill="1" applyBorder="1"/>
    <xf numFmtId="0" fontId="2" fillId="4" borderId="3" xfId="0" applyFont="1" applyFill="1" applyBorder="1"/>
    <xf numFmtId="176" fontId="1" fillId="2" borderId="7" xfId="0" applyNumberFormat="1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179" fontId="1" fillId="3" borderId="7" xfId="0" applyNumberFormat="1" applyFont="1" applyFill="1" applyBorder="1"/>
    <xf numFmtId="0" fontId="2" fillId="2" borderId="3" xfId="0" applyFont="1" applyFill="1" applyBorder="1"/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1" fillId="3" borderId="7" xfId="0" applyFont="1" applyFill="1" applyBorder="1"/>
    <xf numFmtId="0" fontId="1" fillId="4" borderId="3" xfId="0" applyFont="1" applyFill="1" applyBorder="1"/>
    <xf numFmtId="176" fontId="1" fillId="2" borderId="1" xfId="0" applyNumberFormat="1" applyFont="1" applyFill="1" applyBorder="1" applyAlignment="1">
      <alignment vertical="center"/>
    </xf>
    <xf numFmtId="176" fontId="1" fillId="2" borderId="7" xfId="0" applyNumberFormat="1" applyFont="1" applyFill="1" applyBorder="1" applyAlignment="1">
      <alignment vertical="center"/>
    </xf>
    <xf numFmtId="179" fontId="1" fillId="3" borderId="1" xfId="0" applyNumberFormat="1" applyFont="1" applyFill="1" applyBorder="1"/>
    <xf numFmtId="0" fontId="1" fillId="0" borderId="7" xfId="0" applyFont="1" applyBorder="1"/>
    <xf numFmtId="0" fontId="4" fillId="0" borderId="7" xfId="0" applyFont="1" applyBorder="1"/>
    <xf numFmtId="0" fontId="1" fillId="2" borderId="3" xfId="0" applyFont="1" applyFill="1" applyBorder="1"/>
    <xf numFmtId="0" fontId="2" fillId="2" borderId="0" xfId="0" applyFont="1" applyFill="1" applyBorder="1"/>
    <xf numFmtId="176" fontId="1" fillId="2" borderId="0" xfId="0" applyNumberFormat="1" applyFont="1" applyFill="1" applyBorder="1"/>
    <xf numFmtId="0" fontId="4" fillId="0" borderId="0" xfId="0" applyFont="1" applyFill="1" applyBorder="1"/>
    <xf numFmtId="176" fontId="1" fillId="0" borderId="1" xfId="0" applyNumberFormat="1" applyFont="1" applyBorder="1" applyAlignment="1">
      <alignment horizontal="center"/>
    </xf>
    <xf numFmtId="0" fontId="13" fillId="0" borderId="1" xfId="0" applyFont="1" applyBorder="1"/>
    <xf numFmtId="180" fontId="13" fillId="0" borderId="1" xfId="0" applyNumberFormat="1" applyFont="1" applyBorder="1"/>
    <xf numFmtId="0" fontId="10" fillId="0" borderId="1" xfId="0" applyFont="1" applyBorder="1" applyAlignment="1">
      <alignment horizontal="left"/>
    </xf>
    <xf numFmtId="0" fontId="2" fillId="2" borderId="4" xfId="0" applyFont="1" applyFill="1" applyBorder="1"/>
    <xf numFmtId="176" fontId="2" fillId="2" borderId="6" xfId="0" applyNumberFormat="1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176" fontId="1" fillId="2" borderId="1" xfId="0" applyNumberFormat="1" applyFont="1" applyFill="1" applyBorder="1"/>
    <xf numFmtId="176" fontId="1" fillId="4" borderId="1" xfId="0" applyNumberFormat="1" applyFont="1" applyFill="1" applyBorder="1" applyAlignment="1">
      <alignment vertical="center"/>
    </xf>
    <xf numFmtId="0" fontId="1" fillId="4" borderId="7" xfId="0" applyFont="1" applyFill="1" applyBorder="1"/>
    <xf numFmtId="0" fontId="1" fillId="4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179" fontId="1" fillId="5" borderId="7" xfId="0" applyNumberFormat="1" applyFont="1" applyFill="1" applyBorder="1"/>
    <xf numFmtId="176" fontId="1" fillId="4" borderId="7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/>
    </xf>
    <xf numFmtId="179" fontId="1" fillId="5" borderId="1" xfId="0" applyNumberFormat="1" applyFont="1" applyFill="1" applyBorder="1"/>
    <xf numFmtId="0" fontId="4" fillId="3" borderId="7" xfId="0" applyFont="1" applyFill="1" applyBorder="1" applyAlignment="1">
      <alignment horizontal="left"/>
    </xf>
    <xf numFmtId="176" fontId="1" fillId="0" borderId="7" xfId="0" applyNumberFormat="1" applyFont="1" applyBorder="1"/>
    <xf numFmtId="0" fontId="4" fillId="3" borderId="7" xfId="0" applyFont="1" applyFill="1" applyBorder="1"/>
    <xf numFmtId="0" fontId="4" fillId="10" borderId="1" xfId="0" applyFont="1" applyFill="1" applyBorder="1"/>
    <xf numFmtId="176" fontId="4" fillId="10" borderId="1" xfId="0" applyNumberFormat="1" applyFont="1" applyFill="1" applyBorder="1"/>
    <xf numFmtId="0" fontId="1" fillId="0" borderId="0" xfId="0" applyFont="1" applyFill="1" applyBorder="1"/>
    <xf numFmtId="176" fontId="0" fillId="0" borderId="0" xfId="0" applyNumberFormat="1"/>
    <xf numFmtId="179" fontId="0" fillId="2" borderId="0" xfId="0" applyNumberFormat="1" applyFill="1"/>
    <xf numFmtId="176" fontId="1" fillId="0" borderId="7" xfId="0" applyNumberFormat="1" applyFont="1" applyBorder="1" applyAlignment="1">
      <alignment vertical="center"/>
    </xf>
    <xf numFmtId="0" fontId="2" fillId="0" borderId="7" xfId="0" applyFont="1" applyBorder="1"/>
    <xf numFmtId="0" fontId="4" fillId="2" borderId="3" xfId="0" applyFont="1" applyFill="1" applyBorder="1"/>
    <xf numFmtId="0" fontId="4" fillId="2" borderId="6" xfId="0" applyFont="1" applyFill="1" applyBorder="1"/>
    <xf numFmtId="0" fontId="10" fillId="0" borderId="0" xfId="0" applyFont="1"/>
    <xf numFmtId="0" fontId="2" fillId="4" borderId="1" xfId="0" applyFont="1" applyFill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4" fillId="4" borderId="3" xfId="0" applyFont="1" applyFill="1" applyBorder="1"/>
    <xf numFmtId="179" fontId="4" fillId="3" borderId="7" xfId="0" applyNumberFormat="1" applyFont="1" applyFill="1" applyBorder="1"/>
    <xf numFmtId="0" fontId="2" fillId="0" borderId="1" xfId="0" applyFont="1" applyBorder="1" applyAlignment="1">
      <alignment vertical="center"/>
    </xf>
    <xf numFmtId="0" fontId="1" fillId="5" borderId="7" xfId="0" applyFont="1" applyFill="1" applyBorder="1"/>
    <xf numFmtId="0" fontId="2" fillId="0" borderId="3" xfId="0" applyFont="1" applyBorder="1"/>
    <xf numFmtId="0" fontId="4" fillId="0" borderId="3" xfId="0" applyFont="1" applyBorder="1"/>
    <xf numFmtId="0" fontId="4" fillId="5" borderId="6" xfId="0" applyFont="1" applyFill="1" applyBorder="1"/>
    <xf numFmtId="0" fontId="1" fillId="5" borderId="9" xfId="0" applyFont="1" applyFill="1" applyBorder="1"/>
    <xf numFmtId="176" fontId="4" fillId="0" borderId="7" xfId="0" applyNumberFormat="1" applyFont="1" applyBorder="1"/>
    <xf numFmtId="0" fontId="4" fillId="5" borderId="7" xfId="0" applyFont="1" applyFill="1" applyBorder="1"/>
    <xf numFmtId="0" fontId="4" fillId="10" borderId="3" xfId="0" applyFont="1" applyFill="1" applyBorder="1"/>
    <xf numFmtId="176" fontId="4" fillId="10" borderId="7" xfId="0" applyNumberFormat="1" applyFont="1" applyFill="1" applyBorder="1"/>
    <xf numFmtId="0" fontId="4" fillId="0" borderId="6" xfId="0" applyFont="1" applyFill="1" applyBorder="1"/>
    <xf numFmtId="0" fontId="1" fillId="10" borderId="3" xfId="0" applyFont="1" applyFill="1" applyBorder="1"/>
    <xf numFmtId="176" fontId="1" fillId="10" borderId="7" xfId="0" applyNumberFormat="1" applyFont="1" applyFill="1" applyBorder="1"/>
    <xf numFmtId="176" fontId="7" fillId="0" borderId="0" xfId="0" applyNumberFormat="1" applyFont="1"/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10" borderId="7" xfId="0" applyFont="1" applyFill="1" applyBorder="1"/>
    <xf numFmtId="0" fontId="17" fillId="0" borderId="0" xfId="0" applyFont="1" applyFill="1" applyBorder="1"/>
    <xf numFmtId="0" fontId="18" fillId="0" borderId="0" xfId="0" applyFont="1"/>
    <xf numFmtId="0" fontId="4" fillId="0" borderId="0" xfId="0" applyFont="1"/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1" xfId="0" applyFont="1" applyFill="1" applyBorder="1"/>
    <xf numFmtId="0" fontId="0" fillId="11" borderId="0" xfId="0" applyFont="1" applyFill="1"/>
    <xf numFmtId="0" fontId="0" fillId="11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19" fillId="11" borderId="0" xfId="0" applyFont="1" applyFill="1"/>
    <xf numFmtId="0" fontId="0" fillId="4" borderId="1" xfId="0" applyFill="1" applyBorder="1"/>
    <xf numFmtId="0" fontId="7" fillId="11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150" zoomScaleNormal="150" workbookViewId="0">
      <selection activeCell="B2" sqref="B2"/>
    </sheetView>
  </sheetViews>
  <sheetFormatPr defaultColWidth="11" defaultRowHeight="14.25" outlineLevelRow="7" outlineLevelCol="7"/>
  <cols>
    <col min="6" max="6" width="13.375" customWidth="1"/>
    <col min="7" max="7" width="14.625" customWidth="1"/>
  </cols>
  <sheetData>
    <row r="1" spans="1:8">
      <c r="A1" s="193" t="s">
        <v>0</v>
      </c>
      <c r="B1" s="194" t="s">
        <v>1</v>
      </c>
      <c r="C1" s="193" t="s">
        <v>2</v>
      </c>
      <c r="D1" s="193" t="s">
        <v>3</v>
      </c>
      <c r="E1" s="193" t="s">
        <v>4</v>
      </c>
      <c r="F1" s="195" t="s">
        <v>5</v>
      </c>
      <c r="G1" s="196" t="s">
        <v>6</v>
      </c>
      <c r="H1" s="193" t="s">
        <v>7</v>
      </c>
    </row>
    <row r="2" spans="1:8">
      <c r="A2" s="41" t="s">
        <v>8</v>
      </c>
      <c r="B2" s="41">
        <v>28800</v>
      </c>
      <c r="C2" s="41" t="s">
        <v>9</v>
      </c>
      <c r="D2" s="41">
        <v>3401</v>
      </c>
      <c r="E2" s="41" t="s">
        <v>10</v>
      </c>
      <c r="F2" s="407" t="s">
        <v>11</v>
      </c>
      <c r="G2" s="407" t="s">
        <v>12</v>
      </c>
      <c r="H2" s="41" t="s">
        <v>13</v>
      </c>
    </row>
    <row r="3" spans="1:8">
      <c r="A3" s="41" t="s">
        <v>14</v>
      </c>
      <c r="B3" s="41">
        <v>75000</v>
      </c>
      <c r="C3" s="41" t="s">
        <v>9</v>
      </c>
      <c r="D3" s="41">
        <v>4953</v>
      </c>
      <c r="E3" s="41" t="s">
        <v>10</v>
      </c>
      <c r="F3" s="407" t="s">
        <v>11</v>
      </c>
      <c r="G3" s="407" t="s">
        <v>12</v>
      </c>
      <c r="H3" s="41" t="s">
        <v>15</v>
      </c>
    </row>
    <row r="4" spans="1:8">
      <c r="A4" s="41"/>
      <c r="B4" s="41"/>
      <c r="C4" s="41"/>
      <c r="D4" s="41"/>
      <c r="E4" s="41"/>
      <c r="F4" s="407"/>
      <c r="G4" s="407"/>
      <c r="H4" s="41"/>
    </row>
    <row r="5" spans="1:8">
      <c r="A5" s="41"/>
      <c r="B5" s="41"/>
      <c r="C5" s="41"/>
      <c r="D5" s="41"/>
      <c r="E5" s="41"/>
      <c r="F5" s="407"/>
      <c r="G5" s="407"/>
      <c r="H5" s="41"/>
    </row>
    <row r="6" spans="1:8">
      <c r="A6" s="41"/>
      <c r="B6" s="41"/>
      <c r="C6" s="41"/>
      <c r="D6" s="41"/>
      <c r="E6" s="41"/>
      <c r="F6" s="407" t="s">
        <v>16</v>
      </c>
      <c r="G6" s="407"/>
      <c r="H6" s="41"/>
    </row>
    <row r="8" spans="1:3">
      <c r="A8" s="408" t="s">
        <v>17</v>
      </c>
      <c r="B8" s="408">
        <v>103800</v>
      </c>
      <c r="C8" s="304" t="s">
        <v>18</v>
      </c>
    </row>
  </sheetData>
  <pageMargins left="0.75" right="0.75" top="1" bottom="1" header="0.5" footer="0.5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16.5" defaultRowHeight="36" customHeight="1" outlineLevelCol="7"/>
  <cols>
    <col min="2" max="2" width="18.5" style="366" customWidth="1"/>
    <col min="3" max="3" width="13.25" customWidth="1"/>
    <col min="4" max="4" width="12.375" customWidth="1"/>
    <col min="5" max="5" width="8.375" customWidth="1"/>
    <col min="6" max="6" width="23.125" customWidth="1"/>
    <col min="7" max="7" width="13.5" style="367" customWidth="1"/>
    <col min="8" max="8" width="30.875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21" t="s">
        <v>21</v>
      </c>
      <c r="G1" s="322" t="s">
        <v>6</v>
      </c>
      <c r="H1" s="320" t="s">
        <v>7</v>
      </c>
    </row>
    <row r="2" customHeight="1" spans="1:8">
      <c r="A2" s="377" t="s">
        <v>8</v>
      </c>
      <c r="B2" s="374">
        <v>10980</v>
      </c>
      <c r="C2" s="337" t="s">
        <v>9</v>
      </c>
      <c r="D2" s="337">
        <v>3407</v>
      </c>
      <c r="E2" s="337" t="s">
        <v>27</v>
      </c>
      <c r="F2" s="332">
        <v>0.1</v>
      </c>
      <c r="G2" s="328"/>
      <c r="H2" s="337" t="s">
        <v>51</v>
      </c>
    </row>
    <row r="3" customHeight="1" spans="1:8">
      <c r="A3" s="329" t="s">
        <v>52</v>
      </c>
      <c r="B3" s="361">
        <v>39900</v>
      </c>
      <c r="C3" s="337" t="s">
        <v>9</v>
      </c>
      <c r="D3" s="353" t="s">
        <v>53</v>
      </c>
      <c r="E3" s="337" t="s">
        <v>27</v>
      </c>
      <c r="F3" s="378">
        <v>0.1</v>
      </c>
      <c r="G3" s="328">
        <v>210000</v>
      </c>
      <c r="H3" s="337" t="s">
        <v>54</v>
      </c>
    </row>
    <row r="4" customHeight="1" spans="1:8">
      <c r="A4" s="379" t="s">
        <v>55</v>
      </c>
      <c r="B4" s="361">
        <v>3040</v>
      </c>
      <c r="C4" s="337" t="s">
        <v>9</v>
      </c>
      <c r="D4" s="337">
        <v>3407</v>
      </c>
      <c r="E4" s="337" t="s">
        <v>27</v>
      </c>
      <c r="F4" s="378">
        <v>0.13</v>
      </c>
      <c r="G4" s="328"/>
      <c r="H4" s="337" t="s">
        <v>56</v>
      </c>
    </row>
    <row r="5" customHeight="1" spans="1:8">
      <c r="A5" s="379" t="s">
        <v>49</v>
      </c>
      <c r="B5" s="361">
        <v>2760</v>
      </c>
      <c r="C5" s="337" t="s">
        <v>9</v>
      </c>
      <c r="D5" s="353">
        <v>4953</v>
      </c>
      <c r="E5" s="337" t="s">
        <v>27</v>
      </c>
      <c r="F5" s="378">
        <v>0.115</v>
      </c>
      <c r="G5" s="328">
        <v>24000</v>
      </c>
      <c r="H5" s="337" t="s">
        <v>57</v>
      </c>
    </row>
    <row r="6" customHeight="1" spans="1:8">
      <c r="A6" s="380"/>
      <c r="B6" s="361"/>
      <c r="C6" s="337"/>
      <c r="D6" s="337"/>
      <c r="E6" s="337"/>
      <c r="F6" s="332"/>
      <c r="G6" s="328"/>
      <c r="H6" s="337"/>
    </row>
    <row r="7" customHeight="1" spans="1:8">
      <c r="A7" s="370" t="s">
        <v>17</v>
      </c>
      <c r="B7" s="258">
        <v>56680</v>
      </c>
      <c r="C7" s="337"/>
      <c r="D7" s="337"/>
      <c r="E7" s="337"/>
      <c r="F7" s="332"/>
      <c r="G7" s="328"/>
      <c r="H7" s="332"/>
    </row>
    <row r="8" customHeight="1" spans="6:6">
      <c r="F8" s="381" t="s">
        <v>18</v>
      </c>
    </row>
    <row r="9" customHeight="1" spans="3:3">
      <c r="C9" s="1"/>
    </row>
    <row r="10" customHeight="1" spans="6:6">
      <c r="F10">
        <v>1</v>
      </c>
    </row>
  </sheetData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F6" sqref="F6"/>
    </sheetView>
  </sheetViews>
  <sheetFormatPr defaultColWidth="16.5" defaultRowHeight="36" customHeight="1" outlineLevelCol="7"/>
  <cols>
    <col min="2" max="2" width="18.5" style="366" customWidth="1"/>
    <col min="3" max="3" width="13.25" customWidth="1"/>
    <col min="4" max="4" width="12.375" customWidth="1"/>
    <col min="5" max="5" width="8.375" customWidth="1"/>
    <col min="6" max="6" width="23.125" customWidth="1"/>
    <col min="7" max="7" width="13.5" style="367" customWidth="1"/>
    <col min="8" max="8" width="51.875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21" t="s">
        <v>21</v>
      </c>
      <c r="G1" s="322" t="s">
        <v>6</v>
      </c>
      <c r="H1" s="320" t="s">
        <v>7</v>
      </c>
    </row>
    <row r="2" customHeight="1" spans="1:8">
      <c r="A2" s="373" t="s">
        <v>8</v>
      </c>
      <c r="B2" s="374">
        <v>22680</v>
      </c>
      <c r="C2" s="337" t="s">
        <v>9</v>
      </c>
      <c r="D2" s="325">
        <v>3401</v>
      </c>
      <c r="E2" s="337" t="s">
        <v>27</v>
      </c>
      <c r="F2" s="327">
        <v>0.1</v>
      </c>
      <c r="G2" s="328"/>
      <c r="H2" s="337" t="s">
        <v>58</v>
      </c>
    </row>
    <row r="3" customHeight="1" spans="1:8">
      <c r="A3" s="323" t="s">
        <v>52</v>
      </c>
      <c r="B3" s="361">
        <v>27930</v>
      </c>
      <c r="C3" s="337" t="s">
        <v>9</v>
      </c>
      <c r="D3" s="325" t="s">
        <v>53</v>
      </c>
      <c r="E3" s="337" t="s">
        <v>27</v>
      </c>
      <c r="F3" s="332">
        <v>0.19</v>
      </c>
      <c r="G3" s="328">
        <v>147000</v>
      </c>
      <c r="H3" s="337" t="s">
        <v>54</v>
      </c>
    </row>
    <row r="4" customHeight="1" spans="1:8">
      <c r="A4" s="323" t="s">
        <v>55</v>
      </c>
      <c r="B4" s="361">
        <v>4800</v>
      </c>
      <c r="C4" s="337" t="s">
        <v>9</v>
      </c>
      <c r="D4" s="325">
        <v>3407</v>
      </c>
      <c r="E4" s="337" t="s">
        <v>27</v>
      </c>
      <c r="F4" s="332">
        <v>0.13</v>
      </c>
      <c r="G4" s="328"/>
      <c r="H4" s="337" t="s">
        <v>58</v>
      </c>
    </row>
    <row r="5" customHeight="1" spans="1:8">
      <c r="A5" s="375" t="s">
        <v>14</v>
      </c>
      <c r="B5" s="361">
        <v>82800</v>
      </c>
      <c r="C5" s="337" t="s">
        <v>9</v>
      </c>
      <c r="D5" s="325">
        <v>4953</v>
      </c>
      <c r="E5" s="337" t="s">
        <v>27</v>
      </c>
      <c r="F5" s="332">
        <v>0.115</v>
      </c>
      <c r="G5" s="328"/>
      <c r="H5" s="338" t="s">
        <v>59</v>
      </c>
    </row>
    <row r="6" customHeight="1" spans="1:8">
      <c r="A6" s="375" t="s">
        <v>14</v>
      </c>
      <c r="B6" s="361">
        <v>720</v>
      </c>
      <c r="C6" s="337" t="s">
        <v>9</v>
      </c>
      <c r="D6" s="325">
        <v>4953</v>
      </c>
      <c r="E6" s="337" t="s">
        <v>27</v>
      </c>
      <c r="F6" s="327">
        <v>0.1</v>
      </c>
      <c r="G6" s="328"/>
      <c r="H6" s="337" t="s">
        <v>60</v>
      </c>
    </row>
    <row r="7" customHeight="1" spans="1:8">
      <c r="A7" s="323" t="s">
        <v>61</v>
      </c>
      <c r="B7" s="361">
        <v>11040</v>
      </c>
      <c r="C7" s="337" t="s">
        <v>9</v>
      </c>
      <c r="D7" s="325">
        <v>4953</v>
      </c>
      <c r="E7" s="337" t="s">
        <v>27</v>
      </c>
      <c r="F7" s="332">
        <v>0.115</v>
      </c>
      <c r="G7" s="328"/>
      <c r="H7" s="337"/>
    </row>
    <row r="8" customHeight="1" spans="1:8">
      <c r="A8" s="333" t="s">
        <v>45</v>
      </c>
      <c r="B8" s="324">
        <v>10800</v>
      </c>
      <c r="C8" s="337" t="s">
        <v>9</v>
      </c>
      <c r="D8" s="325">
        <v>4953</v>
      </c>
      <c r="E8" s="337" t="s">
        <v>27</v>
      </c>
      <c r="F8" s="332">
        <v>0.12</v>
      </c>
      <c r="G8" s="328"/>
      <c r="H8" s="332"/>
    </row>
    <row r="9" customHeight="1" spans="1:8">
      <c r="A9" s="333" t="s">
        <v>62</v>
      </c>
      <c r="B9" s="324">
        <v>10530</v>
      </c>
      <c r="C9" s="337" t="s">
        <v>9</v>
      </c>
      <c r="D9" s="325">
        <v>4953</v>
      </c>
      <c r="E9" s="337" t="s">
        <v>27</v>
      </c>
      <c r="F9" s="332">
        <v>0.13</v>
      </c>
      <c r="G9" s="328">
        <v>81000</v>
      </c>
      <c r="H9" s="332" t="s">
        <v>54</v>
      </c>
    </row>
    <row r="10" customHeight="1" spans="1:8">
      <c r="A10" s="333" t="s">
        <v>42</v>
      </c>
      <c r="B10" s="324">
        <v>1305</v>
      </c>
      <c r="C10" s="337" t="s">
        <v>9</v>
      </c>
      <c r="D10" s="337">
        <v>4411</v>
      </c>
      <c r="E10" s="337" t="s">
        <v>27</v>
      </c>
      <c r="F10" s="332">
        <v>0.435</v>
      </c>
      <c r="G10" s="328">
        <v>3000</v>
      </c>
      <c r="H10" s="332"/>
    </row>
    <row r="11" customHeight="1" spans="1:8">
      <c r="A11" s="339"/>
      <c r="B11" s="324"/>
      <c r="C11" s="337"/>
      <c r="D11" s="337"/>
      <c r="E11" s="337"/>
      <c r="F11" s="275" t="s">
        <v>63</v>
      </c>
      <c r="G11" s="376"/>
      <c r="H11" s="332"/>
    </row>
    <row r="12" customHeight="1" spans="1:8">
      <c r="A12" s="370" t="s">
        <v>17</v>
      </c>
      <c r="B12" s="258">
        <v>172605</v>
      </c>
      <c r="C12" s="337"/>
      <c r="D12" s="337"/>
      <c r="E12" s="337"/>
      <c r="F12" s="332"/>
      <c r="G12" s="328"/>
      <c r="H12" s="332"/>
    </row>
  </sheetData>
  <pageMargins left="0.75" right="0.75" top="1" bottom="1" header="0.511805555555556" footer="0.511805555555556"/>
  <pageSetup paperSize="9" orientation="portrait" horizontalDpi="180" verticalDpi="18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F4" sqref="F4"/>
    </sheetView>
  </sheetViews>
  <sheetFormatPr defaultColWidth="16.5" defaultRowHeight="36" customHeight="1"/>
  <cols>
    <col min="2" max="2" width="18.5" style="366" customWidth="1"/>
    <col min="3" max="3" width="13.25" customWidth="1"/>
    <col min="4" max="4" width="12.375" customWidth="1"/>
    <col min="5" max="5" width="8.375" customWidth="1"/>
    <col min="6" max="6" width="24.25" customWidth="1"/>
    <col min="7" max="7" width="13.5" style="367" customWidth="1"/>
    <col min="8" max="8" width="59.125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21" t="s">
        <v>21</v>
      </c>
      <c r="G1" s="322" t="s">
        <v>6</v>
      </c>
      <c r="H1" s="320" t="s">
        <v>7</v>
      </c>
    </row>
    <row r="2" customHeight="1" spans="1:9">
      <c r="A2" s="122" t="s">
        <v>64</v>
      </c>
      <c r="B2" s="245">
        <v>18240</v>
      </c>
      <c r="C2" s="198" t="s">
        <v>9</v>
      </c>
      <c r="D2" s="198" t="s">
        <v>53</v>
      </c>
      <c r="E2" s="198" t="s">
        <v>27</v>
      </c>
      <c r="F2" s="275">
        <v>0.19</v>
      </c>
      <c r="G2" s="202">
        <v>96000</v>
      </c>
      <c r="H2" s="198" t="s">
        <v>65</v>
      </c>
      <c r="I2" s="371" t="s">
        <v>66</v>
      </c>
    </row>
    <row r="3" customHeight="1" spans="1:8">
      <c r="A3" s="129" t="s">
        <v>8</v>
      </c>
      <c r="B3" s="334">
        <v>51000</v>
      </c>
      <c r="C3" s="337" t="s">
        <v>9</v>
      </c>
      <c r="D3" s="325">
        <v>3401</v>
      </c>
      <c r="E3" s="337" t="s">
        <v>67</v>
      </c>
      <c r="F3" s="327">
        <v>0.1</v>
      </c>
      <c r="G3" s="328"/>
      <c r="H3" s="337"/>
    </row>
    <row r="4" customHeight="1" spans="1:8">
      <c r="A4" s="132"/>
      <c r="B4" s="368">
        <v>8100</v>
      </c>
      <c r="C4" s="337" t="s">
        <v>9</v>
      </c>
      <c r="D4" s="325">
        <v>2300</v>
      </c>
      <c r="E4" s="337" t="s">
        <v>67</v>
      </c>
      <c r="F4" s="285">
        <v>0.08</v>
      </c>
      <c r="G4" s="286"/>
      <c r="H4" s="369"/>
    </row>
    <row r="5" customHeight="1" spans="1:10">
      <c r="A5" s="329" t="s">
        <v>52</v>
      </c>
      <c r="B5" s="324">
        <v>9690</v>
      </c>
      <c r="C5" s="325" t="s">
        <v>9</v>
      </c>
      <c r="D5" s="325" t="s">
        <v>53</v>
      </c>
      <c r="E5" s="325" t="s">
        <v>67</v>
      </c>
      <c r="F5" s="275">
        <v>0.19</v>
      </c>
      <c r="G5" s="202">
        <v>51000</v>
      </c>
      <c r="H5" s="198" t="s">
        <v>68</v>
      </c>
      <c r="I5" s="372" t="s">
        <v>69</v>
      </c>
      <c r="J5" s="372"/>
    </row>
    <row r="6" customHeight="1" spans="1:8">
      <c r="A6" s="329" t="s">
        <v>52</v>
      </c>
      <c r="B6" s="324">
        <v>37788</v>
      </c>
      <c r="C6" s="325" t="s">
        <v>9</v>
      </c>
      <c r="D6" s="325" t="s">
        <v>53</v>
      </c>
      <c r="E6" s="325" t="s">
        <v>67</v>
      </c>
      <c r="F6" s="275">
        <v>0.188</v>
      </c>
      <c r="G6" s="202">
        <v>201000</v>
      </c>
      <c r="H6" s="198" t="s">
        <v>68</v>
      </c>
    </row>
    <row r="7" customHeight="1" spans="1:8">
      <c r="A7" s="329" t="s">
        <v>55</v>
      </c>
      <c r="B7" s="361">
        <v>6585</v>
      </c>
      <c r="C7" s="337" t="s">
        <v>9</v>
      </c>
      <c r="D7" s="325">
        <v>3407</v>
      </c>
      <c r="E7" s="337" t="s">
        <v>67</v>
      </c>
      <c r="F7" s="275">
        <v>0.13</v>
      </c>
      <c r="G7" s="202"/>
      <c r="H7" s="369"/>
    </row>
    <row r="8" customHeight="1" spans="1:8">
      <c r="A8" s="329" t="s">
        <v>14</v>
      </c>
      <c r="B8" s="361">
        <v>71880</v>
      </c>
      <c r="C8" s="337" t="s">
        <v>9</v>
      </c>
      <c r="D8" s="325">
        <v>4953</v>
      </c>
      <c r="E8" s="337" t="s">
        <v>67</v>
      </c>
      <c r="F8" s="275">
        <v>0.115</v>
      </c>
      <c r="G8" s="202"/>
      <c r="H8" s="369"/>
    </row>
    <row r="9" customHeight="1" spans="1:8">
      <c r="A9" s="329" t="s">
        <v>61</v>
      </c>
      <c r="B9" s="361">
        <v>12660</v>
      </c>
      <c r="C9" s="337" t="s">
        <v>9</v>
      </c>
      <c r="D9" s="325">
        <v>4953</v>
      </c>
      <c r="E9" s="337" t="s">
        <v>67</v>
      </c>
      <c r="F9" s="275">
        <v>0.115</v>
      </c>
      <c r="G9" s="202"/>
      <c r="H9" s="369"/>
    </row>
    <row r="10" customHeight="1" spans="1:8">
      <c r="A10" s="339" t="s">
        <v>45</v>
      </c>
      <c r="B10" s="324">
        <v>5040</v>
      </c>
      <c r="C10" s="337" t="s">
        <v>9</v>
      </c>
      <c r="D10" s="325">
        <v>4953</v>
      </c>
      <c r="E10" s="337" t="s">
        <v>67</v>
      </c>
      <c r="F10" s="275">
        <v>0.115</v>
      </c>
      <c r="G10" s="202"/>
      <c r="H10" s="275"/>
    </row>
    <row r="11" customHeight="1" spans="1:8">
      <c r="A11" s="133" t="s">
        <v>42</v>
      </c>
      <c r="B11" s="330">
        <v>3690</v>
      </c>
      <c r="C11" s="46" t="s">
        <v>9</v>
      </c>
      <c r="D11" s="337">
        <v>4812</v>
      </c>
      <c r="E11" s="337" t="s">
        <v>67</v>
      </c>
      <c r="F11" s="201">
        <v>0.265</v>
      </c>
      <c r="G11" s="202">
        <v>9000</v>
      </c>
      <c r="H11" s="275"/>
    </row>
    <row r="12" customHeight="1" spans="1:8">
      <c r="A12" s="134"/>
      <c r="B12" s="331"/>
      <c r="C12" s="48"/>
      <c r="D12" s="337">
        <v>4411</v>
      </c>
      <c r="E12" s="337" t="s">
        <v>67</v>
      </c>
      <c r="F12" s="201">
        <v>0.435</v>
      </c>
      <c r="G12" s="202">
        <v>3000</v>
      </c>
      <c r="H12" s="275"/>
    </row>
    <row r="13" customHeight="1" spans="1:8">
      <c r="A13" s="370" t="s">
        <v>17</v>
      </c>
      <c r="B13" s="258">
        <v>224673</v>
      </c>
      <c r="C13" s="337"/>
      <c r="D13" s="337"/>
      <c r="E13" s="337"/>
      <c r="F13" s="275" t="s">
        <v>63</v>
      </c>
      <c r="G13" s="202"/>
      <c r="H13" s="275"/>
    </row>
  </sheetData>
  <mergeCells count="4">
    <mergeCell ref="A3:A4"/>
    <mergeCell ref="A11:A12"/>
    <mergeCell ref="B11:B12"/>
    <mergeCell ref="C11:C12"/>
  </mergeCells>
  <pageMargins left="0.7" right="0.7" top="0.75" bottom="0.75" header="0.3" footer="0.3"/>
  <pageSetup paperSize="9" orientation="portrait" horizontalDpi="180" verticalDpi="18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F20" sqref="F20"/>
    </sheetView>
  </sheetViews>
  <sheetFormatPr defaultColWidth="17" defaultRowHeight="25.5" customHeight="1"/>
  <cols>
    <col min="1" max="1" width="14.75" customWidth="1"/>
    <col min="2" max="2" width="19.125" customWidth="1"/>
    <col min="5" max="5" width="11.125" customWidth="1"/>
    <col min="8" max="8" width="21.875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21" t="s">
        <v>21</v>
      </c>
      <c r="G1" s="322" t="s">
        <v>6</v>
      </c>
      <c r="H1" s="320" t="s">
        <v>7</v>
      </c>
    </row>
    <row r="2" customHeight="1" spans="1:8">
      <c r="A2" s="122" t="s">
        <v>70</v>
      </c>
      <c r="B2" s="245">
        <v>4620</v>
      </c>
      <c r="C2" s="198" t="s">
        <v>9</v>
      </c>
      <c r="D2" s="199" t="s">
        <v>71</v>
      </c>
      <c r="E2" s="198" t="s">
        <v>27</v>
      </c>
      <c r="F2" s="201">
        <v>0.14</v>
      </c>
      <c r="G2" s="202">
        <v>33000</v>
      </c>
      <c r="H2" s="198" t="s">
        <v>65</v>
      </c>
    </row>
    <row r="3" customHeight="1" spans="1:8">
      <c r="A3" s="329" t="s">
        <v>72</v>
      </c>
      <c r="B3" s="324">
        <v>65520</v>
      </c>
      <c r="C3" s="325" t="s">
        <v>9</v>
      </c>
      <c r="D3" s="326" t="s">
        <v>73</v>
      </c>
      <c r="E3" s="325" t="s">
        <v>67</v>
      </c>
      <c r="F3" s="327">
        <v>0.13</v>
      </c>
      <c r="G3" s="328">
        <v>504000</v>
      </c>
      <c r="H3" s="198" t="s">
        <v>65</v>
      </c>
    </row>
    <row r="4" customHeight="1" spans="1:8">
      <c r="A4" s="329" t="s">
        <v>74</v>
      </c>
      <c r="B4" s="324">
        <v>3240</v>
      </c>
      <c r="C4" s="325" t="s">
        <v>9</v>
      </c>
      <c r="D4" s="326">
        <v>4953</v>
      </c>
      <c r="E4" s="325" t="s">
        <v>67</v>
      </c>
      <c r="F4" s="327">
        <v>0.12</v>
      </c>
      <c r="G4" s="328">
        <v>27000</v>
      </c>
      <c r="H4" s="198" t="s">
        <v>65</v>
      </c>
    </row>
    <row r="5" customHeight="1" spans="1:8">
      <c r="A5" s="347" t="s">
        <v>75</v>
      </c>
      <c r="B5" s="348">
        <v>25905</v>
      </c>
      <c r="C5" s="198" t="s">
        <v>9</v>
      </c>
      <c r="D5" s="199">
        <v>3401</v>
      </c>
      <c r="E5" s="198" t="s">
        <v>27</v>
      </c>
      <c r="F5" s="201">
        <v>0.125</v>
      </c>
      <c r="G5" s="202">
        <v>207240</v>
      </c>
      <c r="H5" s="198" t="s">
        <v>65</v>
      </c>
    </row>
    <row r="6" customHeight="1" spans="1:8">
      <c r="A6" s="349" t="s">
        <v>42</v>
      </c>
      <c r="B6" s="334">
        <v>14355</v>
      </c>
      <c r="C6" s="349" t="s">
        <v>9</v>
      </c>
      <c r="D6" s="326">
        <v>4411</v>
      </c>
      <c r="E6" s="325" t="s">
        <v>67</v>
      </c>
      <c r="F6" s="201">
        <v>0.435</v>
      </c>
      <c r="G6" s="202">
        <v>33000</v>
      </c>
      <c r="H6" s="332" t="s">
        <v>76</v>
      </c>
    </row>
    <row r="7" customHeight="1" spans="1:8">
      <c r="A7" s="350" t="s">
        <v>77</v>
      </c>
      <c r="B7" s="351">
        <v>840</v>
      </c>
      <c r="C7" s="350" t="s">
        <v>9</v>
      </c>
      <c r="D7" s="326">
        <v>4812</v>
      </c>
      <c r="E7" s="325" t="s">
        <v>67</v>
      </c>
      <c r="F7" s="327">
        <v>0.28</v>
      </c>
      <c r="G7" s="328">
        <v>3000</v>
      </c>
      <c r="H7" s="332" t="s">
        <v>65</v>
      </c>
    </row>
    <row r="8" customHeight="1" spans="1:8">
      <c r="A8" s="339" t="s">
        <v>78</v>
      </c>
      <c r="B8" s="324">
        <v>1260</v>
      </c>
      <c r="C8" s="325" t="s">
        <v>9</v>
      </c>
      <c r="D8" s="326" t="s">
        <v>79</v>
      </c>
      <c r="E8" s="325" t="s">
        <v>67</v>
      </c>
      <c r="F8" s="327">
        <v>0.21</v>
      </c>
      <c r="G8" s="328">
        <v>6000</v>
      </c>
      <c r="H8" s="332" t="s">
        <v>65</v>
      </c>
    </row>
    <row r="9" customHeight="1" spans="1:8">
      <c r="A9" s="339" t="s">
        <v>80</v>
      </c>
      <c r="B9" s="324">
        <v>570</v>
      </c>
      <c r="C9" s="325" t="s">
        <v>9</v>
      </c>
      <c r="D9" s="326">
        <v>8205</v>
      </c>
      <c r="E9" s="325"/>
      <c r="F9" s="327">
        <v>0.19</v>
      </c>
      <c r="G9" s="328">
        <v>3000</v>
      </c>
      <c r="H9" s="332" t="s">
        <v>65</v>
      </c>
    </row>
    <row r="10" customHeight="1" spans="1:11">
      <c r="A10" s="329" t="s">
        <v>52</v>
      </c>
      <c r="B10" s="324">
        <v>47376</v>
      </c>
      <c r="C10" s="325" t="s">
        <v>9</v>
      </c>
      <c r="D10" s="326" t="s">
        <v>53</v>
      </c>
      <c r="E10" s="325" t="s">
        <v>67</v>
      </c>
      <c r="F10" s="201">
        <v>0.188</v>
      </c>
      <c r="G10" s="202"/>
      <c r="H10" s="198" t="s">
        <v>81</v>
      </c>
      <c r="I10" s="212"/>
      <c r="J10" s="212"/>
      <c r="K10" s="212"/>
    </row>
    <row r="11" customHeight="1" spans="1:8">
      <c r="A11" s="308" t="s">
        <v>8</v>
      </c>
      <c r="B11" s="352"/>
      <c r="C11" s="353" t="s">
        <v>9</v>
      </c>
      <c r="D11" s="354"/>
      <c r="E11" s="353" t="s">
        <v>67</v>
      </c>
      <c r="F11" s="355"/>
      <c r="G11" s="356"/>
      <c r="H11" s="353" t="s">
        <v>82</v>
      </c>
    </row>
    <row r="12" customHeight="1" spans="1:8">
      <c r="A12" s="313"/>
      <c r="B12" s="357"/>
      <c r="C12" s="353" t="s">
        <v>9</v>
      </c>
      <c r="D12" s="354"/>
      <c r="E12" s="353" t="s">
        <v>67</v>
      </c>
      <c r="F12" s="358"/>
      <c r="G12" s="359"/>
      <c r="H12" s="353" t="s">
        <v>82</v>
      </c>
    </row>
    <row r="13" customHeight="1" spans="1:8">
      <c r="A13" s="329" t="s">
        <v>83</v>
      </c>
      <c r="B13" s="324">
        <v>25125</v>
      </c>
      <c r="C13" s="325" t="s">
        <v>9</v>
      </c>
      <c r="D13" s="326">
        <v>4953</v>
      </c>
      <c r="E13" s="325" t="s">
        <v>67</v>
      </c>
      <c r="F13" s="360">
        <v>0.12</v>
      </c>
      <c r="G13" s="328"/>
      <c r="H13" s="200"/>
    </row>
    <row r="14" customHeight="1" spans="1:8">
      <c r="A14" s="329" t="s">
        <v>55</v>
      </c>
      <c r="B14" s="361">
        <v>14940</v>
      </c>
      <c r="C14" s="337" t="s">
        <v>9</v>
      </c>
      <c r="D14" s="326">
        <v>3407</v>
      </c>
      <c r="E14" s="337" t="s">
        <v>67</v>
      </c>
      <c r="F14" s="327">
        <v>0.13</v>
      </c>
      <c r="G14" s="328"/>
      <c r="H14" s="337"/>
    </row>
    <row r="15" customHeight="1" spans="1:8">
      <c r="A15" s="329" t="s">
        <v>14</v>
      </c>
      <c r="B15" s="361">
        <v>92880</v>
      </c>
      <c r="C15" s="337" t="s">
        <v>9</v>
      </c>
      <c r="D15" s="326">
        <v>4953</v>
      </c>
      <c r="E15" s="337" t="s">
        <v>67</v>
      </c>
      <c r="F15" s="327">
        <v>0.115</v>
      </c>
      <c r="G15" s="328"/>
      <c r="H15" s="338"/>
    </row>
    <row r="16" customHeight="1" spans="1:8">
      <c r="A16" s="329" t="s">
        <v>61</v>
      </c>
      <c r="B16" s="361">
        <v>11520</v>
      </c>
      <c r="C16" s="337" t="s">
        <v>9</v>
      </c>
      <c r="D16" s="326">
        <v>4953</v>
      </c>
      <c r="E16" s="337" t="s">
        <v>67</v>
      </c>
      <c r="F16" s="327">
        <v>0.115</v>
      </c>
      <c r="G16" s="328"/>
      <c r="H16" s="337"/>
    </row>
    <row r="17" customHeight="1" spans="1:8">
      <c r="A17" s="339" t="s">
        <v>45</v>
      </c>
      <c r="B17" s="324">
        <v>5040</v>
      </c>
      <c r="C17" s="337" t="s">
        <v>9</v>
      </c>
      <c r="D17" s="326">
        <v>4953</v>
      </c>
      <c r="E17" s="337" t="s">
        <v>67</v>
      </c>
      <c r="F17" s="327">
        <v>0.115</v>
      </c>
      <c r="G17" s="328"/>
      <c r="H17" s="332"/>
    </row>
    <row r="18" customHeight="1" spans="1:8">
      <c r="A18" s="347" t="s">
        <v>84</v>
      </c>
      <c r="B18" s="348">
        <v>570</v>
      </c>
      <c r="C18" s="198" t="s">
        <v>9</v>
      </c>
      <c r="D18" s="199">
        <v>4953</v>
      </c>
      <c r="E18" s="198" t="s">
        <v>27</v>
      </c>
      <c r="F18" s="201">
        <v>0.19</v>
      </c>
      <c r="G18" s="202">
        <v>3000</v>
      </c>
      <c r="H18" s="362"/>
    </row>
    <row r="19" customHeight="1" spans="1:8">
      <c r="A19" s="363" t="s">
        <v>17</v>
      </c>
      <c r="B19" s="364">
        <v>313761</v>
      </c>
      <c r="C19" s="365"/>
      <c r="H19" s="304" t="s">
        <v>85</v>
      </c>
    </row>
    <row r="21" customHeight="1" spans="4:4">
      <c r="D21" s="304" t="s">
        <v>86</v>
      </c>
    </row>
  </sheetData>
  <mergeCells count="1">
    <mergeCell ref="A11:A12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F6" sqref="F6"/>
    </sheetView>
  </sheetViews>
  <sheetFormatPr defaultColWidth="9" defaultRowHeight="14.25"/>
  <cols>
    <col min="1" max="1" width="15.375" customWidth="1"/>
    <col min="2" max="2" width="20.125" customWidth="1"/>
    <col min="3" max="3" width="15.625" customWidth="1"/>
    <col min="4" max="4" width="12.375" customWidth="1"/>
    <col min="6" max="6" width="23.5" customWidth="1"/>
    <col min="7" max="7" width="17.875" customWidth="1"/>
    <col min="8" max="8" width="12.875" customWidth="1"/>
    <col min="11" max="11" width="16.875" customWidth="1"/>
  </cols>
  <sheetData>
    <row r="1" ht="22.5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21" t="s">
        <v>87</v>
      </c>
      <c r="G1" s="322" t="s">
        <v>6</v>
      </c>
      <c r="H1" s="320" t="s">
        <v>7</v>
      </c>
    </row>
    <row r="2" ht="22.5" spans="1:8">
      <c r="A2" s="122" t="s">
        <v>70</v>
      </c>
      <c r="B2" s="245">
        <v>19320.3</v>
      </c>
      <c r="C2" s="198" t="s">
        <v>9</v>
      </c>
      <c r="D2" s="199" t="s">
        <v>71</v>
      </c>
      <c r="E2" s="198" t="s">
        <v>27</v>
      </c>
      <c r="F2" s="201">
        <v>0.14</v>
      </c>
      <c r="G2" s="202">
        <v>138000</v>
      </c>
      <c r="H2" s="198" t="s">
        <v>65</v>
      </c>
    </row>
    <row r="3" ht="22.5" spans="1:8">
      <c r="A3" s="323" t="s">
        <v>88</v>
      </c>
      <c r="B3" s="324">
        <v>64350</v>
      </c>
      <c r="C3" s="325" t="s">
        <v>9</v>
      </c>
      <c r="D3" s="326" t="s">
        <v>73</v>
      </c>
      <c r="E3" s="325" t="s">
        <v>89</v>
      </c>
      <c r="F3" s="327">
        <v>0.13</v>
      </c>
      <c r="G3" s="328">
        <v>495000</v>
      </c>
      <c r="H3" s="198" t="s">
        <v>65</v>
      </c>
    </row>
    <row r="4" ht="22.5" spans="1:8">
      <c r="A4" s="329" t="s">
        <v>90</v>
      </c>
      <c r="B4" s="324">
        <v>3150</v>
      </c>
      <c r="C4" s="325" t="s">
        <v>9</v>
      </c>
      <c r="D4" s="326">
        <v>3401</v>
      </c>
      <c r="E4" s="325" t="s">
        <v>67</v>
      </c>
      <c r="F4" s="327">
        <v>0.15</v>
      </c>
      <c r="G4" s="328">
        <v>21000</v>
      </c>
      <c r="H4" s="198" t="s">
        <v>65</v>
      </c>
    </row>
    <row r="5" ht="22.5" spans="1:8">
      <c r="A5" s="133" t="s">
        <v>42</v>
      </c>
      <c r="B5" s="330">
        <v>11580</v>
      </c>
      <c r="C5" s="24" t="s">
        <v>9</v>
      </c>
      <c r="D5" s="326" t="s">
        <v>91</v>
      </c>
      <c r="E5" s="198" t="s">
        <v>27</v>
      </c>
      <c r="F5" s="327">
        <v>0.265</v>
      </c>
      <c r="G5" s="328">
        <v>24000</v>
      </c>
      <c r="H5" s="198" t="s">
        <v>65</v>
      </c>
    </row>
    <row r="6" ht="22.5" spans="1:8">
      <c r="A6" s="134"/>
      <c r="B6" s="331"/>
      <c r="C6" s="26"/>
      <c r="D6" s="326">
        <v>4411</v>
      </c>
      <c r="E6" s="325" t="s">
        <v>67</v>
      </c>
      <c r="F6" s="201">
        <v>0.435</v>
      </c>
      <c r="G6" s="202">
        <v>12000</v>
      </c>
      <c r="H6" s="332" t="s">
        <v>65</v>
      </c>
    </row>
    <row r="7" ht="22.5" spans="1:8">
      <c r="A7" s="333" t="s">
        <v>77</v>
      </c>
      <c r="B7" s="324">
        <v>9900</v>
      </c>
      <c r="C7" s="325" t="s">
        <v>9</v>
      </c>
      <c r="D7" s="326" t="s">
        <v>92</v>
      </c>
      <c r="E7" s="325" t="s">
        <v>67</v>
      </c>
      <c r="F7" s="327">
        <v>0.165</v>
      </c>
      <c r="G7" s="328">
        <v>60000</v>
      </c>
      <c r="H7" s="332" t="s">
        <v>65</v>
      </c>
    </row>
    <row r="8" ht="22.5" spans="1:10">
      <c r="A8" s="323" t="s">
        <v>52</v>
      </c>
      <c r="B8" s="324">
        <v>76704</v>
      </c>
      <c r="C8" s="325" t="s">
        <v>9</v>
      </c>
      <c r="D8" s="326" t="s">
        <v>53</v>
      </c>
      <c r="E8" s="325" t="s">
        <v>67</v>
      </c>
      <c r="F8" s="201">
        <v>0.188</v>
      </c>
      <c r="G8" s="202">
        <v>408000</v>
      </c>
      <c r="H8" s="198" t="s">
        <v>93</v>
      </c>
      <c r="I8" s="212"/>
      <c r="J8" s="212"/>
    </row>
    <row r="9" ht="22.5" spans="1:10">
      <c r="A9" s="323" t="s">
        <v>52</v>
      </c>
      <c r="B9" s="324">
        <v>52578</v>
      </c>
      <c r="C9" s="325" t="s">
        <v>9</v>
      </c>
      <c r="D9" s="326" t="s">
        <v>73</v>
      </c>
      <c r="E9" s="325" t="s">
        <v>67</v>
      </c>
      <c r="F9" s="201">
        <v>0.138</v>
      </c>
      <c r="G9" s="202">
        <v>381000</v>
      </c>
      <c r="H9" s="198" t="s">
        <v>93</v>
      </c>
      <c r="I9" s="212"/>
      <c r="J9" s="212"/>
    </row>
    <row r="10" ht="22.5" spans="1:8">
      <c r="A10" s="308" t="s">
        <v>8</v>
      </c>
      <c r="B10" s="334">
        <v>33600</v>
      </c>
      <c r="C10" s="325" t="s">
        <v>9</v>
      </c>
      <c r="D10" s="326" t="s">
        <v>92</v>
      </c>
      <c r="E10" s="325" t="s">
        <v>67</v>
      </c>
      <c r="F10" s="327">
        <v>0.16</v>
      </c>
      <c r="G10" s="328">
        <v>210000</v>
      </c>
      <c r="H10" s="198" t="s">
        <v>94</v>
      </c>
    </row>
    <row r="11" ht="22.5" spans="1:8">
      <c r="A11" s="313"/>
      <c r="B11" s="335">
        <v>21600</v>
      </c>
      <c r="C11" s="325" t="s">
        <v>9</v>
      </c>
      <c r="D11" s="326">
        <v>2300</v>
      </c>
      <c r="E11" s="325" t="s">
        <v>67</v>
      </c>
      <c r="F11" s="285">
        <v>0.08</v>
      </c>
      <c r="G11" s="336">
        <v>270000</v>
      </c>
      <c r="H11" s="198" t="s">
        <v>94</v>
      </c>
    </row>
    <row r="12" ht="22.5" spans="1:8">
      <c r="A12" s="323" t="s">
        <v>95</v>
      </c>
      <c r="B12" s="324">
        <v>1425</v>
      </c>
      <c r="C12" s="325" t="s">
        <v>9</v>
      </c>
      <c r="D12" s="326">
        <v>4411</v>
      </c>
      <c r="E12" s="325" t="s">
        <v>67</v>
      </c>
      <c r="F12" s="201">
        <v>0.475</v>
      </c>
      <c r="G12" s="328">
        <v>3000</v>
      </c>
      <c r="H12" s="200"/>
    </row>
    <row r="13" ht="22.5" spans="1:8">
      <c r="A13" s="323" t="s">
        <v>55</v>
      </c>
      <c r="B13" s="324">
        <v>9750</v>
      </c>
      <c r="C13" s="337" t="s">
        <v>9</v>
      </c>
      <c r="D13" s="326">
        <v>3407</v>
      </c>
      <c r="E13" s="337" t="s">
        <v>67</v>
      </c>
      <c r="F13" s="327">
        <v>0.13</v>
      </c>
      <c r="G13" s="328"/>
      <c r="H13" s="337"/>
    </row>
    <row r="14" ht="22.5" spans="1:8">
      <c r="A14" s="323" t="s">
        <v>14</v>
      </c>
      <c r="B14" s="324">
        <v>14040</v>
      </c>
      <c r="C14" s="337" t="s">
        <v>9</v>
      </c>
      <c r="D14" s="326" t="s">
        <v>79</v>
      </c>
      <c r="E14" s="337" t="s">
        <v>67</v>
      </c>
      <c r="F14" s="327">
        <v>0.18</v>
      </c>
      <c r="G14" s="328">
        <v>78000</v>
      </c>
      <c r="H14" s="338" t="s">
        <v>96</v>
      </c>
    </row>
    <row r="15" ht="22.5" spans="1:8">
      <c r="A15" s="329" t="s">
        <v>61</v>
      </c>
      <c r="B15" s="324">
        <v>12000</v>
      </c>
      <c r="C15" s="337" t="s">
        <v>9</v>
      </c>
      <c r="D15" s="326">
        <v>4953</v>
      </c>
      <c r="E15" s="337" t="s">
        <v>67</v>
      </c>
      <c r="F15" s="327">
        <v>0.115</v>
      </c>
      <c r="G15" s="328"/>
      <c r="H15" s="337"/>
    </row>
    <row r="16" ht="22.5" spans="1:8">
      <c r="A16" s="339" t="s">
        <v>45</v>
      </c>
      <c r="B16" s="324">
        <v>5460</v>
      </c>
      <c r="C16" s="337" t="s">
        <v>9</v>
      </c>
      <c r="D16" s="326">
        <v>4953</v>
      </c>
      <c r="E16" s="337" t="s">
        <v>67</v>
      </c>
      <c r="F16" s="327">
        <v>0.115</v>
      </c>
      <c r="G16" s="328"/>
      <c r="H16" s="332"/>
    </row>
    <row r="17" spans="1:2">
      <c r="A17" s="1"/>
      <c r="B17" s="1"/>
    </row>
    <row r="18" ht="22.5" spans="1:6">
      <c r="A18" s="340" t="s">
        <v>17</v>
      </c>
      <c r="B18" s="341">
        <v>335457.3</v>
      </c>
      <c r="E18" s="342" t="s">
        <v>63</v>
      </c>
      <c r="F18" s="304"/>
    </row>
    <row r="23" ht="22.5" spans="1:8">
      <c r="A23" s="44" t="s">
        <v>0</v>
      </c>
      <c r="B23" s="343" t="s">
        <v>20</v>
      </c>
      <c r="C23" s="44" t="s">
        <v>2</v>
      </c>
      <c r="D23" s="44" t="s">
        <v>3</v>
      </c>
      <c r="E23" s="44" t="s">
        <v>4</v>
      </c>
      <c r="F23" s="4" t="s">
        <v>87</v>
      </c>
      <c r="G23" s="5" t="s">
        <v>6</v>
      </c>
      <c r="H23" s="44" t="s">
        <v>7</v>
      </c>
    </row>
    <row r="24" ht="39" customHeight="1" spans="1:8">
      <c r="A24" s="344" t="s">
        <v>97</v>
      </c>
      <c r="B24" s="345">
        <v>107669</v>
      </c>
      <c r="C24" s="344" t="s">
        <v>98</v>
      </c>
      <c r="D24" s="344" t="s">
        <v>99</v>
      </c>
      <c r="E24" s="344" t="s">
        <v>100</v>
      </c>
      <c r="F24" s="344">
        <v>1607</v>
      </c>
      <c r="G24" s="344">
        <v>67</v>
      </c>
      <c r="H24" s="344"/>
    </row>
    <row r="25" ht="33" customHeight="1" spans="1:8">
      <c r="A25" s="344" t="s">
        <v>97</v>
      </c>
      <c r="B25" s="345">
        <v>90400</v>
      </c>
      <c r="C25" s="344" t="s">
        <v>98</v>
      </c>
      <c r="D25" s="344" t="s">
        <v>101</v>
      </c>
      <c r="E25" s="344" t="s">
        <v>100</v>
      </c>
      <c r="F25" s="344">
        <v>1808</v>
      </c>
      <c r="G25" s="344">
        <v>50</v>
      </c>
      <c r="H25" s="344"/>
    </row>
    <row r="26" ht="27.75" customHeight="1" spans="1:8">
      <c r="A26" s="344" t="s">
        <v>97</v>
      </c>
      <c r="B26" s="345">
        <v>27875</v>
      </c>
      <c r="C26" s="344" t="s">
        <v>98</v>
      </c>
      <c r="D26" s="346" t="s">
        <v>102</v>
      </c>
      <c r="E26" s="344" t="s">
        <v>100</v>
      </c>
      <c r="F26" s="344">
        <v>1115</v>
      </c>
      <c r="G26" s="344">
        <v>25</v>
      </c>
      <c r="H26" s="344"/>
    </row>
    <row r="27" ht="27.75" customHeight="1" spans="1:8">
      <c r="A27" s="344" t="s">
        <v>17</v>
      </c>
      <c r="B27" s="345">
        <v>225944</v>
      </c>
      <c r="C27" s="344"/>
      <c r="D27" s="344"/>
      <c r="E27" s="344"/>
      <c r="F27" s="344"/>
      <c r="G27" s="344"/>
      <c r="H27" s="344"/>
    </row>
    <row r="28" ht="24" customHeight="1" spans="6:6">
      <c r="F28" s="304" t="s">
        <v>103</v>
      </c>
    </row>
    <row r="29" ht="20.25" customHeight="1"/>
    <row r="30" ht="23.25" customHeight="1"/>
    <row r="31" ht="23.25" customHeight="1"/>
  </sheetData>
  <mergeCells count="4">
    <mergeCell ref="A5:A6"/>
    <mergeCell ref="A10:A11"/>
    <mergeCell ref="B5:B6"/>
    <mergeCell ref="C5:C6"/>
  </mergeCells>
  <pageMargins left="0.7" right="0.7" top="0.75" bottom="0.75" header="0.3" footer="0.3"/>
  <pageSetup paperSize="9" orientation="portrait" verticalDpi="18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zoomScale="90" zoomScaleNormal="90" workbookViewId="0">
      <selection activeCell="F17" sqref="F17"/>
    </sheetView>
  </sheetViews>
  <sheetFormatPr defaultColWidth="16.125" defaultRowHeight="14.25"/>
  <cols>
    <col min="2" max="2" width="22.5" customWidth="1"/>
    <col min="6" max="6" width="22.875" customWidth="1"/>
  </cols>
  <sheetData>
    <row r="1" ht="22.5" spans="1:11">
      <c r="A1" s="57" t="s">
        <v>0</v>
      </c>
      <c r="B1" s="245" t="s">
        <v>104</v>
      </c>
      <c r="C1" s="246" t="s">
        <v>2</v>
      </c>
      <c r="D1" s="246" t="s">
        <v>3</v>
      </c>
      <c r="E1" s="246" t="s">
        <v>4</v>
      </c>
      <c r="F1" s="247" t="s">
        <v>87</v>
      </c>
      <c r="G1" s="248" t="s">
        <v>6</v>
      </c>
      <c r="H1" s="246" t="s">
        <v>7</v>
      </c>
      <c r="I1" s="212"/>
      <c r="J1" s="212"/>
      <c r="K1" s="212"/>
    </row>
    <row r="2" ht="22.5" spans="1:11">
      <c r="A2" s="226" t="s">
        <v>70</v>
      </c>
      <c r="B2" s="245">
        <v>10716.24</v>
      </c>
      <c r="C2" s="198" t="s">
        <v>9</v>
      </c>
      <c r="D2" s="199" t="s">
        <v>73</v>
      </c>
      <c r="E2" s="198" t="s">
        <v>27</v>
      </c>
      <c r="F2" s="201">
        <v>0.13</v>
      </c>
      <c r="G2" s="202">
        <v>75000</v>
      </c>
      <c r="H2" s="198" t="s">
        <v>105</v>
      </c>
      <c r="I2" s="212"/>
      <c r="J2" s="212"/>
      <c r="K2" s="212"/>
    </row>
    <row r="3" ht="22.5" spans="1:11">
      <c r="A3" s="220" t="s">
        <v>88</v>
      </c>
      <c r="B3" s="197">
        <v>26130</v>
      </c>
      <c r="C3" s="198" t="s">
        <v>9</v>
      </c>
      <c r="D3" s="199" t="s">
        <v>73</v>
      </c>
      <c r="E3" s="198" t="s">
        <v>89</v>
      </c>
      <c r="F3" s="201">
        <v>0.13</v>
      </c>
      <c r="G3" s="202">
        <v>201000</v>
      </c>
      <c r="H3" s="198" t="s">
        <v>65</v>
      </c>
      <c r="I3" s="212"/>
      <c r="J3" s="212"/>
      <c r="K3" s="212"/>
    </row>
    <row r="4" ht="27" customHeight="1" spans="1:11">
      <c r="A4" s="220" t="s">
        <v>106</v>
      </c>
      <c r="B4" s="197">
        <v>32370</v>
      </c>
      <c r="C4" s="198" t="s">
        <v>9</v>
      </c>
      <c r="D4" s="199" t="s">
        <v>73</v>
      </c>
      <c r="E4" s="198" t="s">
        <v>27</v>
      </c>
      <c r="F4" s="201">
        <v>0.111111</v>
      </c>
      <c r="G4" s="202">
        <v>249000</v>
      </c>
      <c r="H4" s="198" t="s">
        <v>107</v>
      </c>
      <c r="I4" s="212"/>
      <c r="J4" s="212"/>
      <c r="K4" s="212"/>
    </row>
    <row r="5" ht="22.5" spans="1:11">
      <c r="A5" s="129" t="s">
        <v>77</v>
      </c>
      <c r="B5" s="197">
        <v>97500</v>
      </c>
      <c r="C5" s="198" t="s">
        <v>9</v>
      </c>
      <c r="D5" s="199" t="s">
        <v>92</v>
      </c>
      <c r="E5" s="198" t="s">
        <v>27</v>
      </c>
      <c r="F5" s="201">
        <v>0.16</v>
      </c>
      <c r="G5" s="202"/>
      <c r="H5" s="275" t="s">
        <v>65</v>
      </c>
      <c r="I5" s="212"/>
      <c r="J5" s="212"/>
      <c r="K5" s="212"/>
    </row>
    <row r="6" ht="22.5" spans="1:11">
      <c r="A6" s="132"/>
      <c r="B6" s="197">
        <v>5040</v>
      </c>
      <c r="C6" s="198" t="s">
        <v>9</v>
      </c>
      <c r="D6" s="199" t="s">
        <v>91</v>
      </c>
      <c r="E6" s="198" t="s">
        <v>27</v>
      </c>
      <c r="F6" s="201">
        <v>0.28</v>
      </c>
      <c r="G6" s="202">
        <v>18000</v>
      </c>
      <c r="H6" s="275" t="s">
        <v>65</v>
      </c>
      <c r="I6" s="212"/>
      <c r="J6" s="212"/>
      <c r="K6" s="212"/>
    </row>
    <row r="7" ht="22.5" spans="1:11">
      <c r="A7" s="129" t="s">
        <v>52</v>
      </c>
      <c r="B7" s="197">
        <v>19176</v>
      </c>
      <c r="C7" s="198" t="s">
        <v>9</v>
      </c>
      <c r="D7" s="199" t="s">
        <v>53</v>
      </c>
      <c r="E7" s="198" t="s">
        <v>27</v>
      </c>
      <c r="F7" s="201">
        <v>0.188</v>
      </c>
      <c r="G7" s="202">
        <v>102000</v>
      </c>
      <c r="H7" s="198" t="s">
        <v>108</v>
      </c>
      <c r="I7" s="212"/>
      <c r="J7" s="212"/>
      <c r="K7" s="212"/>
    </row>
    <row r="8" ht="22.5" spans="1:11">
      <c r="A8" s="132"/>
      <c r="B8" s="197">
        <v>37260</v>
      </c>
      <c r="C8" s="198" t="s">
        <v>9</v>
      </c>
      <c r="D8" s="199" t="s">
        <v>73</v>
      </c>
      <c r="E8" s="198" t="s">
        <v>27</v>
      </c>
      <c r="F8" s="201">
        <v>0.138</v>
      </c>
      <c r="G8" s="202">
        <v>270000</v>
      </c>
      <c r="H8" s="198" t="s">
        <v>108</v>
      </c>
      <c r="I8" s="212"/>
      <c r="J8" s="212"/>
      <c r="K8" s="212"/>
    </row>
    <row r="9" ht="22.5" spans="1:11">
      <c r="A9" s="308" t="s">
        <v>8</v>
      </c>
      <c r="B9" s="276"/>
      <c r="C9" s="309" t="s">
        <v>9</v>
      </c>
      <c r="D9" s="310">
        <v>3401</v>
      </c>
      <c r="E9" s="309" t="s">
        <v>27</v>
      </c>
      <c r="F9" s="311" t="s">
        <v>109</v>
      </c>
      <c r="G9" s="312"/>
      <c r="H9" s="309" t="s">
        <v>110</v>
      </c>
      <c r="I9" s="212"/>
      <c r="J9" s="212"/>
      <c r="K9" s="212"/>
    </row>
    <row r="10" ht="22.5" spans="1:11">
      <c r="A10" s="313"/>
      <c r="B10" s="277"/>
      <c r="C10" s="309" t="s">
        <v>9</v>
      </c>
      <c r="D10" s="310">
        <v>2300</v>
      </c>
      <c r="E10" s="309" t="s">
        <v>27</v>
      </c>
      <c r="F10" s="314">
        <v>0.08</v>
      </c>
      <c r="G10" s="315"/>
      <c r="H10" s="309" t="s">
        <v>110</v>
      </c>
      <c r="I10" s="212"/>
      <c r="J10" s="212"/>
      <c r="K10" s="212"/>
    </row>
    <row r="11" ht="22.5" spans="1:11">
      <c r="A11" s="220" t="s">
        <v>75</v>
      </c>
      <c r="B11" s="197">
        <v>3225</v>
      </c>
      <c r="C11" s="198" t="s">
        <v>9</v>
      </c>
      <c r="D11" s="199">
        <v>3407</v>
      </c>
      <c r="E11" s="198" t="s">
        <v>27</v>
      </c>
      <c r="F11" s="201">
        <v>0.13</v>
      </c>
      <c r="G11" s="202"/>
      <c r="H11" s="198"/>
      <c r="I11" s="212"/>
      <c r="J11" s="212"/>
      <c r="K11" s="212"/>
    </row>
    <row r="12" ht="22.5" spans="1:11">
      <c r="A12" s="220" t="s">
        <v>111</v>
      </c>
      <c r="B12" s="197">
        <v>35700</v>
      </c>
      <c r="C12" s="198" t="s">
        <v>9</v>
      </c>
      <c r="D12" s="199" t="s">
        <v>92</v>
      </c>
      <c r="E12" s="198" t="s">
        <v>27</v>
      </c>
      <c r="F12" s="201">
        <v>0.17</v>
      </c>
      <c r="G12" s="202">
        <v>210000</v>
      </c>
      <c r="H12" s="198" t="s">
        <v>65</v>
      </c>
      <c r="I12" s="212"/>
      <c r="J12" s="212"/>
      <c r="K12" s="212"/>
    </row>
    <row r="13" ht="22.5" spans="1:11">
      <c r="A13" s="220" t="s">
        <v>55</v>
      </c>
      <c r="B13" s="270">
        <v>765</v>
      </c>
      <c r="C13" s="198" t="s">
        <v>9</v>
      </c>
      <c r="D13" s="199">
        <v>2301</v>
      </c>
      <c r="E13" s="198" t="s">
        <v>27</v>
      </c>
      <c r="F13" s="201">
        <v>0.085</v>
      </c>
      <c r="G13" s="202"/>
      <c r="H13" s="198"/>
      <c r="I13" s="212"/>
      <c r="J13" s="212"/>
      <c r="K13" s="212"/>
    </row>
    <row r="14" ht="22.5" spans="1:11">
      <c r="A14" s="220" t="s">
        <v>14</v>
      </c>
      <c r="B14" s="197">
        <v>61020</v>
      </c>
      <c r="C14" s="198" t="s">
        <v>9</v>
      </c>
      <c r="D14" s="199" t="s">
        <v>53</v>
      </c>
      <c r="E14" s="198" t="s">
        <v>27</v>
      </c>
      <c r="F14" s="201">
        <v>0.18</v>
      </c>
      <c r="G14" s="202">
        <v>339000</v>
      </c>
      <c r="H14" s="198" t="s">
        <v>96</v>
      </c>
      <c r="I14" s="212"/>
      <c r="J14" s="212"/>
      <c r="K14" s="212"/>
    </row>
    <row r="15" ht="22.5" spans="1:11">
      <c r="A15" s="220" t="s">
        <v>61</v>
      </c>
      <c r="B15" s="197">
        <v>9360</v>
      </c>
      <c r="C15" s="198" t="s">
        <v>9</v>
      </c>
      <c r="D15" s="199">
        <v>4953</v>
      </c>
      <c r="E15" s="198" t="s">
        <v>27</v>
      </c>
      <c r="F15" s="201">
        <v>0.115</v>
      </c>
      <c r="G15" s="202"/>
      <c r="H15" s="198"/>
      <c r="I15" s="212"/>
      <c r="J15" s="212"/>
      <c r="K15" s="212"/>
    </row>
    <row r="16" ht="22.5" spans="1:11">
      <c r="A16" s="220" t="s">
        <v>45</v>
      </c>
      <c r="B16" s="197">
        <v>2340</v>
      </c>
      <c r="C16" s="198" t="s">
        <v>9</v>
      </c>
      <c r="D16" s="199" t="s">
        <v>79</v>
      </c>
      <c r="E16" s="198" t="s">
        <v>27</v>
      </c>
      <c r="F16" s="201">
        <v>0.13</v>
      </c>
      <c r="G16" s="202"/>
      <c r="H16" s="275"/>
      <c r="I16" s="212"/>
      <c r="J16" s="212"/>
      <c r="K16" s="212"/>
    </row>
    <row r="17" ht="22.5" spans="1:11">
      <c r="A17" s="122" t="s">
        <v>17</v>
      </c>
      <c r="B17" s="316">
        <v>340602.24</v>
      </c>
      <c r="C17" s="225"/>
      <c r="D17" s="225"/>
      <c r="E17" s="225"/>
      <c r="F17" s="225"/>
      <c r="G17" s="225"/>
      <c r="H17" s="225"/>
      <c r="I17" s="212"/>
      <c r="J17" s="212"/>
      <c r="K17" s="212"/>
    </row>
    <row r="18" spans="1:11">
      <c r="A18" s="212"/>
      <c r="B18" s="212"/>
      <c r="C18" s="212"/>
      <c r="D18" s="212"/>
      <c r="E18" s="212"/>
      <c r="F18" s="212"/>
      <c r="G18" s="212"/>
      <c r="H18" s="212"/>
      <c r="I18" s="212"/>
      <c r="J18" s="212"/>
      <c r="K18" s="212"/>
    </row>
    <row r="19" spans="1:11">
      <c r="A19" s="212"/>
      <c r="B19" s="212"/>
      <c r="C19" s="212"/>
      <c r="D19" s="212"/>
      <c r="E19" s="212"/>
      <c r="F19" s="212"/>
      <c r="G19" s="212"/>
      <c r="H19" s="212"/>
      <c r="I19" s="212"/>
      <c r="J19" s="212"/>
      <c r="K19" s="212"/>
    </row>
    <row r="20" ht="27" customHeight="1" spans="1:8">
      <c r="A20" s="147" t="s">
        <v>0</v>
      </c>
      <c r="B20" s="179" t="s">
        <v>1</v>
      </c>
      <c r="C20" s="161" t="s">
        <v>2</v>
      </c>
      <c r="D20" s="161" t="s">
        <v>3</v>
      </c>
      <c r="E20" s="161" t="s">
        <v>4</v>
      </c>
      <c r="F20" s="180" t="s">
        <v>21</v>
      </c>
      <c r="G20" s="185" t="s">
        <v>6</v>
      </c>
      <c r="H20" s="161" t="s">
        <v>7</v>
      </c>
    </row>
    <row r="21" ht="27" customHeight="1" spans="1:8">
      <c r="A21" s="264" t="s">
        <v>97</v>
      </c>
      <c r="B21" s="265">
        <f>F21*G21</f>
        <v>18798</v>
      </c>
      <c r="C21" s="264" t="s">
        <v>112</v>
      </c>
      <c r="D21" s="264" t="s">
        <v>113</v>
      </c>
      <c r="E21" s="264" t="s">
        <v>100</v>
      </c>
      <c r="F21" s="264">
        <v>1446</v>
      </c>
      <c r="G21" s="299">
        <v>13</v>
      </c>
      <c r="H21" s="264"/>
    </row>
    <row r="22" ht="27" customHeight="1" spans="1:8">
      <c r="A22" s="264" t="s">
        <v>97</v>
      </c>
      <c r="B22" s="265">
        <f t="shared" ref="B22:B29" si="0">F22*G22</f>
        <v>5424</v>
      </c>
      <c r="C22" s="264" t="s">
        <v>112</v>
      </c>
      <c r="D22" s="264" t="s">
        <v>101</v>
      </c>
      <c r="E22" s="264" t="s">
        <v>100</v>
      </c>
      <c r="F22" s="264">
        <v>1808</v>
      </c>
      <c r="G22" s="299">
        <v>3</v>
      </c>
      <c r="H22" s="264"/>
    </row>
    <row r="23" ht="27" customHeight="1" spans="1:8">
      <c r="A23" s="264" t="s">
        <v>97</v>
      </c>
      <c r="B23" s="265">
        <f t="shared" si="0"/>
        <v>23200</v>
      </c>
      <c r="C23" s="264" t="s">
        <v>112</v>
      </c>
      <c r="D23" s="264" t="s">
        <v>114</v>
      </c>
      <c r="E23" s="264" t="s">
        <v>100</v>
      </c>
      <c r="F23" s="264">
        <v>1450</v>
      </c>
      <c r="G23" s="299">
        <v>16</v>
      </c>
      <c r="H23" s="264"/>
    </row>
    <row r="24" ht="27" customHeight="1" spans="1:8">
      <c r="A24" s="264" t="s">
        <v>97</v>
      </c>
      <c r="B24" s="265">
        <f t="shared" si="0"/>
        <v>5068</v>
      </c>
      <c r="C24" s="264" t="s">
        <v>112</v>
      </c>
      <c r="D24" s="264" t="s">
        <v>99</v>
      </c>
      <c r="E24" s="264" t="s">
        <v>100</v>
      </c>
      <c r="F24" s="264">
        <v>1267</v>
      </c>
      <c r="G24" s="299">
        <v>4</v>
      </c>
      <c r="H24" s="264"/>
    </row>
    <row r="25" ht="27" customHeight="1" spans="1:8">
      <c r="A25" s="264" t="s">
        <v>97</v>
      </c>
      <c r="B25" s="265">
        <f t="shared" si="0"/>
        <v>7602</v>
      </c>
      <c r="C25" s="264" t="s">
        <v>112</v>
      </c>
      <c r="D25" s="264" t="s">
        <v>115</v>
      </c>
      <c r="E25" s="264" t="s">
        <v>100</v>
      </c>
      <c r="F25" s="264">
        <v>1267</v>
      </c>
      <c r="G25" s="299">
        <v>6</v>
      </c>
      <c r="H25" s="264"/>
    </row>
    <row r="26" ht="27" customHeight="1" spans="1:8">
      <c r="A26" s="264" t="s">
        <v>97</v>
      </c>
      <c r="B26" s="265">
        <f t="shared" si="0"/>
        <v>2534</v>
      </c>
      <c r="C26" s="264" t="s">
        <v>112</v>
      </c>
      <c r="D26" s="264" t="s">
        <v>101</v>
      </c>
      <c r="E26" s="264" t="s">
        <v>100</v>
      </c>
      <c r="F26" s="264">
        <v>1267</v>
      </c>
      <c r="G26" s="299">
        <v>2</v>
      </c>
      <c r="H26" s="264"/>
    </row>
    <row r="27" ht="27" customHeight="1" spans="1:8">
      <c r="A27" s="264" t="s">
        <v>97</v>
      </c>
      <c r="B27" s="265">
        <f t="shared" si="0"/>
        <v>2234</v>
      </c>
      <c r="C27" s="264" t="s">
        <v>112</v>
      </c>
      <c r="D27" s="264" t="s">
        <v>99</v>
      </c>
      <c r="E27" s="264" t="s">
        <v>100</v>
      </c>
      <c r="F27" s="264">
        <v>1117</v>
      </c>
      <c r="G27" s="299">
        <v>2</v>
      </c>
      <c r="H27" s="264"/>
    </row>
    <row r="28" ht="27" customHeight="1" spans="1:8">
      <c r="A28" s="264" t="s">
        <v>97</v>
      </c>
      <c r="B28" s="265">
        <f t="shared" si="0"/>
        <v>44475</v>
      </c>
      <c r="C28" s="264" t="s">
        <v>112</v>
      </c>
      <c r="D28" s="264" t="s">
        <v>116</v>
      </c>
      <c r="E28" s="264" t="s">
        <v>100</v>
      </c>
      <c r="F28" s="264">
        <v>1779</v>
      </c>
      <c r="G28" s="299">
        <v>25</v>
      </c>
      <c r="H28" s="264"/>
    </row>
    <row r="29" ht="27" customHeight="1" spans="1:8">
      <c r="A29" s="264" t="s">
        <v>97</v>
      </c>
      <c r="B29" s="265">
        <f t="shared" si="0"/>
        <v>39138</v>
      </c>
      <c r="C29" s="264" t="s">
        <v>112</v>
      </c>
      <c r="D29" s="264" t="s">
        <v>117</v>
      </c>
      <c r="E29" s="264" t="s">
        <v>100</v>
      </c>
      <c r="F29" s="264">
        <v>1779</v>
      </c>
      <c r="G29" s="299">
        <v>22</v>
      </c>
      <c r="H29" s="264"/>
    </row>
    <row r="30" ht="27" customHeight="1" spans="1:8">
      <c r="A30" s="296" t="s">
        <v>17</v>
      </c>
      <c r="B30" s="297">
        <v>148473</v>
      </c>
      <c r="C30" s="264"/>
      <c r="D30" s="264"/>
      <c r="E30" s="264"/>
      <c r="F30" s="264"/>
      <c r="G30" s="295"/>
      <c r="H30" s="295"/>
    </row>
    <row r="31" ht="33" customHeight="1" spans="1:8">
      <c r="A31" s="264"/>
      <c r="B31" s="265"/>
      <c r="C31" s="264"/>
      <c r="D31" s="264"/>
      <c r="E31" s="264"/>
      <c r="F31" s="264"/>
      <c r="G31" s="317" t="s">
        <v>118</v>
      </c>
      <c r="H31" s="317">
        <v>489075.24</v>
      </c>
    </row>
    <row r="33" spans="6:6">
      <c r="F33" s="304" t="s">
        <v>119</v>
      </c>
    </row>
  </sheetData>
  <mergeCells count="3">
    <mergeCell ref="A5:A6"/>
    <mergeCell ref="A7:A8"/>
    <mergeCell ref="A9:A10"/>
  </mergeCells>
  <pageMargins left="0.7" right="0.7" top="0.75" bottom="0.75" header="0.3" footer="0.3"/>
  <pageSetup paperSize="9" orientation="portrait" horizontalDpi="180" verticalDpi="18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zoomScale="80" zoomScaleNormal="80" workbookViewId="0">
      <selection activeCell="F3" sqref="F3"/>
    </sheetView>
  </sheetViews>
  <sheetFormatPr defaultColWidth="16.125" defaultRowHeight="14.25"/>
  <cols>
    <col min="2" max="2" width="22.5" customWidth="1"/>
    <col min="6" max="6" width="22.875" customWidth="1"/>
  </cols>
  <sheetData>
    <row r="1" ht="22.5" spans="1:11">
      <c r="A1" s="57" t="s">
        <v>0</v>
      </c>
      <c r="B1" s="245" t="s">
        <v>104</v>
      </c>
      <c r="C1" s="246" t="s">
        <v>2</v>
      </c>
      <c r="D1" s="246" t="s">
        <v>3</v>
      </c>
      <c r="E1" s="246" t="s">
        <v>4</v>
      </c>
      <c r="F1" s="247" t="s">
        <v>87</v>
      </c>
      <c r="G1" s="248" t="s">
        <v>6</v>
      </c>
      <c r="H1" s="246" t="s">
        <v>7</v>
      </c>
      <c r="I1" s="212"/>
      <c r="J1" s="212"/>
      <c r="K1" s="212"/>
    </row>
    <row r="2" ht="22.5" spans="1:11">
      <c r="A2" s="129" t="s">
        <v>8</v>
      </c>
      <c r="B2" s="227">
        <v>49410</v>
      </c>
      <c r="C2" s="198" t="s">
        <v>9</v>
      </c>
      <c r="D2" s="199">
        <v>3401</v>
      </c>
      <c r="E2" s="198" t="s">
        <v>27</v>
      </c>
      <c r="F2" s="201">
        <v>0.1</v>
      </c>
      <c r="G2" s="202"/>
      <c r="H2" s="198" t="s">
        <v>120</v>
      </c>
      <c r="I2" s="305" t="s">
        <v>121</v>
      </c>
      <c r="J2" s="212"/>
      <c r="K2" s="212"/>
    </row>
    <row r="3" ht="22.5" spans="1:11">
      <c r="A3" s="132"/>
      <c r="B3" s="270">
        <v>26400</v>
      </c>
      <c r="C3" s="198" t="s">
        <v>9</v>
      </c>
      <c r="D3" s="199">
        <v>2300</v>
      </c>
      <c r="E3" s="198" t="s">
        <v>27</v>
      </c>
      <c r="F3" s="285">
        <v>0.08</v>
      </c>
      <c r="G3" s="286"/>
      <c r="H3" s="198" t="s">
        <v>120</v>
      </c>
      <c r="I3" s="306"/>
      <c r="J3" s="212"/>
      <c r="K3" s="212"/>
    </row>
    <row r="4" ht="22.5" spans="1:11">
      <c r="A4" s="221" t="s">
        <v>55</v>
      </c>
      <c r="B4" s="287">
        <v>12660</v>
      </c>
      <c r="C4" s="216" t="s">
        <v>9</v>
      </c>
      <c r="D4" s="217">
        <v>3407</v>
      </c>
      <c r="E4" s="216" t="s">
        <v>27</v>
      </c>
      <c r="F4" s="218">
        <v>0.13</v>
      </c>
      <c r="G4" s="219"/>
      <c r="H4" s="216"/>
      <c r="I4" s="306"/>
      <c r="J4" s="212"/>
      <c r="K4" s="212"/>
    </row>
    <row r="5" ht="22.5" spans="1:11">
      <c r="A5" s="220" t="s">
        <v>61</v>
      </c>
      <c r="B5" s="197">
        <v>7680</v>
      </c>
      <c r="C5" s="198" t="s">
        <v>9</v>
      </c>
      <c r="D5" s="199" t="s">
        <v>79</v>
      </c>
      <c r="E5" s="198" t="s">
        <v>27</v>
      </c>
      <c r="F5" s="201">
        <v>0.16</v>
      </c>
      <c r="G5" s="202">
        <v>48000</v>
      </c>
      <c r="H5" s="198"/>
      <c r="I5" s="307"/>
      <c r="J5" s="212"/>
      <c r="K5" s="212"/>
    </row>
    <row r="6" ht="22.5" spans="1:11">
      <c r="A6" s="253" t="s">
        <v>52</v>
      </c>
      <c r="B6" s="222">
        <v>38352</v>
      </c>
      <c r="C6" s="216" t="s">
        <v>9</v>
      </c>
      <c r="D6" s="217" t="s">
        <v>53</v>
      </c>
      <c r="E6" s="216" t="s">
        <v>27</v>
      </c>
      <c r="F6" s="218">
        <v>0.188</v>
      </c>
      <c r="G6" s="219">
        <v>204000</v>
      </c>
      <c r="H6" s="216" t="s">
        <v>122</v>
      </c>
      <c r="I6" s="212"/>
      <c r="J6" s="284"/>
      <c r="K6" s="212"/>
    </row>
    <row r="7" ht="22.5" spans="1:11">
      <c r="A7" s="288"/>
      <c r="B7" s="222">
        <v>36180</v>
      </c>
      <c r="C7" s="216" t="s">
        <v>9</v>
      </c>
      <c r="D7" s="217" t="s">
        <v>53</v>
      </c>
      <c r="E7" s="216" t="s">
        <v>27</v>
      </c>
      <c r="F7" s="218">
        <v>0.18</v>
      </c>
      <c r="G7" s="219">
        <v>201000</v>
      </c>
      <c r="H7" s="216"/>
      <c r="I7" s="212"/>
      <c r="J7" s="284"/>
      <c r="K7" s="212"/>
    </row>
    <row r="8" ht="22.5" spans="1:11">
      <c r="A8" s="288"/>
      <c r="B8" s="222">
        <v>45954</v>
      </c>
      <c r="C8" s="216" t="s">
        <v>9</v>
      </c>
      <c r="D8" s="217" t="s">
        <v>73</v>
      </c>
      <c r="E8" s="216" t="s">
        <v>27</v>
      </c>
      <c r="F8" s="218">
        <v>0.138</v>
      </c>
      <c r="G8" s="219">
        <v>333000</v>
      </c>
      <c r="H8" s="216"/>
      <c r="I8" s="212"/>
      <c r="J8" s="284"/>
      <c r="K8" s="212"/>
    </row>
    <row r="9" ht="22.5" spans="1:11">
      <c r="A9" s="254"/>
      <c r="B9" s="222">
        <v>58290</v>
      </c>
      <c r="C9" s="216" t="s">
        <v>9</v>
      </c>
      <c r="D9" s="217" t="s">
        <v>73</v>
      </c>
      <c r="E9" s="216" t="s">
        <v>27</v>
      </c>
      <c r="F9" s="218">
        <v>0.145</v>
      </c>
      <c r="G9" s="219">
        <v>402000</v>
      </c>
      <c r="H9" s="216" t="s">
        <v>122</v>
      </c>
      <c r="I9" s="212"/>
      <c r="J9" s="212"/>
      <c r="K9" s="212"/>
    </row>
    <row r="10" ht="22.5" spans="1:11">
      <c r="A10" s="220" t="s">
        <v>123</v>
      </c>
      <c r="B10" s="197">
        <v>0</v>
      </c>
      <c r="C10" s="198" t="s">
        <v>9</v>
      </c>
      <c r="D10" s="199"/>
      <c r="E10" s="198"/>
      <c r="F10" s="201"/>
      <c r="G10" s="202"/>
      <c r="H10" s="198" t="s">
        <v>124</v>
      </c>
      <c r="I10" s="212"/>
      <c r="J10" s="212"/>
      <c r="K10" s="212"/>
    </row>
    <row r="11" ht="22.5" spans="1:11">
      <c r="A11" s="214" t="s">
        <v>70</v>
      </c>
      <c r="B11" s="289">
        <v>1332.05</v>
      </c>
      <c r="C11" s="216" t="s">
        <v>9</v>
      </c>
      <c r="D11" s="217" t="s">
        <v>73</v>
      </c>
      <c r="E11" s="216" t="s">
        <v>27</v>
      </c>
      <c r="F11" s="218">
        <v>0.148</v>
      </c>
      <c r="G11" s="219">
        <v>9000</v>
      </c>
      <c r="H11" s="216" t="s">
        <v>125</v>
      </c>
      <c r="I11" s="212"/>
      <c r="J11" s="212"/>
      <c r="K11" s="212"/>
    </row>
    <row r="12" ht="22.5" spans="1:11">
      <c r="A12" s="129" t="s">
        <v>42</v>
      </c>
      <c r="B12" s="197">
        <v>2610</v>
      </c>
      <c r="C12" s="198" t="s">
        <v>9</v>
      </c>
      <c r="D12" s="199" t="s">
        <v>126</v>
      </c>
      <c r="E12" s="198" t="s">
        <v>27</v>
      </c>
      <c r="F12" s="201">
        <v>0.435</v>
      </c>
      <c r="G12" s="202"/>
      <c r="H12" s="198" t="s">
        <v>65</v>
      </c>
      <c r="I12" s="212"/>
      <c r="J12" s="212"/>
      <c r="K12" s="212"/>
    </row>
    <row r="13" ht="22.5" spans="1:11">
      <c r="A13" s="131"/>
      <c r="B13" s="197">
        <v>12720</v>
      </c>
      <c r="C13" s="198" t="s">
        <v>9</v>
      </c>
      <c r="D13" s="199" t="s">
        <v>91</v>
      </c>
      <c r="E13" s="198" t="s">
        <v>27</v>
      </c>
      <c r="F13" s="201">
        <v>0.265</v>
      </c>
      <c r="G13" s="202"/>
      <c r="H13" s="198"/>
      <c r="I13" s="212"/>
      <c r="J13" s="212"/>
      <c r="K13" s="212"/>
    </row>
    <row r="14" ht="22.5" spans="1:11">
      <c r="A14" s="132"/>
      <c r="B14" s="197">
        <v>2520</v>
      </c>
      <c r="C14" s="198" t="s">
        <v>9</v>
      </c>
      <c r="D14" s="199" t="s">
        <v>91</v>
      </c>
      <c r="E14" s="198" t="s">
        <v>27</v>
      </c>
      <c r="F14" s="201">
        <v>0.28</v>
      </c>
      <c r="G14" s="202"/>
      <c r="H14" s="198"/>
      <c r="I14" s="212"/>
      <c r="J14" s="212"/>
      <c r="K14" s="212"/>
    </row>
    <row r="15" ht="27" customHeight="1" spans="1:11">
      <c r="A15" s="221" t="s">
        <v>106</v>
      </c>
      <c r="B15" s="222">
        <v>3120</v>
      </c>
      <c r="C15" s="216" t="s">
        <v>9</v>
      </c>
      <c r="D15" s="217" t="s">
        <v>73</v>
      </c>
      <c r="E15" s="216" t="s">
        <v>27</v>
      </c>
      <c r="F15" s="218" t="s">
        <v>127</v>
      </c>
      <c r="G15" s="219">
        <v>24000</v>
      </c>
      <c r="H15" s="216"/>
      <c r="I15" s="212"/>
      <c r="J15" s="212"/>
      <c r="K15" s="212"/>
    </row>
    <row r="16" ht="22.5" spans="1:11">
      <c r="A16" s="129" t="s">
        <v>77</v>
      </c>
      <c r="B16" s="197">
        <v>53760</v>
      </c>
      <c r="C16" s="198" t="s">
        <v>9</v>
      </c>
      <c r="D16" s="199" t="s">
        <v>92</v>
      </c>
      <c r="E16" s="198" t="s">
        <v>27</v>
      </c>
      <c r="F16" s="201">
        <v>0.16</v>
      </c>
      <c r="G16" s="202">
        <v>336000</v>
      </c>
      <c r="H16" s="275" t="s">
        <v>65</v>
      </c>
      <c r="I16" s="212"/>
      <c r="J16" s="212"/>
      <c r="K16" s="212"/>
    </row>
    <row r="17" ht="22.5" spans="1:11">
      <c r="A17" s="132"/>
      <c r="B17" s="197">
        <v>5880</v>
      </c>
      <c r="C17" s="198" t="s">
        <v>9</v>
      </c>
      <c r="D17" s="199" t="s">
        <v>91</v>
      </c>
      <c r="E17" s="198" t="s">
        <v>27</v>
      </c>
      <c r="F17" s="201">
        <v>0.28</v>
      </c>
      <c r="G17" s="202">
        <v>21000</v>
      </c>
      <c r="H17" s="275" t="s">
        <v>65</v>
      </c>
      <c r="I17" s="212"/>
      <c r="J17" s="212"/>
      <c r="K17" s="212"/>
    </row>
    <row r="18" ht="22.5" spans="1:11">
      <c r="A18" s="129" t="s">
        <v>14</v>
      </c>
      <c r="B18" s="197">
        <v>101280</v>
      </c>
      <c r="C18" s="198" t="s">
        <v>9</v>
      </c>
      <c r="D18" s="199" t="s">
        <v>79</v>
      </c>
      <c r="E18" s="198" t="s">
        <v>27</v>
      </c>
      <c r="F18" s="201">
        <v>0.16</v>
      </c>
      <c r="G18" s="202"/>
      <c r="H18" s="198" t="s">
        <v>96</v>
      </c>
      <c r="I18" s="212"/>
      <c r="J18" s="212"/>
      <c r="K18" s="212"/>
    </row>
    <row r="19" ht="22.5" spans="1:11">
      <c r="A19" s="132"/>
      <c r="B19" s="197">
        <v>3780</v>
      </c>
      <c r="C19" s="198" t="s">
        <v>9</v>
      </c>
      <c r="D19" s="199" t="s">
        <v>53</v>
      </c>
      <c r="E19" s="198" t="s">
        <v>27</v>
      </c>
      <c r="F19" s="201">
        <v>0.18</v>
      </c>
      <c r="G19" s="202">
        <v>21000</v>
      </c>
      <c r="H19" s="198"/>
      <c r="I19" s="212"/>
      <c r="J19" s="212"/>
      <c r="K19" s="212"/>
    </row>
    <row r="20" ht="22.5" spans="1:11">
      <c r="A20" s="221" t="s">
        <v>75</v>
      </c>
      <c r="B20" s="222">
        <v>6570</v>
      </c>
      <c r="C20" s="216" t="s">
        <v>9</v>
      </c>
      <c r="D20" s="217">
        <v>3407</v>
      </c>
      <c r="E20" s="216" t="s">
        <v>27</v>
      </c>
      <c r="F20" s="218">
        <v>0.13</v>
      </c>
      <c r="G20" s="219"/>
      <c r="H20" s="216"/>
      <c r="I20" s="212"/>
      <c r="J20" s="212"/>
      <c r="K20" s="212"/>
    </row>
    <row r="21" ht="22.5" spans="1:11">
      <c r="A21" s="220" t="s">
        <v>90</v>
      </c>
      <c r="B21" s="197">
        <v>2700</v>
      </c>
      <c r="C21" s="198" t="s">
        <v>9</v>
      </c>
      <c r="D21" s="199">
        <v>3401</v>
      </c>
      <c r="E21" s="198" t="s">
        <v>27</v>
      </c>
      <c r="F21" s="201">
        <v>0.15</v>
      </c>
      <c r="G21" s="202">
        <v>18000</v>
      </c>
      <c r="H21" s="198"/>
      <c r="I21" s="212"/>
      <c r="J21" s="212"/>
      <c r="K21" s="212"/>
    </row>
    <row r="22" ht="22.5" spans="1:11">
      <c r="A22" s="221" t="s">
        <v>111</v>
      </c>
      <c r="B22" s="222">
        <v>112200</v>
      </c>
      <c r="C22" s="216" t="s">
        <v>9</v>
      </c>
      <c r="D22" s="217" t="s">
        <v>92</v>
      </c>
      <c r="E22" s="216" t="s">
        <v>27</v>
      </c>
      <c r="F22" s="218">
        <v>0.17</v>
      </c>
      <c r="G22" s="219">
        <v>660000</v>
      </c>
      <c r="H22" s="216" t="s">
        <v>65</v>
      </c>
      <c r="I22" s="212"/>
      <c r="J22" s="212"/>
      <c r="K22" s="212"/>
    </row>
    <row r="23" ht="22.5" spans="1:11">
      <c r="A23" s="220" t="s">
        <v>64</v>
      </c>
      <c r="B23" s="197">
        <v>570</v>
      </c>
      <c r="C23" s="198" t="s">
        <v>9</v>
      </c>
      <c r="D23" s="199" t="s">
        <v>53</v>
      </c>
      <c r="E23" s="198" t="s">
        <v>27</v>
      </c>
      <c r="F23" s="201">
        <v>0.19</v>
      </c>
      <c r="G23" s="202">
        <v>3000</v>
      </c>
      <c r="H23" s="198"/>
      <c r="I23" s="212"/>
      <c r="J23" s="212"/>
      <c r="K23" s="212"/>
    </row>
    <row r="24" ht="22.5" spans="1:11">
      <c r="A24" s="290" t="s">
        <v>17</v>
      </c>
      <c r="B24" s="291">
        <v>583968.05</v>
      </c>
      <c r="C24" s="225"/>
      <c r="D24" s="225"/>
      <c r="E24" s="225"/>
      <c r="F24" s="225"/>
      <c r="G24" s="225"/>
      <c r="H24" s="225"/>
      <c r="I24" s="212"/>
      <c r="J24" s="212"/>
      <c r="K24" s="212"/>
    </row>
    <row r="25" spans="1:11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</row>
    <row r="26" spans="1:11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</row>
    <row r="27" ht="27" customHeight="1" spans="1:8">
      <c r="A27" s="147" t="s">
        <v>0</v>
      </c>
      <c r="B27" s="179" t="s">
        <v>1</v>
      </c>
      <c r="C27" s="161" t="s">
        <v>2</v>
      </c>
      <c r="D27" s="161" t="s">
        <v>3</v>
      </c>
      <c r="E27" s="161" t="s">
        <v>4</v>
      </c>
      <c r="F27" s="180" t="s">
        <v>21</v>
      </c>
      <c r="G27" s="185" t="s">
        <v>6</v>
      </c>
      <c r="H27" s="161" t="s">
        <v>7</v>
      </c>
    </row>
    <row r="28" ht="27" customHeight="1" spans="1:8">
      <c r="A28" s="292" t="s">
        <v>97</v>
      </c>
      <c r="B28" s="293">
        <f>G28*F28</f>
        <v>7632</v>
      </c>
      <c r="C28" s="294" t="s">
        <v>112</v>
      </c>
      <c r="D28" s="294" t="s">
        <v>101</v>
      </c>
      <c r="E28" s="294" t="s">
        <v>100</v>
      </c>
      <c r="F28" s="294">
        <v>1272</v>
      </c>
      <c r="G28" s="294">
        <v>6</v>
      </c>
      <c r="H28" s="294" t="s">
        <v>128</v>
      </c>
    </row>
    <row r="29" ht="27" customHeight="1" spans="1:8">
      <c r="A29" s="292" t="s">
        <v>97</v>
      </c>
      <c r="B29" s="293">
        <f>G29*F29</f>
        <v>3816</v>
      </c>
      <c r="C29" s="294" t="s">
        <v>112</v>
      </c>
      <c r="D29" s="294" t="s">
        <v>129</v>
      </c>
      <c r="E29" s="294" t="s">
        <v>100</v>
      </c>
      <c r="F29" s="294">
        <v>1272</v>
      </c>
      <c r="G29" s="294">
        <v>3</v>
      </c>
      <c r="H29" s="294" t="s">
        <v>128</v>
      </c>
    </row>
    <row r="30" ht="27" customHeight="1" spans="1:8">
      <c r="A30" s="292" t="s">
        <v>97</v>
      </c>
      <c r="B30" s="293">
        <f t="shared" ref="B30:B38" si="0">G30*F30</f>
        <v>5088</v>
      </c>
      <c r="C30" s="294" t="s">
        <v>112</v>
      </c>
      <c r="D30" s="294" t="s">
        <v>114</v>
      </c>
      <c r="E30" s="294" t="s">
        <v>100</v>
      </c>
      <c r="F30" s="294">
        <v>1272</v>
      </c>
      <c r="G30" s="294">
        <v>4</v>
      </c>
      <c r="H30" s="294" t="s">
        <v>128</v>
      </c>
    </row>
    <row r="31" ht="27" customHeight="1" spans="1:8">
      <c r="A31" s="292" t="s">
        <v>97</v>
      </c>
      <c r="B31" s="293">
        <f t="shared" si="0"/>
        <v>6360</v>
      </c>
      <c r="C31" s="294" t="s">
        <v>112</v>
      </c>
      <c r="D31" s="294" t="s">
        <v>113</v>
      </c>
      <c r="E31" s="294" t="s">
        <v>100</v>
      </c>
      <c r="F31" s="294">
        <v>1272</v>
      </c>
      <c r="G31" s="294">
        <v>5</v>
      </c>
      <c r="H31" s="294" t="s">
        <v>128</v>
      </c>
    </row>
    <row r="32" ht="27" customHeight="1" spans="1:8">
      <c r="A32" s="292" t="s">
        <v>97</v>
      </c>
      <c r="B32" s="293">
        <f t="shared" si="0"/>
        <v>11448</v>
      </c>
      <c r="C32" s="294" t="s">
        <v>112</v>
      </c>
      <c r="D32" s="294" t="s">
        <v>115</v>
      </c>
      <c r="E32" s="294" t="s">
        <v>100</v>
      </c>
      <c r="F32" s="294">
        <v>1272</v>
      </c>
      <c r="G32" s="294">
        <v>9</v>
      </c>
      <c r="H32" s="294" t="s">
        <v>128</v>
      </c>
    </row>
    <row r="33" ht="27" customHeight="1" spans="1:8">
      <c r="A33" s="292" t="s">
        <v>97</v>
      </c>
      <c r="B33" s="265">
        <f t="shared" si="0"/>
        <v>24752</v>
      </c>
      <c r="C33" s="294" t="s">
        <v>112</v>
      </c>
      <c r="D33" s="264" t="s">
        <v>130</v>
      </c>
      <c r="E33" s="264" t="s">
        <v>100</v>
      </c>
      <c r="F33" s="264">
        <v>1456</v>
      </c>
      <c r="G33" s="295">
        <v>17</v>
      </c>
      <c r="H33" s="264"/>
    </row>
    <row r="34" ht="27" customHeight="1" spans="1:8">
      <c r="A34" s="292" t="s">
        <v>97</v>
      </c>
      <c r="B34" s="265">
        <f t="shared" si="0"/>
        <v>185000</v>
      </c>
      <c r="C34" s="294" t="s">
        <v>112</v>
      </c>
      <c r="D34" s="264" t="s">
        <v>99</v>
      </c>
      <c r="E34" s="264" t="s">
        <v>100</v>
      </c>
      <c r="F34" s="264">
        <v>1850</v>
      </c>
      <c r="G34" s="295">
        <v>100</v>
      </c>
      <c r="H34" s="264"/>
    </row>
    <row r="35" ht="27" customHeight="1" spans="1:8">
      <c r="A35" s="292" t="s">
        <v>97</v>
      </c>
      <c r="B35" s="265">
        <f t="shared" si="0"/>
        <v>45200</v>
      </c>
      <c r="C35" s="294" t="s">
        <v>112</v>
      </c>
      <c r="D35" s="295" t="s">
        <v>101</v>
      </c>
      <c r="E35" s="295" t="s">
        <v>100</v>
      </c>
      <c r="F35" s="295">
        <v>1808</v>
      </c>
      <c r="G35" s="295">
        <v>25</v>
      </c>
      <c r="H35" s="264"/>
    </row>
    <row r="36" ht="27" customHeight="1" spans="1:8">
      <c r="A36" s="292" t="s">
        <v>97</v>
      </c>
      <c r="B36" s="265">
        <f t="shared" si="0"/>
        <v>84976</v>
      </c>
      <c r="C36" s="294" t="s">
        <v>112</v>
      </c>
      <c r="D36" s="264" t="s">
        <v>113</v>
      </c>
      <c r="E36" s="264" t="s">
        <v>100</v>
      </c>
      <c r="F36" s="264">
        <v>1808</v>
      </c>
      <c r="G36" s="295">
        <v>47</v>
      </c>
      <c r="H36" s="264"/>
    </row>
    <row r="37" ht="27" customHeight="1" spans="1:8">
      <c r="A37" s="292" t="s">
        <v>97</v>
      </c>
      <c r="B37" s="265">
        <f t="shared" si="0"/>
        <v>45200</v>
      </c>
      <c r="C37" s="294" t="s">
        <v>112</v>
      </c>
      <c r="D37" s="264" t="s">
        <v>129</v>
      </c>
      <c r="E37" s="264" t="s">
        <v>100</v>
      </c>
      <c r="F37" s="264">
        <v>1808</v>
      </c>
      <c r="G37" s="295">
        <v>25</v>
      </c>
      <c r="H37" s="264"/>
    </row>
    <row r="38" ht="27" customHeight="1" spans="1:8">
      <c r="A38" s="292" t="s">
        <v>97</v>
      </c>
      <c r="B38" s="265">
        <f t="shared" si="0"/>
        <v>63555</v>
      </c>
      <c r="C38" s="294" t="s">
        <v>112</v>
      </c>
      <c r="D38" s="264" t="s">
        <v>131</v>
      </c>
      <c r="E38" s="264" t="s">
        <v>100</v>
      </c>
      <c r="F38" s="264">
        <v>1115</v>
      </c>
      <c r="G38" s="295">
        <v>57</v>
      </c>
      <c r="H38" s="264"/>
    </row>
    <row r="39" ht="27" customHeight="1" spans="1:8">
      <c r="A39" s="296" t="s">
        <v>17</v>
      </c>
      <c r="B39" s="297">
        <v>483027</v>
      </c>
      <c r="C39" s="294"/>
      <c r="D39" s="264"/>
      <c r="E39" s="264"/>
      <c r="F39" s="264"/>
      <c r="G39" s="295"/>
      <c r="H39" s="295"/>
    </row>
    <row r="40" ht="27.75" customHeight="1" spans="1:8">
      <c r="A40" s="298" t="s">
        <v>132</v>
      </c>
      <c r="B40" s="265">
        <v>2000</v>
      </c>
      <c r="C40" s="294" t="s">
        <v>112</v>
      </c>
      <c r="D40" s="231" t="s">
        <v>133</v>
      </c>
      <c r="E40" s="231" t="s">
        <v>100</v>
      </c>
      <c r="F40" s="231" t="s">
        <v>134</v>
      </c>
      <c r="G40" s="231"/>
      <c r="H40" s="264"/>
    </row>
    <row r="41" ht="27.75" customHeight="1" spans="1:8">
      <c r="A41" s="299" t="s">
        <v>135</v>
      </c>
      <c r="B41" s="300">
        <v>3780.1</v>
      </c>
      <c r="C41" s="294" t="s">
        <v>112</v>
      </c>
      <c r="D41" s="301" t="s">
        <v>136</v>
      </c>
      <c r="E41" s="301" t="s">
        <v>100</v>
      </c>
      <c r="F41" s="301">
        <v>1890.08</v>
      </c>
      <c r="G41" s="301">
        <v>2</v>
      </c>
      <c r="H41" s="299"/>
    </row>
    <row r="42" ht="27.75" customHeight="1" spans="1:8">
      <c r="A42" s="302" t="s">
        <v>137</v>
      </c>
      <c r="B42" s="303">
        <v>5780.1</v>
      </c>
      <c r="C42" s="264"/>
      <c r="D42" s="264"/>
      <c r="E42" s="264"/>
      <c r="F42" s="264"/>
      <c r="G42" s="231"/>
      <c r="H42" s="264"/>
    </row>
    <row r="43" ht="27.75" customHeight="1" spans="1:11">
      <c r="A43" s="264"/>
      <c r="B43" s="265"/>
      <c r="C43" s="264"/>
      <c r="D43" s="264"/>
      <c r="E43" s="264"/>
      <c r="F43" s="302" t="s">
        <v>138</v>
      </c>
      <c r="G43" s="231"/>
      <c r="H43" s="264"/>
      <c r="J43" s="42">
        <v>42430</v>
      </c>
      <c r="K43" s="41">
        <v>103800</v>
      </c>
    </row>
    <row r="44" ht="27.75" customHeight="1" spans="1:11">
      <c r="A44" s="264"/>
      <c r="B44" s="265"/>
      <c r="C44" s="264"/>
      <c r="D44" s="264"/>
      <c r="E44" s="264"/>
      <c r="F44" s="264"/>
      <c r="G44" s="231"/>
      <c r="H44" s="264"/>
      <c r="J44" s="40" t="s">
        <v>22</v>
      </c>
      <c r="K44" s="41">
        <v>43200</v>
      </c>
    </row>
    <row r="45" ht="27.75" customHeight="1" spans="1:11">
      <c r="A45" s="264"/>
      <c r="B45" s="265"/>
      <c r="C45" s="264"/>
      <c r="D45" s="264"/>
      <c r="E45" s="264"/>
      <c r="F45" s="264"/>
      <c r="G45" s="231"/>
      <c r="H45" s="264"/>
      <c r="J45" s="40" t="s">
        <v>139</v>
      </c>
      <c r="K45" s="41">
        <v>39900</v>
      </c>
    </row>
    <row r="46" ht="27.75" customHeight="1" spans="1:11">
      <c r="A46" s="264"/>
      <c r="B46" s="265"/>
      <c r="C46" s="264"/>
      <c r="D46" s="264"/>
      <c r="E46" s="264"/>
      <c r="F46" s="264"/>
      <c r="G46" s="231"/>
      <c r="H46" s="264"/>
      <c r="J46" s="40" t="s">
        <v>28</v>
      </c>
      <c r="K46" s="41">
        <v>32400</v>
      </c>
    </row>
    <row r="47" ht="27.75" customHeight="1" spans="1:11">
      <c r="A47" s="264"/>
      <c r="B47" s="265"/>
      <c r="C47" s="264"/>
      <c r="D47" s="264"/>
      <c r="E47" s="264"/>
      <c r="F47" s="264"/>
      <c r="G47" s="231"/>
      <c r="H47" s="264"/>
      <c r="J47" s="40" t="s">
        <v>31</v>
      </c>
      <c r="K47" s="41">
        <v>111900</v>
      </c>
    </row>
    <row r="48" spans="10:11">
      <c r="J48" s="40" t="s">
        <v>32</v>
      </c>
      <c r="K48" s="41">
        <v>135939</v>
      </c>
    </row>
    <row r="49" spans="10:11">
      <c r="J49" s="40" t="s">
        <v>140</v>
      </c>
      <c r="K49" s="41">
        <v>186045</v>
      </c>
    </row>
    <row r="50" ht="29.25" customHeight="1" spans="6:11">
      <c r="F50" s="304" t="s">
        <v>141</v>
      </c>
      <c r="J50" s="40" t="s">
        <v>142</v>
      </c>
      <c r="K50" s="41">
        <v>133782.6</v>
      </c>
    </row>
    <row r="51" spans="10:11">
      <c r="J51" s="42">
        <v>42736</v>
      </c>
      <c r="K51" s="41">
        <v>117630</v>
      </c>
    </row>
    <row r="52" spans="10:11">
      <c r="J52" s="40" t="s">
        <v>60</v>
      </c>
      <c r="K52" s="41">
        <v>56680</v>
      </c>
    </row>
    <row r="53" spans="10:11">
      <c r="J53" s="41" t="s">
        <v>58</v>
      </c>
      <c r="K53" s="43">
        <v>172605</v>
      </c>
    </row>
    <row r="54" spans="10:11">
      <c r="J54" s="41" t="s">
        <v>22</v>
      </c>
      <c r="K54" s="41">
        <v>224673</v>
      </c>
    </row>
    <row r="55" spans="10:11">
      <c r="J55" s="41" t="s">
        <v>24</v>
      </c>
      <c r="K55" s="41">
        <v>313761</v>
      </c>
    </row>
    <row r="56" spans="10:11">
      <c r="J56" s="41" t="s">
        <v>25</v>
      </c>
      <c r="K56" s="41">
        <v>561401.3</v>
      </c>
    </row>
    <row r="57" spans="10:11">
      <c r="J57" s="40" t="s">
        <v>28</v>
      </c>
      <c r="K57" s="41">
        <v>489075.24</v>
      </c>
    </row>
    <row r="58" spans="10:11">
      <c r="J58" s="40" t="s">
        <v>143</v>
      </c>
      <c r="K58" s="41">
        <v>1072775.15</v>
      </c>
    </row>
    <row r="59" spans="10:11">
      <c r="J59" s="41"/>
      <c r="K59" s="41"/>
    </row>
    <row r="60" spans="10:11">
      <c r="J60" s="41"/>
      <c r="K60" s="41"/>
    </row>
  </sheetData>
  <mergeCells count="6">
    <mergeCell ref="A2:A3"/>
    <mergeCell ref="A6:A9"/>
    <mergeCell ref="A12:A14"/>
    <mergeCell ref="A16:A17"/>
    <mergeCell ref="A18:A19"/>
    <mergeCell ref="I2:I5"/>
  </mergeCells>
  <pageMargins left="0.7" right="0.7" top="0.75" bottom="0.75" header="0.3" footer="0.3"/>
  <pageSetup paperSize="9" orientation="portrait" horizontalDpi="180" verticalDpi="18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B12" sqref="B12"/>
    </sheetView>
  </sheetViews>
  <sheetFormatPr defaultColWidth="16.125" defaultRowHeight="14.25"/>
  <cols>
    <col min="2" max="2" width="22.5" customWidth="1"/>
    <col min="6" max="6" width="22.875" customWidth="1"/>
    <col min="7" max="7" width="18.625" customWidth="1"/>
  </cols>
  <sheetData>
    <row r="1" ht="22.5" spans="1:10">
      <c r="A1" s="57" t="s">
        <v>0</v>
      </c>
      <c r="B1" s="245" t="s">
        <v>104</v>
      </c>
      <c r="C1" s="246" t="s">
        <v>2</v>
      </c>
      <c r="D1" s="246" t="s">
        <v>3</v>
      </c>
      <c r="E1" s="246" t="s">
        <v>4</v>
      </c>
      <c r="F1" s="247" t="s">
        <v>87</v>
      </c>
      <c r="G1" s="248" t="s">
        <v>6</v>
      </c>
      <c r="H1" s="246" t="s">
        <v>7</v>
      </c>
      <c r="I1" s="212"/>
      <c r="J1" s="212"/>
    </row>
    <row r="2" ht="22.5" spans="1:10">
      <c r="A2" s="274" t="s">
        <v>8</v>
      </c>
      <c r="B2" s="245" t="s">
        <v>134</v>
      </c>
      <c r="C2" s="198"/>
      <c r="D2" s="198"/>
      <c r="E2" s="198"/>
      <c r="F2" s="275"/>
      <c r="G2" s="202"/>
      <c r="H2" s="198" t="s">
        <v>144</v>
      </c>
      <c r="I2" s="212"/>
      <c r="J2" s="212"/>
    </row>
    <row r="3" ht="22.5" spans="1:10">
      <c r="A3" s="253" t="s">
        <v>145</v>
      </c>
      <c r="B3" s="276">
        <v>44400</v>
      </c>
      <c r="C3" s="216" t="s">
        <v>9</v>
      </c>
      <c r="D3" s="217" t="s">
        <v>146</v>
      </c>
      <c r="E3" s="216" t="s">
        <v>27</v>
      </c>
      <c r="F3" s="218">
        <v>0.185</v>
      </c>
      <c r="G3" s="219">
        <v>240000</v>
      </c>
      <c r="H3" s="216"/>
      <c r="I3" s="212"/>
      <c r="J3" s="212"/>
    </row>
    <row r="4" ht="22.5" spans="1:10">
      <c r="A4" s="57" t="s">
        <v>55</v>
      </c>
      <c r="B4" s="277">
        <v>7260</v>
      </c>
      <c r="C4" s="198" t="s">
        <v>9</v>
      </c>
      <c r="D4" s="199">
        <v>3407</v>
      </c>
      <c r="E4" s="198" t="s">
        <v>27</v>
      </c>
      <c r="F4" s="201">
        <v>0.13</v>
      </c>
      <c r="G4" s="202"/>
      <c r="H4" s="198"/>
      <c r="I4" s="212"/>
      <c r="J4" s="212"/>
    </row>
    <row r="5" ht="22.5" spans="1:10">
      <c r="A5" s="221" t="s">
        <v>61</v>
      </c>
      <c r="B5" s="278">
        <v>3840</v>
      </c>
      <c r="C5" s="216" t="s">
        <v>9</v>
      </c>
      <c r="D5" s="217" t="s">
        <v>79</v>
      </c>
      <c r="E5" s="216" t="s">
        <v>27</v>
      </c>
      <c r="F5" s="218">
        <v>0.16</v>
      </c>
      <c r="G5" s="219">
        <v>24000</v>
      </c>
      <c r="H5" s="216"/>
      <c r="I5" s="212"/>
      <c r="J5" s="212"/>
    </row>
    <row r="6" ht="22.5" spans="1:11">
      <c r="A6" s="226" t="s">
        <v>52</v>
      </c>
      <c r="B6" s="278">
        <v>21600</v>
      </c>
      <c r="C6" s="198" t="s">
        <v>9</v>
      </c>
      <c r="D6" s="199" t="s">
        <v>53</v>
      </c>
      <c r="E6" s="198" t="s">
        <v>27</v>
      </c>
      <c r="F6" s="201">
        <v>0.18</v>
      </c>
      <c r="G6" s="202">
        <v>120000</v>
      </c>
      <c r="H6" s="198" t="s">
        <v>147</v>
      </c>
      <c r="I6" s="212"/>
      <c r="J6" s="284"/>
      <c r="K6" s="212"/>
    </row>
    <row r="7" ht="22.5" spans="1:11">
      <c r="A7" s="221" t="s">
        <v>123</v>
      </c>
      <c r="B7" s="278">
        <v>13500</v>
      </c>
      <c r="C7" s="216" t="s">
        <v>9</v>
      </c>
      <c r="D7" s="217" t="s">
        <v>148</v>
      </c>
      <c r="E7" s="216" t="s">
        <v>27</v>
      </c>
      <c r="F7" s="218">
        <v>0.15</v>
      </c>
      <c r="G7" s="219">
        <v>90000</v>
      </c>
      <c r="H7" s="216" t="s">
        <v>149</v>
      </c>
      <c r="I7" s="212"/>
      <c r="J7" s="212"/>
      <c r="K7" s="212"/>
    </row>
    <row r="8" ht="22.5" spans="1:11">
      <c r="A8" s="220" t="s">
        <v>95</v>
      </c>
      <c r="B8" s="278">
        <v>5700</v>
      </c>
      <c r="C8" s="198" t="s">
        <v>9</v>
      </c>
      <c r="D8" s="199" t="s">
        <v>126</v>
      </c>
      <c r="E8" s="198" t="s">
        <v>27</v>
      </c>
      <c r="F8" s="201">
        <v>0.475</v>
      </c>
      <c r="G8" s="202">
        <v>12000</v>
      </c>
      <c r="H8" s="198"/>
      <c r="I8" s="212"/>
      <c r="J8" s="212"/>
      <c r="K8" s="212"/>
    </row>
    <row r="9" ht="22.5" spans="1:11">
      <c r="A9" s="214" t="s">
        <v>70</v>
      </c>
      <c r="B9" s="279">
        <v>1776.06</v>
      </c>
      <c r="C9" s="216" t="s">
        <v>9</v>
      </c>
      <c r="D9" s="217" t="s">
        <v>73</v>
      </c>
      <c r="E9" s="216" t="s">
        <v>27</v>
      </c>
      <c r="F9" s="218">
        <v>0.148</v>
      </c>
      <c r="G9" s="219">
        <v>12000</v>
      </c>
      <c r="H9" s="216" t="s">
        <v>125</v>
      </c>
      <c r="I9" s="212"/>
      <c r="J9" s="212"/>
      <c r="K9" s="212"/>
    </row>
    <row r="10" ht="22.5" spans="1:11">
      <c r="A10" s="129" t="s">
        <v>42</v>
      </c>
      <c r="B10" s="278">
        <v>2850</v>
      </c>
      <c r="C10" s="198" t="s">
        <v>9</v>
      </c>
      <c r="D10" s="199" t="s">
        <v>126</v>
      </c>
      <c r="E10" s="198" t="s">
        <v>27</v>
      </c>
      <c r="F10" s="201">
        <v>0.475</v>
      </c>
      <c r="G10" s="202">
        <v>6000</v>
      </c>
      <c r="H10" s="198" t="s">
        <v>65</v>
      </c>
      <c r="I10" s="212"/>
      <c r="J10" s="212"/>
      <c r="K10" s="212"/>
    </row>
    <row r="11" ht="22.5" spans="1:11">
      <c r="A11" s="132"/>
      <c r="B11" s="278">
        <v>15960</v>
      </c>
      <c r="C11" s="198" t="s">
        <v>9</v>
      </c>
      <c r="D11" s="199" t="s">
        <v>91</v>
      </c>
      <c r="E11" s="198" t="s">
        <v>27</v>
      </c>
      <c r="F11" s="201">
        <v>0.28</v>
      </c>
      <c r="G11" s="202">
        <v>57000</v>
      </c>
      <c r="H11" s="198"/>
      <c r="I11" s="212"/>
      <c r="J11" s="212"/>
      <c r="K11" s="212"/>
    </row>
    <row r="12" ht="27" customHeight="1" spans="1:11">
      <c r="A12" s="271" t="s">
        <v>106</v>
      </c>
      <c r="B12" s="222"/>
      <c r="C12" s="216" t="s">
        <v>9</v>
      </c>
      <c r="D12" s="217" t="s">
        <v>73</v>
      </c>
      <c r="E12" s="216" t="s">
        <v>27</v>
      </c>
      <c r="F12" s="218">
        <v>0.111111</v>
      </c>
      <c r="G12" s="219"/>
      <c r="H12" s="216"/>
      <c r="I12" s="212"/>
      <c r="J12" s="212"/>
      <c r="K12" s="212"/>
    </row>
    <row r="13" ht="22.5" spans="1:11">
      <c r="A13" s="129" t="s">
        <v>77</v>
      </c>
      <c r="B13" s="278">
        <v>113280</v>
      </c>
      <c r="C13" s="198" t="s">
        <v>9</v>
      </c>
      <c r="D13" s="199" t="s">
        <v>92</v>
      </c>
      <c r="E13" s="198" t="s">
        <v>27</v>
      </c>
      <c r="F13" s="201">
        <v>0.16</v>
      </c>
      <c r="G13" s="202">
        <v>708000</v>
      </c>
      <c r="H13" s="275" t="s">
        <v>65</v>
      </c>
      <c r="I13" s="212"/>
      <c r="J13" s="212"/>
      <c r="K13" s="212"/>
    </row>
    <row r="14" ht="22.5" spans="1:11">
      <c r="A14" s="129" t="s">
        <v>14</v>
      </c>
      <c r="B14" s="278">
        <v>28140</v>
      </c>
      <c r="C14" s="198" t="s">
        <v>9</v>
      </c>
      <c r="D14" s="199" t="s">
        <v>73</v>
      </c>
      <c r="E14" s="198" t="s">
        <v>27</v>
      </c>
      <c r="F14" s="201">
        <v>0.14</v>
      </c>
      <c r="G14" s="202">
        <v>201000</v>
      </c>
      <c r="H14" s="198" t="s">
        <v>96</v>
      </c>
      <c r="I14" s="212"/>
      <c r="J14" s="212"/>
      <c r="K14" s="212"/>
    </row>
    <row r="15" ht="22.5" spans="1:11">
      <c r="A15" s="132"/>
      <c r="B15" s="278">
        <v>10800</v>
      </c>
      <c r="C15" s="198" t="s">
        <v>9</v>
      </c>
      <c r="D15" s="199" t="s">
        <v>53</v>
      </c>
      <c r="E15" s="198" t="s">
        <v>27</v>
      </c>
      <c r="F15" s="201">
        <v>0.18</v>
      </c>
      <c r="G15" s="202">
        <v>60000</v>
      </c>
      <c r="H15" s="198"/>
      <c r="I15" s="212"/>
      <c r="J15" s="212"/>
      <c r="K15" s="212"/>
    </row>
    <row r="16" ht="22.5" spans="1:11">
      <c r="A16" s="221" t="s">
        <v>75</v>
      </c>
      <c r="B16" s="278">
        <v>3900</v>
      </c>
      <c r="C16" s="216" t="s">
        <v>9</v>
      </c>
      <c r="D16" s="217">
        <v>3407</v>
      </c>
      <c r="E16" s="216" t="s">
        <v>27</v>
      </c>
      <c r="F16" s="218">
        <v>0.13</v>
      </c>
      <c r="G16" s="219">
        <v>30000</v>
      </c>
      <c r="H16" s="216"/>
      <c r="I16" s="212"/>
      <c r="J16" s="212"/>
      <c r="K16" s="212"/>
    </row>
    <row r="17" ht="22.5" spans="1:11">
      <c r="A17" s="220" t="s">
        <v>90</v>
      </c>
      <c r="B17" s="278">
        <v>6750</v>
      </c>
      <c r="C17" s="198" t="s">
        <v>9</v>
      </c>
      <c r="D17" s="199">
        <v>3401</v>
      </c>
      <c r="E17" s="198" t="s">
        <v>27</v>
      </c>
      <c r="F17" s="201">
        <v>0.15</v>
      </c>
      <c r="G17" s="202">
        <v>45000</v>
      </c>
      <c r="H17" s="198"/>
      <c r="I17" s="212"/>
      <c r="J17" s="212"/>
      <c r="K17" s="212"/>
    </row>
    <row r="18" ht="22.5" spans="1:11">
      <c r="A18" s="221" t="s">
        <v>111</v>
      </c>
      <c r="B18" s="278">
        <v>207060</v>
      </c>
      <c r="C18" s="216" t="s">
        <v>9</v>
      </c>
      <c r="D18" s="217" t="s">
        <v>92</v>
      </c>
      <c r="E18" s="216" t="s">
        <v>27</v>
      </c>
      <c r="F18" s="218">
        <v>0.17</v>
      </c>
      <c r="G18" s="219">
        <v>1218000</v>
      </c>
      <c r="H18" s="216" t="s">
        <v>65</v>
      </c>
      <c r="I18" s="212"/>
      <c r="J18" s="212"/>
      <c r="K18" s="212"/>
    </row>
    <row r="19" ht="22.5" spans="1:11">
      <c r="A19" s="220" t="s">
        <v>64</v>
      </c>
      <c r="B19" s="278">
        <v>4560</v>
      </c>
      <c r="C19" s="198" t="s">
        <v>9</v>
      </c>
      <c r="D19" s="199" t="s">
        <v>53</v>
      </c>
      <c r="E19" s="198" t="s">
        <v>27</v>
      </c>
      <c r="F19" s="201">
        <v>0.19</v>
      </c>
      <c r="G19" s="202">
        <v>24000</v>
      </c>
      <c r="H19" s="198"/>
      <c r="I19" s="212"/>
      <c r="J19" s="212"/>
      <c r="K19" s="212"/>
    </row>
    <row r="20" ht="22.5" spans="1:11">
      <c r="A20" s="211" t="s">
        <v>150</v>
      </c>
      <c r="B20" s="278">
        <v>91613.34</v>
      </c>
      <c r="C20" s="198" t="s">
        <v>112</v>
      </c>
      <c r="D20" s="199" t="s">
        <v>130</v>
      </c>
      <c r="E20" s="198" t="s">
        <v>100</v>
      </c>
      <c r="F20" s="201">
        <v>1869.66</v>
      </c>
      <c r="G20" s="202">
        <v>49</v>
      </c>
      <c r="H20" s="198"/>
      <c r="I20" s="212"/>
      <c r="J20" s="212"/>
      <c r="K20" s="212"/>
    </row>
    <row r="21" ht="22.5" spans="1:11">
      <c r="A21" s="208"/>
      <c r="B21" s="278">
        <v>31950</v>
      </c>
      <c r="C21" s="198" t="s">
        <v>112</v>
      </c>
      <c r="D21" s="199" t="s">
        <v>151</v>
      </c>
      <c r="E21" s="198" t="s">
        <v>100</v>
      </c>
      <c r="F21" s="201">
        <v>2130</v>
      </c>
      <c r="G21" s="202">
        <v>15</v>
      </c>
      <c r="H21" s="198"/>
      <c r="I21" s="212"/>
      <c r="J21" s="212"/>
      <c r="K21" s="212"/>
    </row>
    <row r="22" ht="22.5" spans="1:11">
      <c r="A22" s="257" t="s">
        <v>17</v>
      </c>
      <c r="B22" s="258">
        <v>614939.4</v>
      </c>
      <c r="C22" s="225"/>
      <c r="D22" s="225"/>
      <c r="E22" s="225"/>
      <c r="F22" s="225"/>
      <c r="G22" s="225"/>
      <c r="H22" s="225"/>
      <c r="I22" s="212"/>
      <c r="J22" s="212"/>
      <c r="K22" s="212"/>
    </row>
    <row r="23" spans="1:11">
      <c r="A23" s="212"/>
      <c r="B23" s="212"/>
      <c r="C23" s="212"/>
      <c r="D23" s="212"/>
      <c r="E23" s="212"/>
      <c r="F23" s="212"/>
      <c r="G23" s="212"/>
      <c r="H23" s="212"/>
      <c r="I23" s="212"/>
      <c r="J23" s="212"/>
      <c r="K23" s="212"/>
    </row>
    <row r="24" spans="1:11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</row>
    <row r="25" ht="27" customHeight="1" spans="1:8">
      <c r="A25" s="147" t="s">
        <v>0</v>
      </c>
      <c r="B25" s="179" t="s">
        <v>1</v>
      </c>
      <c r="C25" s="161" t="s">
        <v>2</v>
      </c>
      <c r="D25" s="161" t="s">
        <v>3</v>
      </c>
      <c r="E25" s="161" t="s">
        <v>4</v>
      </c>
      <c r="F25" s="180" t="s">
        <v>21</v>
      </c>
      <c r="G25" s="185" t="s">
        <v>6</v>
      </c>
      <c r="H25" s="161" t="s">
        <v>7</v>
      </c>
    </row>
    <row r="26" ht="27" customHeight="1" spans="1:8">
      <c r="A26" s="280" t="s">
        <v>97</v>
      </c>
      <c r="B26" s="242">
        <v>131984</v>
      </c>
      <c r="C26" s="162" t="s">
        <v>112</v>
      </c>
      <c r="D26" s="162" t="s">
        <v>101</v>
      </c>
      <c r="E26" s="162" t="s">
        <v>100</v>
      </c>
      <c r="F26" s="162">
        <v>1808</v>
      </c>
      <c r="G26" s="162">
        <v>73</v>
      </c>
      <c r="H26" s="162"/>
    </row>
    <row r="27" ht="27" customHeight="1" spans="1:8">
      <c r="A27" s="280" t="s">
        <v>97</v>
      </c>
      <c r="B27" s="242">
        <v>134680</v>
      </c>
      <c r="C27" s="162" t="s">
        <v>112</v>
      </c>
      <c r="D27" s="162" t="s">
        <v>130</v>
      </c>
      <c r="E27" s="162" t="s">
        <v>100</v>
      </c>
      <c r="F27" s="162">
        <v>1820</v>
      </c>
      <c r="G27" s="162">
        <v>74</v>
      </c>
      <c r="H27" s="162"/>
    </row>
    <row r="28" ht="27" customHeight="1" spans="1:8">
      <c r="A28" s="280" t="s">
        <v>97</v>
      </c>
      <c r="B28" s="242">
        <v>302165</v>
      </c>
      <c r="C28" s="162" t="s">
        <v>112</v>
      </c>
      <c r="D28" s="162" t="s">
        <v>102</v>
      </c>
      <c r="E28" s="162" t="s">
        <v>100</v>
      </c>
      <c r="F28" s="162">
        <v>1115</v>
      </c>
      <c r="G28" s="162">
        <v>271</v>
      </c>
      <c r="H28" s="162"/>
    </row>
    <row r="29" ht="27" customHeight="1" spans="1:8">
      <c r="A29" s="280" t="s">
        <v>97</v>
      </c>
      <c r="B29" s="242">
        <v>59696</v>
      </c>
      <c r="C29" s="162" t="s">
        <v>112</v>
      </c>
      <c r="D29" s="162" t="s">
        <v>130</v>
      </c>
      <c r="E29" s="162" t="s">
        <v>100</v>
      </c>
      <c r="F29" s="162">
        <v>1456</v>
      </c>
      <c r="G29" s="162">
        <v>41</v>
      </c>
      <c r="H29" s="162" t="s">
        <v>152</v>
      </c>
    </row>
    <row r="30" ht="27" customHeight="1" spans="1:8">
      <c r="A30" s="280" t="s">
        <v>97</v>
      </c>
      <c r="B30" s="242">
        <v>46750</v>
      </c>
      <c r="C30" s="162" t="s">
        <v>112</v>
      </c>
      <c r="D30" s="162" t="s">
        <v>115</v>
      </c>
      <c r="E30" s="162" t="s">
        <v>100</v>
      </c>
      <c r="F30" s="162">
        <v>1870</v>
      </c>
      <c r="G30" s="162">
        <v>25</v>
      </c>
      <c r="H30" s="162"/>
    </row>
    <row r="31" ht="24" customHeight="1" spans="1:8">
      <c r="A31" s="280" t="s">
        <v>97</v>
      </c>
      <c r="B31" s="242">
        <v>15840</v>
      </c>
      <c r="C31" s="162" t="s">
        <v>112</v>
      </c>
      <c r="D31" s="162" t="s">
        <v>115</v>
      </c>
      <c r="E31" s="162" t="s">
        <v>100</v>
      </c>
      <c r="F31" s="162">
        <v>1320</v>
      </c>
      <c r="G31" s="162">
        <v>12</v>
      </c>
      <c r="H31" s="162" t="s">
        <v>152</v>
      </c>
    </row>
    <row r="32" ht="23.25" customHeight="1" spans="1:8">
      <c r="A32" s="280" t="s">
        <v>97</v>
      </c>
      <c r="B32" s="242">
        <v>45750</v>
      </c>
      <c r="C32" s="162" t="s">
        <v>112</v>
      </c>
      <c r="D32" s="162" t="s">
        <v>153</v>
      </c>
      <c r="E32" s="162" t="s">
        <v>100</v>
      </c>
      <c r="F32" s="162">
        <v>1830</v>
      </c>
      <c r="G32" s="162">
        <v>25</v>
      </c>
      <c r="H32" s="162"/>
    </row>
    <row r="33" ht="27.75" customHeight="1" spans="1:8">
      <c r="A33" s="280" t="s">
        <v>97</v>
      </c>
      <c r="B33" s="273">
        <v>45200</v>
      </c>
      <c r="C33" s="162" t="s">
        <v>112</v>
      </c>
      <c r="D33" s="162" t="s">
        <v>114</v>
      </c>
      <c r="E33" s="162" t="s">
        <v>100</v>
      </c>
      <c r="F33" s="162">
        <v>1808</v>
      </c>
      <c r="G33" s="162">
        <v>25</v>
      </c>
      <c r="H33" s="262"/>
    </row>
    <row r="34" ht="21" customHeight="1" spans="1:8">
      <c r="A34" s="280" t="s">
        <v>97</v>
      </c>
      <c r="B34" s="273">
        <v>21696</v>
      </c>
      <c r="C34" s="162" t="s">
        <v>112</v>
      </c>
      <c r="D34" s="262" t="s">
        <v>113</v>
      </c>
      <c r="E34" s="262" t="s">
        <v>100</v>
      </c>
      <c r="F34" s="262">
        <v>1808</v>
      </c>
      <c r="G34" s="162">
        <v>12</v>
      </c>
      <c r="H34" s="262"/>
    </row>
    <row r="35" ht="22.5" customHeight="1" spans="1:8">
      <c r="A35" s="280" t="s">
        <v>97</v>
      </c>
      <c r="B35" s="273">
        <v>43392</v>
      </c>
      <c r="C35" s="162" t="s">
        <v>112</v>
      </c>
      <c r="D35" s="262" t="s">
        <v>117</v>
      </c>
      <c r="E35" s="262" t="s">
        <v>100</v>
      </c>
      <c r="F35" s="262">
        <v>1808</v>
      </c>
      <c r="G35" s="162">
        <v>24</v>
      </c>
      <c r="H35" s="262"/>
    </row>
    <row r="36" ht="21" customHeight="1" spans="1:8">
      <c r="A36" s="260" t="s">
        <v>17</v>
      </c>
      <c r="B36" s="261">
        <v>847153</v>
      </c>
      <c r="C36" s="262"/>
      <c r="D36" s="262"/>
      <c r="E36" s="262"/>
      <c r="F36" s="262"/>
      <c r="G36" s="162"/>
      <c r="H36" s="162"/>
    </row>
    <row r="37" ht="21" customHeight="1" spans="1:8">
      <c r="A37" s="263"/>
      <c r="B37" s="261"/>
      <c r="C37" s="262"/>
      <c r="D37" s="262"/>
      <c r="E37" s="262"/>
      <c r="F37" s="262"/>
      <c r="G37" s="162"/>
      <c r="H37" s="162"/>
    </row>
    <row r="38" ht="26.25" customHeight="1" spans="1:8">
      <c r="A38" s="129" t="s">
        <v>154</v>
      </c>
      <c r="B38" s="273">
        <v>77255.23</v>
      </c>
      <c r="C38" s="262" t="s">
        <v>155</v>
      </c>
      <c r="D38" s="262" t="s">
        <v>134</v>
      </c>
      <c r="E38" s="262" t="s">
        <v>156</v>
      </c>
      <c r="F38" s="262">
        <v>0.19199999</v>
      </c>
      <c r="G38" s="262">
        <v>402371</v>
      </c>
      <c r="H38" s="262"/>
    </row>
    <row r="39" ht="21" customHeight="1" spans="1:8">
      <c r="A39" s="132"/>
      <c r="B39" s="273">
        <v>1610</v>
      </c>
      <c r="C39" s="262" t="s">
        <v>157</v>
      </c>
      <c r="D39" s="262" t="s">
        <v>134</v>
      </c>
      <c r="E39" s="262" t="s">
        <v>156</v>
      </c>
      <c r="F39" s="262">
        <v>0.330324</v>
      </c>
      <c r="G39" s="262">
        <v>4874</v>
      </c>
      <c r="H39" s="262"/>
    </row>
    <row r="40" ht="24" customHeight="1" spans="1:8">
      <c r="A40" s="162" t="s">
        <v>135</v>
      </c>
      <c r="B40" s="281">
        <v>5575</v>
      </c>
      <c r="C40" s="162" t="s">
        <v>112</v>
      </c>
      <c r="D40" s="162" t="s">
        <v>102</v>
      </c>
      <c r="E40" s="162" t="s">
        <v>100</v>
      </c>
      <c r="F40" s="162">
        <v>1115</v>
      </c>
      <c r="G40" s="162">
        <v>5</v>
      </c>
      <c r="H40" s="162"/>
    </row>
    <row r="41" ht="21.75" customHeight="1" spans="1:8">
      <c r="A41" s="282" t="s">
        <v>17</v>
      </c>
      <c r="B41" s="283">
        <v>84440.23</v>
      </c>
      <c r="C41" s="262"/>
      <c r="D41" s="262"/>
      <c r="E41" s="262"/>
      <c r="F41" s="262"/>
      <c r="G41" s="262"/>
      <c r="H41" s="262"/>
    </row>
    <row r="42" ht="27" customHeight="1" spans="1:8">
      <c r="A42" s="262"/>
      <c r="B42" s="273"/>
      <c r="C42" s="262"/>
      <c r="D42" s="262"/>
      <c r="E42" s="262"/>
      <c r="F42" s="282" t="s">
        <v>158</v>
      </c>
      <c r="G42" s="282">
        <v>1546532.63</v>
      </c>
      <c r="H42" s="262"/>
    </row>
    <row r="43" spans="1:10">
      <c r="A43" s="264"/>
      <c r="B43" s="265"/>
      <c r="C43" s="264"/>
      <c r="D43" s="264"/>
      <c r="E43" s="264"/>
      <c r="F43" s="264"/>
      <c r="G43" s="231"/>
      <c r="H43" s="264"/>
      <c r="I43" s="42">
        <v>42430</v>
      </c>
      <c r="J43" s="41">
        <v>103800</v>
      </c>
    </row>
    <row r="44" spans="1:10">
      <c r="A44" s="264"/>
      <c r="B44" s="265"/>
      <c r="C44" s="264"/>
      <c r="D44" s="264"/>
      <c r="E44" s="264"/>
      <c r="F44" s="264"/>
      <c r="G44" s="231"/>
      <c r="H44" s="264"/>
      <c r="I44" s="40" t="s">
        <v>22</v>
      </c>
      <c r="J44" s="41">
        <v>43200</v>
      </c>
    </row>
    <row r="45" spans="1:10">
      <c r="A45" s="264"/>
      <c r="B45" s="265"/>
      <c r="C45" s="264"/>
      <c r="D45" s="264"/>
      <c r="E45" s="264"/>
      <c r="F45" s="264"/>
      <c r="G45" s="231"/>
      <c r="H45" s="264"/>
      <c r="I45" s="40" t="s">
        <v>139</v>
      </c>
      <c r="J45" s="41">
        <v>39900</v>
      </c>
    </row>
    <row r="46" spans="1:10">
      <c r="A46" s="264"/>
      <c r="B46" s="265"/>
      <c r="C46" s="264"/>
      <c r="D46" s="264"/>
      <c r="E46" s="264"/>
      <c r="F46" s="264"/>
      <c r="G46" s="231"/>
      <c r="H46" s="264"/>
      <c r="I46" s="40" t="s">
        <v>28</v>
      </c>
      <c r="J46" s="41">
        <v>32400</v>
      </c>
    </row>
    <row r="47" spans="9:10">
      <c r="I47" s="40" t="s">
        <v>31</v>
      </c>
      <c r="J47" s="41">
        <v>111900</v>
      </c>
    </row>
    <row r="48" spans="9:10">
      <c r="I48" s="40" t="s">
        <v>32</v>
      </c>
      <c r="J48" s="41">
        <v>135939</v>
      </c>
    </row>
    <row r="49" spans="9:10">
      <c r="I49" s="40" t="s">
        <v>140</v>
      </c>
      <c r="J49" s="41">
        <v>186045</v>
      </c>
    </row>
    <row r="50" spans="9:10">
      <c r="I50" s="40" t="s">
        <v>142</v>
      </c>
      <c r="J50" s="41">
        <v>133782.6</v>
      </c>
    </row>
    <row r="51" spans="9:10">
      <c r="I51" s="42">
        <v>42736</v>
      </c>
      <c r="J51" s="41">
        <v>117630</v>
      </c>
    </row>
    <row r="52" spans="9:10">
      <c r="I52" s="40" t="s">
        <v>60</v>
      </c>
      <c r="J52" s="41">
        <v>56680</v>
      </c>
    </row>
    <row r="53" spans="9:10">
      <c r="I53" s="41" t="s">
        <v>58</v>
      </c>
      <c r="J53" s="43">
        <v>172605</v>
      </c>
    </row>
    <row r="54" spans="9:10">
      <c r="I54" s="41" t="s">
        <v>22</v>
      </c>
      <c r="J54" s="41">
        <v>224673</v>
      </c>
    </row>
    <row r="55" spans="9:10">
      <c r="I55" s="41" t="s">
        <v>24</v>
      </c>
      <c r="J55" s="41">
        <v>313761</v>
      </c>
    </row>
    <row r="56" spans="9:10">
      <c r="I56" s="41" t="s">
        <v>25</v>
      </c>
      <c r="J56" s="41">
        <v>561401.3</v>
      </c>
    </row>
    <row r="57" spans="9:10">
      <c r="I57" s="40" t="s">
        <v>28</v>
      </c>
      <c r="J57" s="41">
        <v>489075.24</v>
      </c>
    </row>
    <row r="58" spans="9:10">
      <c r="I58" s="40" t="s">
        <v>143</v>
      </c>
      <c r="J58" s="41">
        <v>1072775.15</v>
      </c>
    </row>
    <row r="59" spans="9:10">
      <c r="I59" s="41" t="s">
        <v>32</v>
      </c>
      <c r="J59" s="41">
        <v>1546532.63</v>
      </c>
    </row>
    <row r="60" spans="9:10">
      <c r="I60" s="41"/>
      <c r="J60" s="41"/>
    </row>
  </sheetData>
  <mergeCells count="4">
    <mergeCell ref="A10:A11"/>
    <mergeCell ref="A14:A15"/>
    <mergeCell ref="A20:A21"/>
    <mergeCell ref="A38:A39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B28" sqref="B28:B36"/>
    </sheetView>
  </sheetViews>
  <sheetFormatPr defaultColWidth="16.125" defaultRowHeight="14.25"/>
  <cols>
    <col min="2" max="2" width="22.5" customWidth="1"/>
    <col min="6" max="6" width="22.875" customWidth="1"/>
    <col min="7" max="7" width="18.625" customWidth="1"/>
  </cols>
  <sheetData>
    <row r="1" ht="22.5" spans="1:10">
      <c r="A1" s="57" t="s">
        <v>0</v>
      </c>
      <c r="B1" s="245" t="s">
        <v>104</v>
      </c>
      <c r="C1" s="246" t="s">
        <v>2</v>
      </c>
      <c r="D1" s="246" t="s">
        <v>3</v>
      </c>
      <c r="E1" s="246" t="s">
        <v>4</v>
      </c>
      <c r="F1" s="247" t="s">
        <v>87</v>
      </c>
      <c r="G1" s="248" t="s">
        <v>6</v>
      </c>
      <c r="H1" s="246" t="s">
        <v>7</v>
      </c>
      <c r="I1" s="212"/>
      <c r="J1" s="212"/>
    </row>
    <row r="2" ht="22.5" spans="1:10">
      <c r="A2" s="266" t="s">
        <v>14</v>
      </c>
      <c r="B2" s="267">
        <v>55860</v>
      </c>
      <c r="C2" s="216" t="s">
        <v>9</v>
      </c>
      <c r="D2" s="216" t="s">
        <v>73</v>
      </c>
      <c r="E2" s="216" t="s">
        <v>27</v>
      </c>
      <c r="F2" s="218">
        <v>0.14</v>
      </c>
      <c r="G2" s="219">
        <v>399000</v>
      </c>
      <c r="H2" s="216" t="s">
        <v>159</v>
      </c>
      <c r="I2" s="212"/>
      <c r="J2" s="212"/>
    </row>
    <row r="3" ht="22.5" spans="1:10">
      <c r="A3" s="268"/>
      <c r="B3" s="267">
        <v>33863.46</v>
      </c>
      <c r="C3" s="216" t="s">
        <v>9</v>
      </c>
      <c r="D3" s="216" t="s">
        <v>53</v>
      </c>
      <c r="E3" s="216" t="s">
        <v>27</v>
      </c>
      <c r="F3" s="218">
        <v>0.175</v>
      </c>
      <c r="G3" s="219"/>
      <c r="H3" s="216" t="s">
        <v>159</v>
      </c>
      <c r="I3" s="212"/>
      <c r="J3" s="212"/>
    </row>
    <row r="4" ht="22.5" spans="1:10">
      <c r="A4" s="12" t="s">
        <v>123</v>
      </c>
      <c r="B4" s="269">
        <v>2850</v>
      </c>
      <c r="C4" s="198" t="s">
        <v>9</v>
      </c>
      <c r="D4" s="198" t="s">
        <v>160</v>
      </c>
      <c r="E4" s="200" t="s">
        <v>89</v>
      </c>
      <c r="F4" s="201">
        <v>0.095</v>
      </c>
      <c r="G4" s="202">
        <v>30000</v>
      </c>
      <c r="H4" s="216" t="s">
        <v>159</v>
      </c>
      <c r="I4" s="212"/>
      <c r="J4" s="212"/>
    </row>
    <row r="5" ht="22.5" spans="1:10">
      <c r="A5" s="15"/>
      <c r="B5" s="269">
        <v>390</v>
      </c>
      <c r="C5" s="198" t="s">
        <v>9</v>
      </c>
      <c r="D5" s="198" t="s">
        <v>161</v>
      </c>
      <c r="E5" s="200" t="s">
        <v>89</v>
      </c>
      <c r="F5" s="201">
        <v>0.13</v>
      </c>
      <c r="G5" s="202">
        <v>3000</v>
      </c>
      <c r="H5" s="216" t="s">
        <v>159</v>
      </c>
      <c r="I5" s="212"/>
      <c r="J5" s="212"/>
    </row>
    <row r="6" ht="22.5" spans="1:10">
      <c r="A6" s="15"/>
      <c r="B6" s="269">
        <v>15600</v>
      </c>
      <c r="C6" s="198" t="s">
        <v>9</v>
      </c>
      <c r="D6" s="198" t="s">
        <v>162</v>
      </c>
      <c r="E6" s="200" t="s">
        <v>89</v>
      </c>
      <c r="F6" s="201">
        <v>0.13</v>
      </c>
      <c r="G6" s="202">
        <v>120000</v>
      </c>
      <c r="H6" s="216" t="s">
        <v>159</v>
      </c>
      <c r="I6" s="212"/>
      <c r="J6" s="212"/>
    </row>
    <row r="7" ht="22.5" spans="1:10">
      <c r="A7" s="19"/>
      <c r="B7" s="269">
        <v>13500</v>
      </c>
      <c r="C7" s="198" t="s">
        <v>9</v>
      </c>
      <c r="D7" s="198" t="s">
        <v>148</v>
      </c>
      <c r="E7" s="200" t="s">
        <v>89</v>
      </c>
      <c r="F7" s="201">
        <v>0.15</v>
      </c>
      <c r="G7" s="202">
        <v>90000</v>
      </c>
      <c r="H7" s="216" t="s">
        <v>159</v>
      </c>
      <c r="I7" s="212"/>
      <c r="J7" s="212"/>
    </row>
    <row r="8" ht="22.5" spans="1:11">
      <c r="A8" s="221" t="s">
        <v>62</v>
      </c>
      <c r="B8" s="222">
        <v>0</v>
      </c>
      <c r="C8" s="216" t="s">
        <v>9</v>
      </c>
      <c r="D8" s="217" t="s">
        <v>73</v>
      </c>
      <c r="E8" s="216" t="s">
        <v>27</v>
      </c>
      <c r="F8" s="218">
        <v>0.145</v>
      </c>
      <c r="G8" s="219">
        <v>30000</v>
      </c>
      <c r="H8" s="216" t="s">
        <v>163</v>
      </c>
      <c r="I8" s="212"/>
      <c r="J8" s="212"/>
      <c r="K8" s="212"/>
    </row>
    <row r="9" ht="22.5" spans="1:10">
      <c r="A9" s="57" t="s">
        <v>55</v>
      </c>
      <c r="B9" s="270">
        <v>7350</v>
      </c>
      <c r="C9" s="198" t="s">
        <v>9</v>
      </c>
      <c r="D9" s="199" t="s">
        <v>160</v>
      </c>
      <c r="E9" s="198" t="s">
        <v>27</v>
      </c>
      <c r="F9" s="201">
        <v>0.09</v>
      </c>
      <c r="G9" s="202"/>
      <c r="H9" s="216" t="s">
        <v>159</v>
      </c>
      <c r="I9" s="212"/>
      <c r="J9" s="212"/>
    </row>
    <row r="10" ht="22.5" spans="1:10">
      <c r="A10" s="221" t="s">
        <v>61</v>
      </c>
      <c r="B10" s="222">
        <v>7920</v>
      </c>
      <c r="C10" s="216" t="s">
        <v>9</v>
      </c>
      <c r="D10" s="217" t="s">
        <v>79</v>
      </c>
      <c r="E10" s="216" t="s">
        <v>27</v>
      </c>
      <c r="F10" s="218">
        <v>0.16</v>
      </c>
      <c r="G10" s="219">
        <v>49500</v>
      </c>
      <c r="H10" s="216" t="s">
        <v>159</v>
      </c>
      <c r="I10" s="212"/>
      <c r="J10" s="212"/>
    </row>
    <row r="11" ht="22.5" spans="1:11">
      <c r="A11" s="129" t="s">
        <v>42</v>
      </c>
      <c r="B11" s="197">
        <v>8400</v>
      </c>
      <c r="C11" s="198" t="s">
        <v>9</v>
      </c>
      <c r="D11" s="199" t="s">
        <v>91</v>
      </c>
      <c r="E11" s="198" t="s">
        <v>27</v>
      </c>
      <c r="F11" s="201">
        <v>0.28</v>
      </c>
      <c r="G11" s="202">
        <v>30000</v>
      </c>
      <c r="H11" s="216" t="s">
        <v>159</v>
      </c>
      <c r="I11" s="212"/>
      <c r="J11" s="212"/>
      <c r="K11" s="212"/>
    </row>
    <row r="12" ht="27" customHeight="1" spans="1:11">
      <c r="A12" s="271" t="s">
        <v>45</v>
      </c>
      <c r="B12" s="222">
        <v>14790</v>
      </c>
      <c r="C12" s="216" t="s">
        <v>9</v>
      </c>
      <c r="D12" s="217" t="s">
        <v>73</v>
      </c>
      <c r="E12" s="216" t="s">
        <v>27</v>
      </c>
      <c r="F12" s="218">
        <v>0.145</v>
      </c>
      <c r="G12" s="219">
        <v>102000</v>
      </c>
      <c r="H12" s="216" t="s">
        <v>159</v>
      </c>
      <c r="I12" s="212"/>
      <c r="J12" s="212"/>
      <c r="K12" s="212"/>
    </row>
    <row r="13" ht="22.5" spans="1:11">
      <c r="A13" s="226" t="s">
        <v>77</v>
      </c>
      <c r="B13" s="197">
        <v>2520</v>
      </c>
      <c r="C13" s="198" t="s">
        <v>9</v>
      </c>
      <c r="D13" s="199" t="s">
        <v>91</v>
      </c>
      <c r="E13" s="198" t="s">
        <v>27</v>
      </c>
      <c r="F13" s="201">
        <v>0.28</v>
      </c>
      <c r="G13" s="202">
        <v>9000</v>
      </c>
      <c r="H13" s="216" t="s">
        <v>159</v>
      </c>
      <c r="I13" s="212"/>
      <c r="J13" s="212"/>
      <c r="K13" s="212"/>
    </row>
    <row r="14" ht="22.5" spans="1:11">
      <c r="A14" s="220" t="s">
        <v>64</v>
      </c>
      <c r="B14" s="197">
        <v>2280</v>
      </c>
      <c r="C14" s="198" t="s">
        <v>9</v>
      </c>
      <c r="D14" s="199" t="s">
        <v>53</v>
      </c>
      <c r="E14" s="198" t="s">
        <v>27</v>
      </c>
      <c r="F14" s="201">
        <v>0.19</v>
      </c>
      <c r="G14" s="202">
        <v>12000</v>
      </c>
      <c r="H14" s="216" t="s">
        <v>159</v>
      </c>
      <c r="I14" s="212"/>
      <c r="J14" s="212"/>
      <c r="K14" s="212"/>
    </row>
    <row r="15" ht="22.5" spans="1:10">
      <c r="A15" s="253" t="s">
        <v>145</v>
      </c>
      <c r="B15" s="215">
        <v>39960</v>
      </c>
      <c r="C15" s="216" t="s">
        <v>9</v>
      </c>
      <c r="D15" s="217" t="s">
        <v>146</v>
      </c>
      <c r="E15" s="216" t="s">
        <v>27</v>
      </c>
      <c r="F15" s="218">
        <v>0.185</v>
      </c>
      <c r="G15" s="219">
        <v>216000</v>
      </c>
      <c r="H15" s="216" t="s">
        <v>159</v>
      </c>
      <c r="I15" s="212"/>
      <c r="J15" s="212"/>
    </row>
    <row r="16" ht="22.5" spans="1:11">
      <c r="A16" s="220" t="s">
        <v>164</v>
      </c>
      <c r="B16" s="197">
        <v>900</v>
      </c>
      <c r="C16" s="198" t="s">
        <v>9</v>
      </c>
      <c r="D16" s="199" t="s">
        <v>73</v>
      </c>
      <c r="E16" s="198" t="s">
        <v>27</v>
      </c>
      <c r="F16" s="201">
        <v>0.15</v>
      </c>
      <c r="G16" s="202">
        <v>6000</v>
      </c>
      <c r="H16" s="216" t="s">
        <v>159</v>
      </c>
      <c r="I16" s="212"/>
      <c r="J16" s="212"/>
      <c r="K16" s="212"/>
    </row>
    <row r="17" ht="22.5" spans="1:11">
      <c r="A17" s="221" t="s">
        <v>80</v>
      </c>
      <c r="B17" s="222">
        <v>1170</v>
      </c>
      <c r="C17" s="216" t="s">
        <v>9</v>
      </c>
      <c r="D17" s="217" t="s">
        <v>92</v>
      </c>
      <c r="E17" s="216" t="s">
        <v>27</v>
      </c>
      <c r="F17" s="218">
        <v>0.195</v>
      </c>
      <c r="G17" s="219">
        <v>6000</v>
      </c>
      <c r="H17" s="216" t="s">
        <v>159</v>
      </c>
      <c r="I17" s="212"/>
      <c r="J17" s="212"/>
      <c r="K17" s="212"/>
    </row>
    <row r="18" ht="22.5" spans="1:11">
      <c r="A18" s="220" t="s">
        <v>165</v>
      </c>
      <c r="B18" s="197">
        <v>2340</v>
      </c>
      <c r="C18" s="198" t="s">
        <v>9</v>
      </c>
      <c r="D18" s="199" t="s">
        <v>92</v>
      </c>
      <c r="E18" s="198" t="s">
        <v>27</v>
      </c>
      <c r="F18" s="201">
        <v>0.195</v>
      </c>
      <c r="G18" s="202">
        <v>12000</v>
      </c>
      <c r="H18" s="216" t="s">
        <v>159</v>
      </c>
      <c r="I18" s="212"/>
      <c r="J18" s="212"/>
      <c r="K18" s="212"/>
    </row>
    <row r="19" ht="22.5" spans="1:11">
      <c r="A19" s="221" t="s">
        <v>111</v>
      </c>
      <c r="B19" s="222">
        <v>95370</v>
      </c>
      <c r="C19" s="216" t="s">
        <v>9</v>
      </c>
      <c r="D19" s="217" t="s">
        <v>92</v>
      </c>
      <c r="E19" s="216" t="s">
        <v>27</v>
      </c>
      <c r="F19" s="218">
        <v>0.17</v>
      </c>
      <c r="G19" s="219">
        <v>561000</v>
      </c>
      <c r="H19" s="216" t="s">
        <v>159</v>
      </c>
      <c r="I19" s="212"/>
      <c r="J19" s="212"/>
      <c r="K19" s="212"/>
    </row>
    <row r="20" ht="22.5" spans="1:11">
      <c r="A20" s="12" t="s">
        <v>166</v>
      </c>
      <c r="B20" s="272">
        <v>54660</v>
      </c>
      <c r="C20" s="198" t="s">
        <v>9</v>
      </c>
      <c r="D20" s="199" t="s">
        <v>160</v>
      </c>
      <c r="E20" s="198" t="s">
        <v>27</v>
      </c>
      <c r="F20" s="201">
        <v>0.08</v>
      </c>
      <c r="G20" s="202"/>
      <c r="H20" s="216" t="s">
        <v>159</v>
      </c>
      <c r="I20" s="212"/>
      <c r="J20" s="212"/>
      <c r="K20" s="212"/>
    </row>
    <row r="21" ht="22.5" spans="1:11">
      <c r="A21" s="19"/>
      <c r="B21" s="272">
        <v>13125</v>
      </c>
      <c r="C21" s="198" t="s">
        <v>9</v>
      </c>
      <c r="D21" s="199" t="s">
        <v>161</v>
      </c>
      <c r="E21" s="198" t="s">
        <v>27</v>
      </c>
      <c r="F21" s="201">
        <v>0.125</v>
      </c>
      <c r="G21" s="202">
        <v>105000</v>
      </c>
      <c r="H21" s="216" t="s">
        <v>159</v>
      </c>
      <c r="I21" s="212"/>
      <c r="J21" s="212"/>
      <c r="K21" s="212"/>
    </row>
    <row r="22" ht="22.5" spans="1:11">
      <c r="A22" s="220" t="s">
        <v>167</v>
      </c>
      <c r="B22" s="197">
        <v>85500</v>
      </c>
      <c r="C22" s="198" t="s">
        <v>9</v>
      </c>
      <c r="D22" s="199" t="s">
        <v>162</v>
      </c>
      <c r="E22" s="198" t="s">
        <v>27</v>
      </c>
      <c r="F22" s="201">
        <v>0.1</v>
      </c>
      <c r="G22" s="202">
        <v>855000</v>
      </c>
      <c r="H22" s="216" t="s">
        <v>159</v>
      </c>
      <c r="I22" s="212"/>
      <c r="J22" s="212"/>
      <c r="K22" s="212"/>
    </row>
    <row r="23" ht="22.5" spans="1:11">
      <c r="A23" s="220"/>
      <c r="B23" s="197"/>
      <c r="C23" s="198"/>
      <c r="D23" s="199"/>
      <c r="E23" s="198"/>
      <c r="F23" s="201"/>
      <c r="G23" s="202"/>
      <c r="H23" s="200"/>
      <c r="I23" s="212"/>
      <c r="J23" s="212"/>
      <c r="K23" s="212"/>
    </row>
    <row r="24" ht="22.5" spans="1:11">
      <c r="A24" s="257" t="s">
        <v>17</v>
      </c>
      <c r="B24" s="258">
        <v>458348.46</v>
      </c>
      <c r="C24" s="225"/>
      <c r="D24" s="225"/>
      <c r="E24" s="225"/>
      <c r="F24" s="225"/>
      <c r="G24" s="225"/>
      <c r="H24" s="225"/>
      <c r="I24" s="212"/>
      <c r="J24" s="212"/>
      <c r="K24" s="212"/>
    </row>
    <row r="25" spans="1:11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</row>
    <row r="26" spans="1:11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</row>
    <row r="27" ht="27" customHeight="1" spans="1:8">
      <c r="A27" s="147" t="s">
        <v>0</v>
      </c>
      <c r="B27" s="179" t="s">
        <v>1</v>
      </c>
      <c r="C27" s="161" t="s">
        <v>2</v>
      </c>
      <c r="D27" s="161" t="s">
        <v>3</v>
      </c>
      <c r="E27" s="161" t="s">
        <v>4</v>
      </c>
      <c r="F27" s="180" t="s">
        <v>21</v>
      </c>
      <c r="G27" s="185" t="s">
        <v>6</v>
      </c>
      <c r="H27" s="161" t="s">
        <v>7</v>
      </c>
    </row>
    <row r="28" ht="27" customHeight="1" spans="1:8">
      <c r="A28" s="162" t="s">
        <v>97</v>
      </c>
      <c r="B28" s="242">
        <f>F28*G28</f>
        <v>218300</v>
      </c>
      <c r="C28" s="162" t="s">
        <v>112</v>
      </c>
      <c r="D28" s="162" t="s">
        <v>168</v>
      </c>
      <c r="E28" s="162" t="s">
        <v>100</v>
      </c>
      <c r="F28" s="162">
        <v>1850</v>
      </c>
      <c r="G28" s="162">
        <v>118</v>
      </c>
      <c r="H28" s="162"/>
    </row>
    <row r="29" ht="27" customHeight="1" spans="1:8">
      <c r="A29" s="162" t="s">
        <v>97</v>
      </c>
      <c r="B29" s="242">
        <f t="shared" ref="B29:B36" si="0">F29*G29</f>
        <v>93500</v>
      </c>
      <c r="C29" s="162" t="s">
        <v>112</v>
      </c>
      <c r="D29" s="162" t="s">
        <v>115</v>
      </c>
      <c r="E29" s="162" t="s">
        <v>100</v>
      </c>
      <c r="F29" s="162">
        <v>1870</v>
      </c>
      <c r="G29" s="162">
        <v>50</v>
      </c>
      <c r="H29" s="162"/>
    </row>
    <row r="30" ht="27" customHeight="1" spans="1:8">
      <c r="A30" s="162" t="s">
        <v>97</v>
      </c>
      <c r="B30" s="242">
        <f t="shared" si="0"/>
        <v>90400</v>
      </c>
      <c r="C30" s="162" t="s">
        <v>112</v>
      </c>
      <c r="D30" s="162" t="s">
        <v>101</v>
      </c>
      <c r="E30" s="162" t="s">
        <v>100</v>
      </c>
      <c r="F30" s="162">
        <v>1808</v>
      </c>
      <c r="G30" s="162">
        <v>50</v>
      </c>
      <c r="H30" s="162"/>
    </row>
    <row r="31" ht="27" customHeight="1" spans="1:8">
      <c r="A31" s="162" t="s">
        <v>97</v>
      </c>
      <c r="B31" s="242">
        <f t="shared" si="0"/>
        <v>139375</v>
      </c>
      <c r="C31" s="162" t="s">
        <v>112</v>
      </c>
      <c r="D31" s="162" t="s">
        <v>102</v>
      </c>
      <c r="E31" s="162" t="s">
        <v>100</v>
      </c>
      <c r="F31" s="162">
        <v>1115</v>
      </c>
      <c r="G31" s="162">
        <v>125</v>
      </c>
      <c r="H31" s="162"/>
    </row>
    <row r="32" ht="27" customHeight="1" spans="1:8">
      <c r="A32" s="162" t="s">
        <v>97</v>
      </c>
      <c r="B32" s="242">
        <f t="shared" si="0"/>
        <v>43392</v>
      </c>
      <c r="C32" s="162" t="s">
        <v>112</v>
      </c>
      <c r="D32" s="162" t="s">
        <v>117</v>
      </c>
      <c r="E32" s="162" t="s">
        <v>100</v>
      </c>
      <c r="F32" s="162">
        <v>1808</v>
      </c>
      <c r="G32" s="162">
        <v>24</v>
      </c>
      <c r="H32" s="162"/>
    </row>
    <row r="33" ht="24" customHeight="1" spans="1:8">
      <c r="A33" s="162" t="s">
        <v>97</v>
      </c>
      <c r="B33" s="242">
        <f t="shared" si="0"/>
        <v>45200</v>
      </c>
      <c r="C33" s="162" t="s">
        <v>112</v>
      </c>
      <c r="D33" s="162" t="s">
        <v>129</v>
      </c>
      <c r="E33" s="162" t="s">
        <v>100</v>
      </c>
      <c r="F33" s="162">
        <v>1808</v>
      </c>
      <c r="G33" s="162">
        <v>25</v>
      </c>
      <c r="H33" s="162"/>
    </row>
    <row r="34" ht="23.25" customHeight="1" spans="1:8">
      <c r="A34" s="162" t="s">
        <v>97</v>
      </c>
      <c r="B34" s="242">
        <f t="shared" si="0"/>
        <v>45200</v>
      </c>
      <c r="C34" s="162" t="s">
        <v>112</v>
      </c>
      <c r="D34" s="162" t="s">
        <v>116</v>
      </c>
      <c r="E34" s="162" t="s">
        <v>100</v>
      </c>
      <c r="F34" s="162">
        <v>1808</v>
      </c>
      <c r="G34" s="162">
        <v>25</v>
      </c>
      <c r="H34" s="162"/>
    </row>
    <row r="35" ht="22.5" spans="1:8">
      <c r="A35" s="162" t="s">
        <v>97</v>
      </c>
      <c r="B35" s="273">
        <f t="shared" si="0"/>
        <v>27750</v>
      </c>
      <c r="C35" s="162" t="s">
        <v>112</v>
      </c>
      <c r="D35" s="162" t="s">
        <v>169</v>
      </c>
      <c r="E35" s="162" t="s">
        <v>100</v>
      </c>
      <c r="F35" s="162">
        <v>1110</v>
      </c>
      <c r="G35" s="162">
        <v>25</v>
      </c>
      <c r="H35" s="262"/>
    </row>
    <row r="36" ht="22.5" spans="1:8">
      <c r="A36" s="162" t="s">
        <v>97</v>
      </c>
      <c r="B36" s="273">
        <f t="shared" si="0"/>
        <v>45500</v>
      </c>
      <c r="C36" s="162" t="s">
        <v>112</v>
      </c>
      <c r="D36" s="162" t="s">
        <v>130</v>
      </c>
      <c r="E36" s="262" t="s">
        <v>100</v>
      </c>
      <c r="F36" s="262">
        <v>1820</v>
      </c>
      <c r="G36" s="162">
        <v>25</v>
      </c>
      <c r="H36" s="262"/>
    </row>
    <row r="37" ht="22.5" spans="1:8">
      <c r="A37" s="260" t="s">
        <v>17</v>
      </c>
      <c r="B37" s="261">
        <v>748617</v>
      </c>
      <c r="C37" s="262"/>
      <c r="D37" s="262"/>
      <c r="E37" s="262"/>
      <c r="F37" s="262"/>
      <c r="G37" s="162"/>
      <c r="H37" s="162"/>
    </row>
    <row r="38" ht="22.5" spans="1:8">
      <c r="A38" s="263"/>
      <c r="B38" s="261"/>
      <c r="C38" s="262"/>
      <c r="D38" s="262"/>
      <c r="E38" s="262"/>
      <c r="F38" s="262"/>
      <c r="G38" s="162"/>
      <c r="H38" s="162"/>
    </row>
    <row r="39" spans="1:10">
      <c r="A39" s="264"/>
      <c r="B39" s="265"/>
      <c r="C39" s="264"/>
      <c r="D39" s="264"/>
      <c r="E39" s="264"/>
      <c r="F39" s="264"/>
      <c r="G39" s="231"/>
      <c r="H39" s="264"/>
      <c r="I39" s="40" t="s">
        <v>139</v>
      </c>
      <c r="J39" s="41">
        <v>39900</v>
      </c>
    </row>
    <row r="40" spans="1:10">
      <c r="A40" s="264"/>
      <c r="B40" s="265"/>
      <c r="C40" s="264"/>
      <c r="D40" s="264"/>
      <c r="E40" s="264"/>
      <c r="F40" s="264"/>
      <c r="G40" s="231"/>
      <c r="H40" s="264"/>
      <c r="I40" s="40" t="s">
        <v>28</v>
      </c>
      <c r="J40" s="41">
        <v>32400</v>
      </c>
    </row>
    <row r="41" spans="9:10">
      <c r="I41" s="40" t="s">
        <v>31</v>
      </c>
      <c r="J41" s="41">
        <v>111900</v>
      </c>
    </row>
    <row r="42" spans="9:10">
      <c r="I42" s="40" t="s">
        <v>32</v>
      </c>
      <c r="J42" s="41">
        <v>135939</v>
      </c>
    </row>
    <row r="43" spans="9:10">
      <c r="I43" s="40" t="s">
        <v>140</v>
      </c>
      <c r="J43" s="41">
        <v>186045</v>
      </c>
    </row>
    <row r="44" spans="9:10">
      <c r="I44" s="40" t="s">
        <v>142</v>
      </c>
      <c r="J44" s="41">
        <v>133782.6</v>
      </c>
    </row>
    <row r="45" spans="9:10">
      <c r="I45" s="42">
        <v>42736</v>
      </c>
      <c r="J45" s="41">
        <v>117630</v>
      </c>
    </row>
    <row r="46" spans="9:10">
      <c r="I46" s="40" t="s">
        <v>60</v>
      </c>
      <c r="J46" s="41">
        <v>56680</v>
      </c>
    </row>
    <row r="47" spans="9:10">
      <c r="I47" s="41" t="s">
        <v>58</v>
      </c>
      <c r="J47" s="43">
        <v>172605</v>
      </c>
    </row>
    <row r="48" spans="9:10">
      <c r="I48" s="41" t="s">
        <v>22</v>
      </c>
      <c r="J48" s="41">
        <v>224673</v>
      </c>
    </row>
    <row r="49" spans="9:10">
      <c r="I49" s="41" t="s">
        <v>24</v>
      </c>
      <c r="J49" s="41">
        <v>313761</v>
      </c>
    </row>
    <row r="50" spans="9:10">
      <c r="I50" s="41" t="s">
        <v>25</v>
      </c>
      <c r="J50" s="41">
        <v>561401.3</v>
      </c>
    </row>
    <row r="51" spans="9:10">
      <c r="I51" s="40" t="s">
        <v>28</v>
      </c>
      <c r="J51" s="41">
        <v>489075.24</v>
      </c>
    </row>
    <row r="52" spans="9:10">
      <c r="I52" s="40" t="s">
        <v>143</v>
      </c>
      <c r="J52" s="41">
        <v>1072775.15</v>
      </c>
    </row>
    <row r="53" spans="9:10">
      <c r="I53" s="41" t="s">
        <v>32</v>
      </c>
      <c r="J53" s="41">
        <v>1546532.63</v>
      </c>
    </row>
    <row r="54" spans="9:10">
      <c r="I54" s="41" t="s">
        <v>37</v>
      </c>
      <c r="J54" s="41">
        <v>1206965.46</v>
      </c>
    </row>
  </sheetData>
  <mergeCells count="3">
    <mergeCell ref="A2:A3"/>
    <mergeCell ref="A4:A7"/>
    <mergeCell ref="A20:A21"/>
  </mergeCells>
  <pageMargins left="0.7" right="0.7" top="0.75" bottom="0.75" header="0.3" footer="0.3"/>
  <pageSetup paperSize="9" orientation="portrait" horizontalDpi="180" verticalDpi="18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zoomScale="80" zoomScaleNormal="80" workbookViewId="0">
      <pane ySplit="1" topLeftCell="A14" activePane="bottomLeft" state="frozen"/>
      <selection/>
      <selection pane="bottomLeft" activeCell="B30" sqref="B30:B31"/>
    </sheetView>
  </sheetViews>
  <sheetFormatPr defaultColWidth="16.125" defaultRowHeight="14.25"/>
  <cols>
    <col min="2" max="2" width="22.5" customWidth="1"/>
    <col min="6" max="6" width="22.875" customWidth="1"/>
    <col min="7" max="7" width="18.625" customWidth="1"/>
  </cols>
  <sheetData>
    <row r="1" ht="22.5" spans="1:10">
      <c r="A1" s="57" t="s">
        <v>0</v>
      </c>
      <c r="B1" s="245" t="s">
        <v>104</v>
      </c>
      <c r="C1" s="246" t="s">
        <v>2</v>
      </c>
      <c r="D1" s="246" t="s">
        <v>3</v>
      </c>
      <c r="E1" s="246" t="s">
        <v>4</v>
      </c>
      <c r="F1" s="247" t="s">
        <v>170</v>
      </c>
      <c r="G1" s="248" t="s">
        <v>6</v>
      </c>
      <c r="H1" s="246" t="s">
        <v>7</v>
      </c>
      <c r="I1" s="212"/>
      <c r="J1" s="212"/>
    </row>
    <row r="2" ht="22.5" spans="1:11">
      <c r="A2" s="220" t="s">
        <v>111</v>
      </c>
      <c r="B2" s="197">
        <v>44880</v>
      </c>
      <c r="C2" s="198" t="s">
        <v>9</v>
      </c>
      <c r="D2" s="199" t="s">
        <v>92</v>
      </c>
      <c r="E2" s="198" t="s">
        <v>27</v>
      </c>
      <c r="F2" s="201">
        <v>0.17</v>
      </c>
      <c r="G2" s="213">
        <v>264000</v>
      </c>
      <c r="H2" s="198"/>
      <c r="I2" s="212"/>
      <c r="J2" s="212"/>
      <c r="K2" s="212"/>
    </row>
    <row r="3" ht="22.5" spans="1:11">
      <c r="A3" s="221" t="s">
        <v>62</v>
      </c>
      <c r="B3" s="222">
        <v>11745</v>
      </c>
      <c r="C3" s="216" t="s">
        <v>9</v>
      </c>
      <c r="D3" s="217" t="s">
        <v>73</v>
      </c>
      <c r="E3" s="216" t="s">
        <v>27</v>
      </c>
      <c r="F3" s="218">
        <v>0.145</v>
      </c>
      <c r="G3" s="252">
        <v>81000</v>
      </c>
      <c r="H3" s="216"/>
      <c r="I3" s="212"/>
      <c r="J3" s="212"/>
      <c r="K3" s="212"/>
    </row>
    <row r="4" ht="22.5" spans="1:11">
      <c r="A4" s="220" t="s">
        <v>52</v>
      </c>
      <c r="B4" s="197">
        <v>17400</v>
      </c>
      <c r="C4" s="198" t="s">
        <v>9</v>
      </c>
      <c r="D4" s="199" t="s">
        <v>73</v>
      </c>
      <c r="E4" s="198" t="s">
        <v>27</v>
      </c>
      <c r="F4" s="201">
        <v>0.145</v>
      </c>
      <c r="G4" s="213">
        <v>120000</v>
      </c>
      <c r="H4" s="198" t="s">
        <v>171</v>
      </c>
      <c r="I4" s="212"/>
      <c r="J4" s="212"/>
      <c r="K4" s="212"/>
    </row>
    <row r="5" ht="22.5" spans="1:10">
      <c r="A5" s="221" t="s">
        <v>77</v>
      </c>
      <c r="B5" s="222">
        <v>48600</v>
      </c>
      <c r="C5" s="216" t="s">
        <v>9</v>
      </c>
      <c r="D5" s="217" t="s">
        <v>172</v>
      </c>
      <c r="E5" s="216" t="s">
        <v>27</v>
      </c>
      <c r="F5" s="218">
        <v>0.135</v>
      </c>
      <c r="G5" s="219">
        <v>360000</v>
      </c>
      <c r="H5" s="216"/>
      <c r="I5" s="212"/>
      <c r="J5" s="212"/>
    </row>
    <row r="6" ht="22.5" spans="1:11">
      <c r="A6" s="129" t="s">
        <v>55</v>
      </c>
      <c r="B6" s="197">
        <v>3105</v>
      </c>
      <c r="C6" s="198" t="s">
        <v>9</v>
      </c>
      <c r="D6" s="199" t="s">
        <v>173</v>
      </c>
      <c r="E6" s="198" t="s">
        <v>27</v>
      </c>
      <c r="F6" s="201">
        <v>0.085</v>
      </c>
      <c r="G6" s="202"/>
      <c r="H6" s="198"/>
      <c r="I6" s="212"/>
      <c r="J6" s="212"/>
      <c r="K6" s="212"/>
    </row>
    <row r="7" ht="22.5" spans="1:11">
      <c r="A7" s="132"/>
      <c r="B7" s="197">
        <v>13020</v>
      </c>
      <c r="C7" s="198" t="s">
        <v>9</v>
      </c>
      <c r="D7" s="199" t="s">
        <v>148</v>
      </c>
      <c r="E7" s="198" t="s">
        <v>27</v>
      </c>
      <c r="F7" s="201">
        <v>0.155</v>
      </c>
      <c r="G7" s="202">
        <v>84000</v>
      </c>
      <c r="H7" s="198"/>
      <c r="I7" s="212"/>
      <c r="J7" s="212"/>
      <c r="K7" s="212"/>
    </row>
    <row r="8" ht="27" customHeight="1" spans="1:11">
      <c r="A8" s="253" t="s">
        <v>165</v>
      </c>
      <c r="B8" s="222">
        <v>4680</v>
      </c>
      <c r="C8" s="216" t="s">
        <v>9</v>
      </c>
      <c r="D8" s="217" t="s">
        <v>92</v>
      </c>
      <c r="E8" s="216" t="s">
        <v>27</v>
      </c>
      <c r="F8" s="218">
        <v>0.195</v>
      </c>
      <c r="G8" s="219">
        <v>24000</v>
      </c>
      <c r="H8" s="216"/>
      <c r="I8" s="212"/>
      <c r="J8" s="212"/>
      <c r="K8" s="212"/>
    </row>
    <row r="9" ht="27" customHeight="1" spans="1:11">
      <c r="A9" s="254"/>
      <c r="B9" s="222">
        <v>900</v>
      </c>
      <c r="C9" s="216" t="s">
        <v>9</v>
      </c>
      <c r="D9" s="217" t="s">
        <v>172</v>
      </c>
      <c r="E9" s="216" t="s">
        <v>27</v>
      </c>
      <c r="F9" s="218">
        <v>0.15</v>
      </c>
      <c r="G9" s="219">
        <v>6000</v>
      </c>
      <c r="H9" s="216"/>
      <c r="I9" s="212"/>
      <c r="J9" s="212"/>
      <c r="K9" s="212"/>
    </row>
    <row r="10" ht="22.5" spans="1:11">
      <c r="A10" s="226" t="s">
        <v>14</v>
      </c>
      <c r="B10" s="197">
        <v>70560</v>
      </c>
      <c r="C10" s="198" t="s">
        <v>9</v>
      </c>
      <c r="D10" s="199" t="s">
        <v>73</v>
      </c>
      <c r="E10" s="198" t="s">
        <v>27</v>
      </c>
      <c r="F10" s="201">
        <v>0.14</v>
      </c>
      <c r="G10" s="202">
        <v>504000</v>
      </c>
      <c r="H10" s="198"/>
      <c r="I10" s="212"/>
      <c r="J10" s="212"/>
      <c r="K10" s="212"/>
    </row>
    <row r="11" ht="22.5" spans="1:10">
      <c r="A11" s="214" t="s">
        <v>145</v>
      </c>
      <c r="B11" s="215">
        <v>26640</v>
      </c>
      <c r="C11" s="216" t="s">
        <v>9</v>
      </c>
      <c r="D11" s="217" t="s">
        <v>146</v>
      </c>
      <c r="E11" s="216" t="s">
        <v>27</v>
      </c>
      <c r="F11" s="218">
        <v>0.185</v>
      </c>
      <c r="G11" s="219">
        <v>144000</v>
      </c>
      <c r="H11" s="216"/>
      <c r="I11" s="212"/>
      <c r="J11" s="212"/>
    </row>
    <row r="12" ht="22.5" spans="1:11">
      <c r="A12" s="220" t="s">
        <v>34</v>
      </c>
      <c r="B12" s="197">
        <v>6960</v>
      </c>
      <c r="C12" s="198" t="s">
        <v>9</v>
      </c>
      <c r="D12" s="199" t="s">
        <v>73</v>
      </c>
      <c r="E12" s="198" t="s">
        <v>27</v>
      </c>
      <c r="F12" s="201">
        <v>0.145</v>
      </c>
      <c r="G12" s="202">
        <v>48000</v>
      </c>
      <c r="H12" s="198"/>
      <c r="I12" s="212"/>
      <c r="J12" s="212"/>
      <c r="K12" s="212"/>
    </row>
    <row r="13" ht="22.5" spans="1:11">
      <c r="A13" s="221" t="s">
        <v>45</v>
      </c>
      <c r="B13" s="222">
        <v>14790</v>
      </c>
      <c r="C13" s="216" t="s">
        <v>9</v>
      </c>
      <c r="D13" s="217" t="s">
        <v>73</v>
      </c>
      <c r="E13" s="216" t="s">
        <v>27</v>
      </c>
      <c r="F13" s="218">
        <v>0.145</v>
      </c>
      <c r="G13" s="219">
        <v>102000</v>
      </c>
      <c r="H13" s="216"/>
      <c r="I13" s="212"/>
      <c r="J13" s="212"/>
      <c r="K13" s="212"/>
    </row>
    <row r="14" ht="22.5" spans="1:11">
      <c r="A14" s="129" t="s">
        <v>8</v>
      </c>
      <c r="B14" s="197">
        <v>116130</v>
      </c>
      <c r="C14" s="198" t="s">
        <v>9</v>
      </c>
      <c r="D14" s="199" t="s">
        <v>162</v>
      </c>
      <c r="E14" s="198" t="s">
        <v>27</v>
      </c>
      <c r="F14" s="201">
        <v>0.12</v>
      </c>
      <c r="G14" s="202">
        <v>967750</v>
      </c>
      <c r="H14" s="198"/>
      <c r="I14" s="212"/>
      <c r="J14" s="212"/>
      <c r="K14" s="212"/>
    </row>
    <row r="15" ht="22.5" spans="1:11">
      <c r="A15" s="132"/>
      <c r="B15" s="197">
        <v>28800</v>
      </c>
      <c r="C15" s="198" t="s">
        <v>9</v>
      </c>
      <c r="D15" s="199" t="s">
        <v>160</v>
      </c>
      <c r="E15" s="198" t="s">
        <v>27</v>
      </c>
      <c r="F15" s="201">
        <v>0.08</v>
      </c>
      <c r="G15" s="202">
        <v>360000</v>
      </c>
      <c r="H15" s="198"/>
      <c r="I15" s="212"/>
      <c r="J15" s="212"/>
      <c r="K15" s="212"/>
    </row>
    <row r="16" ht="22.5" spans="1:11">
      <c r="A16" s="221" t="s">
        <v>174</v>
      </c>
      <c r="B16" s="222">
        <v>7650</v>
      </c>
      <c r="C16" s="216" t="s">
        <v>9</v>
      </c>
      <c r="D16" s="217" t="s">
        <v>73</v>
      </c>
      <c r="E16" s="216" t="s">
        <v>27</v>
      </c>
      <c r="F16" s="218">
        <v>0.15</v>
      </c>
      <c r="G16" s="219">
        <v>51000</v>
      </c>
      <c r="H16" s="216"/>
      <c r="I16" s="212"/>
      <c r="J16" s="212"/>
      <c r="K16" s="212"/>
    </row>
    <row r="17" ht="22.5" spans="1:11">
      <c r="A17" s="220" t="s">
        <v>95</v>
      </c>
      <c r="B17" s="197">
        <v>5700</v>
      </c>
      <c r="C17" s="198" t="s">
        <v>9</v>
      </c>
      <c r="D17" s="199" t="s">
        <v>126</v>
      </c>
      <c r="E17" s="198" t="s">
        <v>27</v>
      </c>
      <c r="F17" s="201">
        <v>0.475</v>
      </c>
      <c r="G17" s="202">
        <v>12000</v>
      </c>
      <c r="H17" s="198"/>
      <c r="I17" s="212"/>
      <c r="J17" s="212"/>
      <c r="K17" s="212"/>
    </row>
    <row r="18" ht="22.5" spans="1:11">
      <c r="A18" s="221" t="s">
        <v>175</v>
      </c>
      <c r="B18" s="222">
        <v>1332.05</v>
      </c>
      <c r="C18" s="216" t="s">
        <v>9</v>
      </c>
      <c r="D18" s="217" t="s">
        <v>73</v>
      </c>
      <c r="E18" s="216" t="s">
        <v>27</v>
      </c>
      <c r="F18" s="218">
        <v>0.148</v>
      </c>
      <c r="G18" s="219">
        <v>9000</v>
      </c>
      <c r="H18" s="216"/>
      <c r="I18" s="212"/>
      <c r="J18" s="212"/>
      <c r="K18" s="212"/>
    </row>
    <row r="19" ht="22.5" spans="1:11">
      <c r="A19" s="220" t="s">
        <v>176</v>
      </c>
      <c r="B19" s="197">
        <v>2700</v>
      </c>
      <c r="C19" s="198" t="s">
        <v>9</v>
      </c>
      <c r="D19" s="199" t="s">
        <v>162</v>
      </c>
      <c r="E19" s="198" t="s">
        <v>27</v>
      </c>
      <c r="F19" s="201">
        <v>0.15</v>
      </c>
      <c r="G19" s="202">
        <v>18000</v>
      </c>
      <c r="H19" s="200"/>
      <c r="I19" s="212"/>
      <c r="J19" s="212"/>
      <c r="K19" s="212"/>
    </row>
    <row r="20" ht="22.5" spans="1:11">
      <c r="A20" s="220" t="s">
        <v>75</v>
      </c>
      <c r="B20" s="197">
        <v>2730</v>
      </c>
      <c r="C20" s="198" t="s">
        <v>9</v>
      </c>
      <c r="D20" s="199" t="s">
        <v>148</v>
      </c>
      <c r="E20" s="198" t="s">
        <v>27</v>
      </c>
      <c r="F20" s="201">
        <v>0.13</v>
      </c>
      <c r="G20" s="202">
        <v>21000</v>
      </c>
      <c r="H20" s="200"/>
      <c r="I20" s="212"/>
      <c r="J20" s="212"/>
      <c r="K20" s="212"/>
    </row>
    <row r="21" ht="22.5" spans="1:11">
      <c r="A21" s="220" t="s">
        <v>150</v>
      </c>
      <c r="B21" s="197">
        <v>46741.5</v>
      </c>
      <c r="C21" s="198" t="s">
        <v>112</v>
      </c>
      <c r="D21" s="199" t="s">
        <v>130</v>
      </c>
      <c r="E21" s="198" t="s">
        <v>100</v>
      </c>
      <c r="F21" s="201">
        <v>1869.66</v>
      </c>
      <c r="G21" s="202">
        <v>25</v>
      </c>
      <c r="H21" s="200"/>
      <c r="I21" s="212"/>
      <c r="J21" s="212"/>
      <c r="K21" s="212"/>
    </row>
    <row r="22" ht="22.5" spans="1:11">
      <c r="A22" s="220" t="s">
        <v>177</v>
      </c>
      <c r="B22" s="197">
        <v>100800</v>
      </c>
      <c r="C22" s="198" t="s">
        <v>112</v>
      </c>
      <c r="D22" s="199" t="s">
        <v>114</v>
      </c>
      <c r="E22" s="198" t="s">
        <v>100</v>
      </c>
      <c r="F22" s="201">
        <v>2100</v>
      </c>
      <c r="G22" s="202">
        <v>48</v>
      </c>
      <c r="H22" s="200" t="s">
        <v>178</v>
      </c>
      <c r="I22" s="212"/>
      <c r="J22" s="212"/>
      <c r="K22" s="212"/>
    </row>
    <row r="23" ht="22.5" spans="1:11">
      <c r="A23" s="257" t="s">
        <v>17</v>
      </c>
      <c r="B23" s="258">
        <v>575863.55</v>
      </c>
      <c r="C23" s="225"/>
      <c r="D23" s="225"/>
      <c r="E23" s="225"/>
      <c r="F23" s="225"/>
      <c r="G23" s="225"/>
      <c r="H23" s="225"/>
      <c r="I23" s="212"/>
      <c r="J23" s="212"/>
      <c r="K23" s="212"/>
    </row>
    <row r="24" ht="15.75" customHeight="1" spans="1:11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</row>
    <row r="25" spans="1:11">
      <c r="A25" s="212" t="s">
        <v>179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</row>
    <row r="26" spans="1:11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</row>
    <row r="27" spans="1:11">
      <c r="A27" s="212"/>
      <c r="B27" s="212"/>
      <c r="C27" s="212"/>
      <c r="D27" s="212"/>
      <c r="E27" s="212"/>
      <c r="F27" s="212"/>
      <c r="G27" s="212"/>
      <c r="H27" s="212"/>
      <c r="I27" s="212"/>
      <c r="J27" s="212"/>
      <c r="K27" s="212"/>
    </row>
    <row r="28" spans="1:11">
      <c r="A28" s="212"/>
      <c r="B28" s="212"/>
      <c r="C28" s="212"/>
      <c r="D28" s="212"/>
      <c r="E28" s="212"/>
      <c r="F28" s="212"/>
      <c r="G28" s="212"/>
      <c r="H28" s="212"/>
      <c r="I28" s="212"/>
      <c r="J28" s="212"/>
      <c r="K28" s="212"/>
    </row>
    <row r="29" ht="27" customHeight="1" spans="1:8">
      <c r="A29" s="147" t="s">
        <v>0</v>
      </c>
      <c r="B29" s="179" t="s">
        <v>1</v>
      </c>
      <c r="C29" s="161" t="s">
        <v>2</v>
      </c>
      <c r="D29" s="161" t="s">
        <v>3</v>
      </c>
      <c r="E29" s="161" t="s">
        <v>4</v>
      </c>
      <c r="F29" s="180" t="s">
        <v>21</v>
      </c>
      <c r="G29" s="185" t="s">
        <v>6</v>
      </c>
      <c r="H29" s="161" t="s">
        <v>7</v>
      </c>
    </row>
    <row r="30" ht="27" customHeight="1" spans="1:8">
      <c r="A30" s="162" t="s">
        <v>97</v>
      </c>
      <c r="B30" s="242">
        <f>F30*G30</f>
        <v>452690</v>
      </c>
      <c r="C30" s="162" t="s">
        <v>112</v>
      </c>
      <c r="D30" s="162" t="s">
        <v>102</v>
      </c>
      <c r="E30" s="162" t="s">
        <v>100</v>
      </c>
      <c r="F30" s="162">
        <v>1115</v>
      </c>
      <c r="G30" s="162">
        <v>406</v>
      </c>
      <c r="H30" s="162"/>
    </row>
    <row r="31" ht="27" customHeight="1" spans="1:8">
      <c r="A31" s="162" t="s">
        <v>97</v>
      </c>
      <c r="B31" s="242">
        <f>F31*G31</f>
        <v>135600</v>
      </c>
      <c r="C31" s="162" t="s">
        <v>112</v>
      </c>
      <c r="D31" s="162" t="s">
        <v>117</v>
      </c>
      <c r="E31" s="162" t="s">
        <v>100</v>
      </c>
      <c r="F31" s="162">
        <v>1808</v>
      </c>
      <c r="G31" s="162">
        <v>75</v>
      </c>
      <c r="H31" s="162"/>
    </row>
    <row r="32" ht="22.5" spans="1:8">
      <c r="A32" s="260" t="s">
        <v>17</v>
      </c>
      <c r="B32" s="261">
        <v>588290</v>
      </c>
      <c r="C32" s="262"/>
      <c r="D32" s="262"/>
      <c r="E32" s="262"/>
      <c r="F32" s="262"/>
      <c r="G32" s="162"/>
      <c r="H32" s="162"/>
    </row>
    <row r="33" ht="22.5" spans="1:8">
      <c r="A33" s="263"/>
      <c r="B33" s="261"/>
      <c r="C33" s="262"/>
      <c r="D33" s="262"/>
      <c r="E33" s="262"/>
      <c r="F33" s="262"/>
      <c r="G33" s="162"/>
      <c r="H33" s="162"/>
    </row>
    <row r="34" spans="1:10">
      <c r="A34" s="264"/>
      <c r="B34" s="265"/>
      <c r="C34" s="264"/>
      <c r="D34" s="264"/>
      <c r="E34" s="264"/>
      <c r="F34" s="264"/>
      <c r="G34" s="231"/>
      <c r="H34" s="264"/>
      <c r="I34" s="40" t="s">
        <v>139</v>
      </c>
      <c r="J34" s="41">
        <v>39900</v>
      </c>
    </row>
    <row r="35" spans="1:10">
      <c r="A35" s="264"/>
      <c r="B35" s="265"/>
      <c r="C35" s="264"/>
      <c r="D35" s="264"/>
      <c r="E35" s="264"/>
      <c r="F35" s="264"/>
      <c r="G35" s="231"/>
      <c r="H35" s="264"/>
      <c r="I35" s="40" t="s">
        <v>28</v>
      </c>
      <c r="J35" s="41">
        <v>32400</v>
      </c>
    </row>
    <row r="36" spans="9:10">
      <c r="I36" s="40" t="s">
        <v>31</v>
      </c>
      <c r="J36" s="41">
        <v>111900</v>
      </c>
    </row>
    <row r="37" spans="9:10">
      <c r="I37" s="40" t="s">
        <v>32</v>
      </c>
      <c r="J37" s="41">
        <v>135939</v>
      </c>
    </row>
    <row r="38" spans="9:10">
      <c r="I38" s="40" t="s">
        <v>140</v>
      </c>
      <c r="J38" s="41">
        <v>186045</v>
      </c>
    </row>
    <row r="39" spans="9:10">
      <c r="I39" s="40" t="s">
        <v>142</v>
      </c>
      <c r="J39" s="41">
        <v>133782.6</v>
      </c>
    </row>
    <row r="40" spans="9:10">
      <c r="I40" s="42">
        <v>42736</v>
      </c>
      <c r="J40" s="41">
        <v>117630</v>
      </c>
    </row>
    <row r="41" spans="9:10">
      <c r="I41" s="40" t="s">
        <v>60</v>
      </c>
      <c r="J41" s="41">
        <v>56680</v>
      </c>
    </row>
    <row r="42" spans="9:10">
      <c r="I42" s="41" t="s">
        <v>58</v>
      </c>
      <c r="J42" s="43">
        <v>172605</v>
      </c>
    </row>
    <row r="43" spans="9:10">
      <c r="I43" s="41" t="s">
        <v>22</v>
      </c>
      <c r="J43" s="41">
        <v>224673</v>
      </c>
    </row>
    <row r="44" spans="9:10">
      <c r="I44" s="41" t="s">
        <v>24</v>
      </c>
      <c r="J44" s="41">
        <v>313761</v>
      </c>
    </row>
    <row r="45" spans="9:10">
      <c r="I45" s="41" t="s">
        <v>25</v>
      </c>
      <c r="J45" s="41">
        <v>561401.3</v>
      </c>
    </row>
    <row r="46" spans="9:10">
      <c r="I46" s="40" t="s">
        <v>28</v>
      </c>
      <c r="J46" s="41">
        <v>489075.24</v>
      </c>
    </row>
    <row r="47" spans="9:10">
      <c r="I47" s="40" t="s">
        <v>143</v>
      </c>
      <c r="J47" s="41">
        <v>1072775.15</v>
      </c>
    </row>
    <row r="48" spans="9:10">
      <c r="I48" s="41" t="s">
        <v>32</v>
      </c>
      <c r="J48" s="41">
        <v>1546532.63</v>
      </c>
    </row>
    <row r="49" spans="9:10">
      <c r="I49" s="41" t="s">
        <v>37</v>
      </c>
      <c r="J49" s="41">
        <v>1206965.46</v>
      </c>
    </row>
    <row r="50" spans="9:10">
      <c r="I50" s="41" t="s">
        <v>40</v>
      </c>
      <c r="J50" s="41">
        <v>1164153.55</v>
      </c>
    </row>
  </sheetData>
  <mergeCells count="3">
    <mergeCell ref="A6:A7"/>
    <mergeCell ref="A8:A9"/>
    <mergeCell ref="A14:A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E13" sqref="E13"/>
    </sheetView>
  </sheetViews>
  <sheetFormatPr defaultColWidth="11" defaultRowHeight="14.25"/>
  <cols>
    <col min="1" max="1" width="14.125" customWidth="1"/>
    <col min="2" max="2" width="13.875" customWidth="1"/>
    <col min="3" max="3" width="16" customWidth="1"/>
    <col min="6" max="6" width="20" customWidth="1"/>
  </cols>
  <sheetData>
    <row r="1" ht="30.95" customHeight="1" spans="1:9">
      <c r="A1" s="404" t="s">
        <v>19</v>
      </c>
      <c r="B1" s="404"/>
      <c r="C1" s="404"/>
      <c r="D1" s="404"/>
      <c r="E1" s="404"/>
      <c r="F1" s="405"/>
      <c r="G1" s="405"/>
      <c r="H1" s="405"/>
      <c r="I1" s="405"/>
    </row>
    <row r="2" ht="30" customHeight="1" spans="1:9">
      <c r="A2" s="156" t="s">
        <v>0</v>
      </c>
      <c r="B2" s="156" t="s">
        <v>20</v>
      </c>
      <c r="C2" s="156" t="s">
        <v>2</v>
      </c>
      <c r="D2" s="156" t="s">
        <v>3</v>
      </c>
      <c r="E2" s="156" t="s">
        <v>4</v>
      </c>
      <c r="F2" s="401" t="s">
        <v>21</v>
      </c>
      <c r="G2" s="401" t="s">
        <v>6</v>
      </c>
      <c r="H2" s="156" t="s">
        <v>7</v>
      </c>
      <c r="I2" s="405"/>
    </row>
    <row r="3" ht="36" customHeight="1" spans="1:9">
      <c r="A3" s="156" t="s">
        <v>8</v>
      </c>
      <c r="B3" s="156">
        <v>21600</v>
      </c>
      <c r="C3" s="156" t="s">
        <v>9</v>
      </c>
      <c r="D3" s="156">
        <v>3401</v>
      </c>
      <c r="E3" s="156" t="s">
        <v>10</v>
      </c>
      <c r="F3" s="401" t="s">
        <v>11</v>
      </c>
      <c r="G3" s="401" t="s">
        <v>12</v>
      </c>
      <c r="H3" s="156">
        <v>3</v>
      </c>
      <c r="I3" s="405"/>
    </row>
    <row r="4" ht="24.95" customHeight="1" spans="1:9">
      <c r="A4" s="156" t="s">
        <v>8</v>
      </c>
      <c r="B4" s="156">
        <v>21600</v>
      </c>
      <c r="C4" s="156" t="s">
        <v>9</v>
      </c>
      <c r="D4" s="156">
        <v>3401</v>
      </c>
      <c r="E4" s="156" t="s">
        <v>10</v>
      </c>
      <c r="F4" s="401" t="s">
        <v>11</v>
      </c>
      <c r="G4" s="401" t="s">
        <v>12</v>
      </c>
      <c r="H4" s="156" t="s">
        <v>22</v>
      </c>
      <c r="I4" s="405"/>
    </row>
    <row r="5" ht="38.1" customHeight="1" spans="1:9">
      <c r="A5" s="156"/>
      <c r="B5" s="156"/>
      <c r="C5" s="156"/>
      <c r="D5" s="156"/>
      <c r="E5" s="156"/>
      <c r="F5" s="401"/>
      <c r="G5" s="401"/>
      <c r="H5" s="156"/>
      <c r="I5" s="405"/>
    </row>
    <row r="6" ht="42.95" customHeight="1" spans="1:9">
      <c r="A6" s="156"/>
      <c r="B6" s="156"/>
      <c r="C6" s="156"/>
      <c r="D6" s="156"/>
      <c r="E6" s="156"/>
      <c r="F6" s="401"/>
      <c r="G6" s="401"/>
      <c r="H6" s="156"/>
      <c r="I6" s="405"/>
    </row>
    <row r="7" ht="32.1" customHeight="1" spans="1:9">
      <c r="A7" s="156"/>
      <c r="B7" s="156"/>
      <c r="C7" s="156"/>
      <c r="D7" s="156"/>
      <c r="E7" s="156"/>
      <c r="F7" s="401" t="s">
        <v>16</v>
      </c>
      <c r="G7" s="401"/>
      <c r="H7" s="401"/>
      <c r="I7" s="405"/>
    </row>
    <row r="10" ht="38.1" customHeight="1" spans="1:3">
      <c r="A10" s="406" t="s">
        <v>17</v>
      </c>
      <c r="B10" s="406">
        <v>43200</v>
      </c>
      <c r="C10" s="397" t="s">
        <v>18</v>
      </c>
    </row>
  </sheetData>
  <mergeCells count="1">
    <mergeCell ref="A1:E1"/>
  </mergeCells>
  <pageMargins left="0.75" right="0.75" top="1" bottom="1" header="0.5" footer="0.5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zoomScale="85" zoomScaleNormal="85" workbookViewId="0">
      <selection activeCell="B35" sqref="B35:B42"/>
    </sheetView>
  </sheetViews>
  <sheetFormatPr defaultColWidth="16.125" defaultRowHeight="14.25"/>
  <cols>
    <col min="2" max="2" width="22.5" customWidth="1"/>
    <col min="6" max="6" width="22.875" customWidth="1"/>
    <col min="7" max="7" width="18.625" customWidth="1"/>
    <col min="8" max="8" width="23.375" customWidth="1"/>
  </cols>
  <sheetData>
    <row r="1" ht="22.5" spans="1:10">
      <c r="A1" s="57" t="s">
        <v>0</v>
      </c>
      <c r="B1" s="245" t="s">
        <v>104</v>
      </c>
      <c r="C1" s="246" t="s">
        <v>2</v>
      </c>
      <c r="D1" s="246" t="s">
        <v>3</v>
      </c>
      <c r="E1" s="246" t="s">
        <v>4</v>
      </c>
      <c r="F1" s="247" t="s">
        <v>170</v>
      </c>
      <c r="G1" s="248" t="s">
        <v>6</v>
      </c>
      <c r="H1" s="246" t="s">
        <v>7</v>
      </c>
      <c r="I1" s="212"/>
      <c r="J1" s="212"/>
    </row>
    <row r="2" ht="22.5" spans="1:10">
      <c r="A2" s="12" t="s">
        <v>80</v>
      </c>
      <c r="B2" s="197">
        <v>28800</v>
      </c>
      <c r="C2" s="198" t="s">
        <v>9</v>
      </c>
      <c r="D2" s="198" t="s">
        <v>172</v>
      </c>
      <c r="E2" s="198" t="s">
        <v>27</v>
      </c>
      <c r="F2" s="201">
        <v>0.16</v>
      </c>
      <c r="G2" s="202">
        <v>180000</v>
      </c>
      <c r="H2" s="198" t="s">
        <v>180</v>
      </c>
      <c r="I2" s="212"/>
      <c r="J2" s="212"/>
    </row>
    <row r="3" ht="22.5" spans="1:10">
      <c r="A3" s="19"/>
      <c r="B3" s="197">
        <v>66285</v>
      </c>
      <c r="C3" s="198" t="s">
        <v>9</v>
      </c>
      <c r="D3" s="198" t="s">
        <v>92</v>
      </c>
      <c r="E3" s="198" t="s">
        <v>27</v>
      </c>
      <c r="F3" s="201">
        <v>0.2</v>
      </c>
      <c r="G3" s="202">
        <v>331425</v>
      </c>
      <c r="H3" s="198"/>
      <c r="I3" s="212"/>
      <c r="J3" s="212"/>
    </row>
    <row r="4" ht="22.5" spans="1:10">
      <c r="A4" s="249" t="s">
        <v>64</v>
      </c>
      <c r="B4" s="222">
        <v>3420</v>
      </c>
      <c r="C4" s="216" t="s">
        <v>9</v>
      </c>
      <c r="D4" s="216" t="s">
        <v>53</v>
      </c>
      <c r="E4" s="216" t="s">
        <v>27</v>
      </c>
      <c r="F4" s="218">
        <v>0.19</v>
      </c>
      <c r="G4" s="219">
        <v>18000</v>
      </c>
      <c r="H4" s="216" t="s">
        <v>180</v>
      </c>
      <c r="I4" s="212"/>
      <c r="J4" s="212"/>
    </row>
    <row r="5" ht="22.5" spans="1:11">
      <c r="A5" s="12" t="s">
        <v>52</v>
      </c>
      <c r="B5" s="197">
        <v>58725</v>
      </c>
      <c r="C5" s="198" t="s">
        <v>9</v>
      </c>
      <c r="D5" s="199" t="s">
        <v>73</v>
      </c>
      <c r="E5" s="198" t="s">
        <v>27</v>
      </c>
      <c r="F5" s="201">
        <v>0.145</v>
      </c>
      <c r="G5" s="213">
        <v>405000</v>
      </c>
      <c r="H5" s="250" t="s">
        <v>181</v>
      </c>
      <c r="I5" s="212"/>
      <c r="J5" s="212"/>
      <c r="K5" s="212"/>
    </row>
    <row r="6" ht="22.5" spans="1:11">
      <c r="A6" s="19"/>
      <c r="B6" s="197">
        <v>18360</v>
      </c>
      <c r="C6" s="198" t="s">
        <v>9</v>
      </c>
      <c r="D6" s="199" t="s">
        <v>53</v>
      </c>
      <c r="E6" s="198" t="s">
        <v>27</v>
      </c>
      <c r="F6" s="201">
        <v>0.18</v>
      </c>
      <c r="G6" s="213">
        <v>102000</v>
      </c>
      <c r="H6" s="251"/>
      <c r="I6" s="212"/>
      <c r="J6" s="212"/>
      <c r="K6" s="212"/>
    </row>
    <row r="7" ht="22.5" spans="1:11">
      <c r="A7" s="221" t="s">
        <v>111</v>
      </c>
      <c r="B7" s="222">
        <v>28560</v>
      </c>
      <c r="C7" s="216" t="s">
        <v>9</v>
      </c>
      <c r="D7" s="217" t="s">
        <v>92</v>
      </c>
      <c r="E7" s="216" t="s">
        <v>27</v>
      </c>
      <c r="F7" s="218">
        <v>0.17</v>
      </c>
      <c r="G7" s="252"/>
      <c r="H7" s="216" t="s">
        <v>180</v>
      </c>
      <c r="I7" s="212"/>
      <c r="J7" s="212"/>
      <c r="K7" s="212"/>
    </row>
    <row r="8" ht="22.5" spans="1:11">
      <c r="A8" s="220" t="s">
        <v>62</v>
      </c>
      <c r="B8" s="197">
        <v>8700</v>
      </c>
      <c r="C8" s="198" t="s">
        <v>9</v>
      </c>
      <c r="D8" s="199" t="s">
        <v>73</v>
      </c>
      <c r="E8" s="198" t="s">
        <v>27</v>
      </c>
      <c r="F8" s="201">
        <v>0.145</v>
      </c>
      <c r="G8" s="213"/>
      <c r="H8" s="198" t="s">
        <v>180</v>
      </c>
      <c r="I8" s="212"/>
      <c r="J8" s="212"/>
      <c r="K8" s="212"/>
    </row>
    <row r="9" ht="22.5" spans="1:11">
      <c r="A9" s="253" t="s">
        <v>77</v>
      </c>
      <c r="B9" s="222">
        <v>1680</v>
      </c>
      <c r="C9" s="216" t="s">
        <v>9</v>
      </c>
      <c r="D9" s="217" t="s">
        <v>91</v>
      </c>
      <c r="E9" s="216" t="s">
        <v>27</v>
      </c>
      <c r="F9" s="218">
        <v>0.28</v>
      </c>
      <c r="G9" s="252">
        <v>6000</v>
      </c>
      <c r="H9" s="216" t="s">
        <v>180</v>
      </c>
      <c r="I9" s="212"/>
      <c r="J9" s="212"/>
      <c r="K9" s="212"/>
    </row>
    <row r="10" ht="22.5" spans="1:10">
      <c r="A10" s="254"/>
      <c r="B10" s="222">
        <v>16800</v>
      </c>
      <c r="C10" s="216" t="s">
        <v>9</v>
      </c>
      <c r="D10" s="217" t="s">
        <v>172</v>
      </c>
      <c r="E10" s="216" t="s">
        <v>27</v>
      </c>
      <c r="F10" s="218">
        <v>0.14</v>
      </c>
      <c r="G10" s="219">
        <v>120000</v>
      </c>
      <c r="H10" s="216"/>
      <c r="I10" s="212"/>
      <c r="J10" s="212"/>
    </row>
    <row r="11" ht="22.5" spans="1:11">
      <c r="A11" s="129" t="s">
        <v>55</v>
      </c>
      <c r="B11" s="197">
        <v>3960</v>
      </c>
      <c r="C11" s="198" t="s">
        <v>9</v>
      </c>
      <c r="D11" s="199" t="s">
        <v>182</v>
      </c>
      <c r="E11" s="198" t="s">
        <v>27</v>
      </c>
      <c r="F11" s="201">
        <v>0.22</v>
      </c>
      <c r="G11" s="202">
        <v>18000</v>
      </c>
      <c r="H11" s="198" t="s">
        <v>180</v>
      </c>
      <c r="I11" s="212"/>
      <c r="J11" s="212"/>
      <c r="K11" s="212"/>
    </row>
    <row r="12" ht="22.5" spans="1:11">
      <c r="A12" s="132"/>
      <c r="B12" s="197">
        <v>22215</v>
      </c>
      <c r="C12" s="198" t="s">
        <v>9</v>
      </c>
      <c r="D12" s="199" t="s">
        <v>160</v>
      </c>
      <c r="E12" s="198" t="s">
        <v>27</v>
      </c>
      <c r="F12" s="201">
        <v>0.1</v>
      </c>
      <c r="G12" s="202">
        <v>222150</v>
      </c>
      <c r="H12" s="198"/>
      <c r="I12" s="212"/>
      <c r="J12" s="212"/>
      <c r="K12" s="212"/>
    </row>
    <row r="13" ht="27" customHeight="1" spans="1:11">
      <c r="A13" s="253" t="s">
        <v>165</v>
      </c>
      <c r="B13" s="222">
        <v>18000</v>
      </c>
      <c r="C13" s="216" t="s">
        <v>9</v>
      </c>
      <c r="D13" s="217" t="s">
        <v>172</v>
      </c>
      <c r="E13" s="216" t="s">
        <v>27</v>
      </c>
      <c r="F13" s="218">
        <v>0.15</v>
      </c>
      <c r="G13" s="219">
        <v>120000</v>
      </c>
      <c r="H13" s="216" t="s">
        <v>180</v>
      </c>
      <c r="I13" s="212"/>
      <c r="J13" s="212"/>
      <c r="K13" s="212"/>
    </row>
    <row r="14" ht="27" customHeight="1" spans="1:11">
      <c r="A14" s="254"/>
      <c r="B14" s="222">
        <v>42390</v>
      </c>
      <c r="C14" s="216" t="s">
        <v>9</v>
      </c>
      <c r="D14" s="217" t="s">
        <v>92</v>
      </c>
      <c r="E14" s="216" t="s">
        <v>27</v>
      </c>
      <c r="F14" s="218">
        <v>0.2</v>
      </c>
      <c r="G14" s="219">
        <v>211950</v>
      </c>
      <c r="H14" s="216"/>
      <c r="I14" s="212"/>
      <c r="J14" s="212"/>
      <c r="K14" s="212"/>
    </row>
    <row r="15" ht="22.5" spans="1:11">
      <c r="A15" s="12" t="s">
        <v>14</v>
      </c>
      <c r="B15" s="197">
        <v>66360</v>
      </c>
      <c r="C15" s="198" t="s">
        <v>9</v>
      </c>
      <c r="D15" s="199" t="s">
        <v>73</v>
      </c>
      <c r="E15" s="198" t="s">
        <v>27</v>
      </c>
      <c r="F15" s="201">
        <v>0.14</v>
      </c>
      <c r="G15" s="202">
        <v>504000</v>
      </c>
      <c r="H15" s="198" t="s">
        <v>180</v>
      </c>
      <c r="I15" s="212"/>
      <c r="J15" s="212"/>
      <c r="K15" s="212"/>
    </row>
    <row r="16" ht="22.5" spans="1:11">
      <c r="A16" s="19"/>
      <c r="B16" s="197">
        <v>49920</v>
      </c>
      <c r="C16" s="198" t="s">
        <v>9</v>
      </c>
      <c r="D16" s="199" t="s">
        <v>79</v>
      </c>
      <c r="E16" s="198" t="s">
        <v>27</v>
      </c>
      <c r="F16" s="201">
        <v>0.16</v>
      </c>
      <c r="G16" s="202">
        <v>312000</v>
      </c>
      <c r="H16" s="198"/>
      <c r="I16" s="212"/>
      <c r="J16" s="212"/>
      <c r="K16" s="212"/>
    </row>
    <row r="17" ht="22.5" spans="1:10">
      <c r="A17" s="214" t="s">
        <v>145</v>
      </c>
      <c r="B17" s="215">
        <v>8880</v>
      </c>
      <c r="C17" s="216" t="s">
        <v>9</v>
      </c>
      <c r="D17" s="217" t="s">
        <v>146</v>
      </c>
      <c r="E17" s="216" t="s">
        <v>27</v>
      </c>
      <c r="F17" s="218">
        <v>0.185</v>
      </c>
      <c r="G17" s="219">
        <v>48000</v>
      </c>
      <c r="H17" s="216" t="s">
        <v>180</v>
      </c>
      <c r="I17" s="212"/>
      <c r="J17" s="212"/>
    </row>
    <row r="18" ht="22.5" spans="1:11">
      <c r="A18" s="220" t="s">
        <v>34</v>
      </c>
      <c r="B18" s="197">
        <v>17400</v>
      </c>
      <c r="C18" s="198" t="s">
        <v>9</v>
      </c>
      <c r="D18" s="199" t="s">
        <v>73</v>
      </c>
      <c r="E18" s="198" t="s">
        <v>27</v>
      </c>
      <c r="F18" s="201">
        <v>0.145</v>
      </c>
      <c r="G18" s="202">
        <v>120000</v>
      </c>
      <c r="H18" s="198" t="s">
        <v>180</v>
      </c>
      <c r="I18" s="212"/>
      <c r="J18" s="212"/>
      <c r="K18" s="212"/>
    </row>
    <row r="19" ht="22.5" spans="1:11">
      <c r="A19" s="221" t="s">
        <v>45</v>
      </c>
      <c r="B19" s="222">
        <v>17400</v>
      </c>
      <c r="C19" s="216" t="s">
        <v>9</v>
      </c>
      <c r="D19" s="217" t="s">
        <v>73</v>
      </c>
      <c r="E19" s="216" t="s">
        <v>27</v>
      </c>
      <c r="F19" s="218">
        <v>0.145</v>
      </c>
      <c r="G19" s="219">
        <v>120000</v>
      </c>
      <c r="H19" s="216" t="s">
        <v>180</v>
      </c>
      <c r="I19" s="212"/>
      <c r="J19" s="212"/>
      <c r="K19" s="212"/>
    </row>
    <row r="20" ht="22.5" spans="1:11">
      <c r="A20" s="129" t="s">
        <v>183</v>
      </c>
      <c r="B20" s="197">
        <v>4200</v>
      </c>
      <c r="C20" s="198" t="s">
        <v>9</v>
      </c>
      <c r="D20" s="199" t="s">
        <v>146</v>
      </c>
      <c r="E20" s="198" t="s">
        <v>27</v>
      </c>
      <c r="F20" s="201">
        <v>0.2</v>
      </c>
      <c r="G20" s="202"/>
      <c r="H20" s="198" t="s">
        <v>180</v>
      </c>
      <c r="I20" s="212"/>
      <c r="J20" s="212"/>
      <c r="K20" s="212"/>
    </row>
    <row r="21" ht="22.5" spans="1:11">
      <c r="A21" s="132"/>
      <c r="B21" s="197">
        <v>4200</v>
      </c>
      <c r="C21" s="198" t="s">
        <v>9</v>
      </c>
      <c r="D21" s="199" t="s">
        <v>79</v>
      </c>
      <c r="E21" s="198" t="s">
        <v>27</v>
      </c>
      <c r="F21" s="201">
        <v>0.2</v>
      </c>
      <c r="G21" s="202"/>
      <c r="H21" s="198"/>
      <c r="I21" s="212"/>
      <c r="J21" s="212"/>
      <c r="K21" s="212"/>
    </row>
    <row r="22" ht="22.5" spans="1:11">
      <c r="A22" s="221" t="s">
        <v>175</v>
      </c>
      <c r="B22" s="222">
        <v>5772.2</v>
      </c>
      <c r="C22" s="216" t="s">
        <v>9</v>
      </c>
      <c r="D22" s="217" t="s">
        <v>73</v>
      </c>
      <c r="E22" s="216" t="s">
        <v>27</v>
      </c>
      <c r="F22" s="218">
        <v>0.148</v>
      </c>
      <c r="G22" s="219">
        <v>39000</v>
      </c>
      <c r="H22" s="255" t="s">
        <v>184</v>
      </c>
      <c r="I22" s="212"/>
      <c r="J22" s="212"/>
      <c r="K22" s="212"/>
    </row>
    <row r="23" ht="22.5" spans="1:11">
      <c r="A23" s="220" t="s">
        <v>95</v>
      </c>
      <c r="B23" s="197">
        <v>5700</v>
      </c>
      <c r="C23" s="198" t="s">
        <v>9</v>
      </c>
      <c r="D23" s="199" t="s">
        <v>126</v>
      </c>
      <c r="E23" s="198" t="s">
        <v>27</v>
      </c>
      <c r="F23" s="201">
        <v>0.475</v>
      </c>
      <c r="G23" s="202">
        <v>12000</v>
      </c>
      <c r="H23" s="198" t="s">
        <v>180</v>
      </c>
      <c r="I23" s="212"/>
      <c r="J23" s="212"/>
      <c r="K23" s="212"/>
    </row>
    <row r="24" ht="22.5" spans="1:11">
      <c r="A24" s="221" t="s">
        <v>90</v>
      </c>
      <c r="B24" s="222">
        <v>11700</v>
      </c>
      <c r="C24" s="216" t="s">
        <v>9</v>
      </c>
      <c r="D24" s="217" t="s">
        <v>162</v>
      </c>
      <c r="E24" s="216" t="s">
        <v>27</v>
      </c>
      <c r="F24" s="218">
        <v>0.15</v>
      </c>
      <c r="G24" s="219">
        <v>51000</v>
      </c>
      <c r="H24" s="234" t="s">
        <v>180</v>
      </c>
      <c r="I24" s="212"/>
      <c r="J24" s="212"/>
      <c r="K24" s="212"/>
    </row>
    <row r="25" ht="22.5" spans="1:11">
      <c r="A25" s="211" t="s">
        <v>123</v>
      </c>
      <c r="B25" s="256">
        <v>13500</v>
      </c>
      <c r="C25" s="198" t="s">
        <v>9</v>
      </c>
      <c r="D25" s="199" t="s">
        <v>148</v>
      </c>
      <c r="E25" s="198" t="s">
        <v>27</v>
      </c>
      <c r="F25" s="201">
        <v>0.15</v>
      </c>
      <c r="G25" s="202">
        <v>90000</v>
      </c>
      <c r="H25" s="200" t="s">
        <v>180</v>
      </c>
      <c r="I25" s="212"/>
      <c r="J25" s="212"/>
      <c r="K25" s="212"/>
    </row>
    <row r="26" ht="22.5" spans="1:11">
      <c r="A26" s="208"/>
      <c r="B26" s="256">
        <v>10280</v>
      </c>
      <c r="C26" s="198" t="s">
        <v>9</v>
      </c>
      <c r="D26" s="199" t="s">
        <v>160</v>
      </c>
      <c r="E26" s="198" t="s">
        <v>27</v>
      </c>
      <c r="F26" s="201">
        <v>0.095</v>
      </c>
      <c r="G26" s="202">
        <v>108210</v>
      </c>
      <c r="H26" s="200" t="s">
        <v>180</v>
      </c>
      <c r="I26" s="212"/>
      <c r="J26" s="212"/>
      <c r="K26" s="212"/>
    </row>
    <row r="27" ht="22.5" spans="1:11">
      <c r="A27" s="208" t="s">
        <v>8</v>
      </c>
      <c r="B27" s="241">
        <v>64500</v>
      </c>
      <c r="C27" s="198" t="s">
        <v>9</v>
      </c>
      <c r="D27" s="199" t="s">
        <v>172</v>
      </c>
      <c r="E27" s="198" t="s">
        <v>27</v>
      </c>
      <c r="F27" s="201">
        <v>0.215</v>
      </c>
      <c r="G27" s="202">
        <v>300000</v>
      </c>
      <c r="H27" s="200"/>
      <c r="I27" s="212"/>
      <c r="J27" s="212"/>
      <c r="K27" s="212"/>
    </row>
    <row r="28" ht="22.5" spans="1:11">
      <c r="A28" s="257" t="s">
        <v>17</v>
      </c>
      <c r="B28" s="258">
        <v>597707.2</v>
      </c>
      <c r="C28" s="225"/>
      <c r="D28" s="225"/>
      <c r="E28" s="225"/>
      <c r="F28" s="225"/>
      <c r="G28" s="225"/>
      <c r="H28" s="225"/>
      <c r="I28" s="212"/>
      <c r="J28" s="212"/>
      <c r="K28" s="212"/>
    </row>
    <row r="29" ht="15.75" customHeight="1" spans="1:11">
      <c r="A29" s="212"/>
      <c r="B29" s="212"/>
      <c r="C29" s="212"/>
      <c r="D29" s="212"/>
      <c r="E29" s="212"/>
      <c r="F29" s="212"/>
      <c r="G29" s="212"/>
      <c r="H29" s="212"/>
      <c r="I29" s="212"/>
      <c r="J29" s="212"/>
      <c r="K29" s="212"/>
    </row>
    <row r="30" spans="1:11">
      <c r="A30" s="212"/>
      <c r="B30" s="212"/>
      <c r="C30" s="212"/>
      <c r="D30" s="212"/>
      <c r="E30" s="212"/>
      <c r="F30" s="212"/>
      <c r="G30" s="212"/>
      <c r="H30" s="212"/>
      <c r="I30" s="212"/>
      <c r="J30" s="212"/>
      <c r="K30" s="212"/>
    </row>
    <row r="31" spans="1:11">
      <c r="A31" s="212"/>
      <c r="B31" s="212"/>
      <c r="C31" s="212"/>
      <c r="D31" s="212"/>
      <c r="E31" s="212"/>
      <c r="F31" s="212"/>
      <c r="G31" s="212"/>
      <c r="H31" s="212"/>
      <c r="I31" s="212"/>
      <c r="J31" s="212"/>
      <c r="K31" s="212"/>
    </row>
    <row r="32" spans="1:11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</row>
    <row r="33" spans="1:11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</row>
    <row r="34" ht="27" customHeight="1" spans="1:8">
      <c r="A34" s="147" t="s">
        <v>0</v>
      </c>
      <c r="B34" s="179" t="s">
        <v>1</v>
      </c>
      <c r="C34" s="161" t="s">
        <v>2</v>
      </c>
      <c r="D34" s="161" t="s">
        <v>3</v>
      </c>
      <c r="E34" s="161" t="s">
        <v>4</v>
      </c>
      <c r="F34" s="180" t="s">
        <v>21</v>
      </c>
      <c r="G34" s="185" t="s">
        <v>6</v>
      </c>
      <c r="H34" s="161" t="s">
        <v>7</v>
      </c>
    </row>
    <row r="35" ht="27" customHeight="1" spans="1:8">
      <c r="A35" s="147" t="s">
        <v>97</v>
      </c>
      <c r="B35" s="179">
        <v>144950</v>
      </c>
      <c r="C35" s="161" t="s">
        <v>112</v>
      </c>
      <c r="D35" s="161" t="s">
        <v>102</v>
      </c>
      <c r="E35" s="161" t="s">
        <v>100</v>
      </c>
      <c r="F35" s="180">
        <v>1115</v>
      </c>
      <c r="G35" s="185">
        <v>130</v>
      </c>
      <c r="H35" s="161" t="s">
        <v>159</v>
      </c>
    </row>
    <row r="36" ht="27" customHeight="1" spans="1:8">
      <c r="A36" s="162" t="s">
        <v>97</v>
      </c>
      <c r="B36" s="242">
        <v>88085</v>
      </c>
      <c r="C36" s="162" t="s">
        <v>112</v>
      </c>
      <c r="D36" s="162" t="s">
        <v>185</v>
      </c>
      <c r="E36" s="162" t="s">
        <v>100</v>
      </c>
      <c r="F36" s="162">
        <v>1115</v>
      </c>
      <c r="G36" s="162">
        <v>209</v>
      </c>
      <c r="H36" s="243"/>
    </row>
    <row r="37" ht="27" customHeight="1" spans="1:8">
      <c r="A37" s="162" t="s">
        <v>97</v>
      </c>
      <c r="B37" s="242">
        <v>45200</v>
      </c>
      <c r="C37" s="162" t="s">
        <v>112</v>
      </c>
      <c r="D37" s="244" t="s">
        <v>116</v>
      </c>
      <c r="E37" s="162" t="s">
        <v>100</v>
      </c>
      <c r="F37" s="244">
        <v>1808</v>
      </c>
      <c r="G37" s="162">
        <v>25</v>
      </c>
      <c r="H37" s="162"/>
    </row>
    <row r="38" ht="27" customHeight="1" spans="1:8">
      <c r="A38" s="162" t="s">
        <v>97</v>
      </c>
      <c r="B38" s="242">
        <v>43920</v>
      </c>
      <c r="C38" s="162" t="s">
        <v>112</v>
      </c>
      <c r="D38" s="244" t="s">
        <v>116</v>
      </c>
      <c r="E38" s="162" t="s">
        <v>100</v>
      </c>
      <c r="F38" s="244">
        <v>1830</v>
      </c>
      <c r="G38" s="162">
        <v>24</v>
      </c>
      <c r="H38" s="162"/>
    </row>
    <row r="39" ht="27" customHeight="1" spans="1:8">
      <c r="A39" s="162" t="s">
        <v>97</v>
      </c>
      <c r="B39" s="242">
        <v>86784</v>
      </c>
      <c r="C39" s="162" t="s">
        <v>112</v>
      </c>
      <c r="D39" s="162" t="s">
        <v>113</v>
      </c>
      <c r="E39" s="162" t="s">
        <v>100</v>
      </c>
      <c r="F39" s="162">
        <v>1808</v>
      </c>
      <c r="G39" s="162">
        <v>48</v>
      </c>
      <c r="H39" s="162"/>
    </row>
    <row r="40" ht="27" customHeight="1" spans="1:8">
      <c r="A40" s="162" t="s">
        <v>97</v>
      </c>
      <c r="B40" s="242">
        <v>43392</v>
      </c>
      <c r="C40" s="162" t="s">
        <v>112</v>
      </c>
      <c r="D40" s="259" t="s">
        <v>101</v>
      </c>
      <c r="E40" s="162" t="s">
        <v>100</v>
      </c>
      <c r="F40" s="259">
        <v>1808</v>
      </c>
      <c r="G40" s="162">
        <v>24</v>
      </c>
      <c r="H40" s="162"/>
    </row>
    <row r="41" ht="27" customHeight="1" spans="1:8">
      <c r="A41" s="162" t="s">
        <v>97</v>
      </c>
      <c r="B41" s="242">
        <v>187768</v>
      </c>
      <c r="C41" s="162" t="s">
        <v>112</v>
      </c>
      <c r="D41" s="259" t="s">
        <v>101</v>
      </c>
      <c r="E41" s="162" t="s">
        <v>100</v>
      </c>
      <c r="F41" s="259">
        <v>1916</v>
      </c>
      <c r="G41" s="162">
        <v>98</v>
      </c>
      <c r="H41" s="162"/>
    </row>
    <row r="42" ht="27" customHeight="1" spans="1:8">
      <c r="A42" s="162" t="s">
        <v>97</v>
      </c>
      <c r="B42" s="242">
        <v>45200</v>
      </c>
      <c r="C42" s="162" t="s">
        <v>112</v>
      </c>
      <c r="D42" s="162" t="s">
        <v>117</v>
      </c>
      <c r="E42" s="162" t="s">
        <v>100</v>
      </c>
      <c r="F42" s="162">
        <v>1808</v>
      </c>
      <c r="G42" s="162">
        <v>25</v>
      </c>
      <c r="H42" s="162"/>
    </row>
    <row r="43" ht="22.5" spans="1:8">
      <c r="A43" s="260" t="s">
        <v>17</v>
      </c>
      <c r="B43" s="261">
        <v>685299</v>
      </c>
      <c r="C43" s="262"/>
      <c r="D43" s="262"/>
      <c r="E43" s="262"/>
      <c r="F43" s="262"/>
      <c r="G43" s="162"/>
      <c r="H43" s="162"/>
    </row>
    <row r="44" ht="22.5" spans="1:8">
      <c r="A44" s="263"/>
      <c r="B44" s="261"/>
      <c r="C44" s="262"/>
      <c r="D44" s="262"/>
      <c r="E44" s="262"/>
      <c r="F44" s="262"/>
      <c r="G44" s="162"/>
      <c r="H44" s="162"/>
    </row>
    <row r="45" spans="1:10">
      <c r="A45" s="264"/>
      <c r="B45" s="265"/>
      <c r="C45" s="264"/>
      <c r="D45" s="264"/>
      <c r="E45" s="264"/>
      <c r="F45" s="264"/>
      <c r="G45" s="231"/>
      <c r="H45" s="264"/>
      <c r="I45" s="40" t="s">
        <v>139</v>
      </c>
      <c r="J45" s="41">
        <v>39900</v>
      </c>
    </row>
    <row r="46" spans="1:10">
      <c r="A46" s="264"/>
      <c r="B46" s="265"/>
      <c r="C46" s="264"/>
      <c r="D46" s="264"/>
      <c r="E46" s="264"/>
      <c r="F46" s="264"/>
      <c r="G46" s="231"/>
      <c r="H46" s="264"/>
      <c r="I46" s="40" t="s">
        <v>28</v>
      </c>
      <c r="J46" s="41">
        <v>32400</v>
      </c>
    </row>
    <row r="47" spans="9:10">
      <c r="I47" s="40" t="s">
        <v>31</v>
      </c>
      <c r="J47" s="41">
        <v>111900</v>
      </c>
    </row>
    <row r="48" spans="9:10">
      <c r="I48" s="40" t="s">
        <v>32</v>
      </c>
      <c r="J48" s="41">
        <v>135939</v>
      </c>
    </row>
    <row r="49" spans="9:10">
      <c r="I49" s="40" t="s">
        <v>140</v>
      </c>
      <c r="J49" s="41">
        <v>186045</v>
      </c>
    </row>
    <row r="50" spans="9:10">
      <c r="I50" s="40" t="s">
        <v>142</v>
      </c>
      <c r="J50" s="41">
        <v>133782.6</v>
      </c>
    </row>
    <row r="51" spans="9:10">
      <c r="I51" s="42">
        <v>42736</v>
      </c>
      <c r="J51" s="41">
        <v>117630</v>
      </c>
    </row>
    <row r="52" spans="9:10">
      <c r="I52" s="40" t="s">
        <v>60</v>
      </c>
      <c r="J52" s="41">
        <v>56680</v>
      </c>
    </row>
    <row r="53" spans="9:10">
      <c r="I53" s="41" t="s">
        <v>58</v>
      </c>
      <c r="J53" s="43">
        <v>172605</v>
      </c>
    </row>
    <row r="54" spans="9:10">
      <c r="I54" s="41" t="s">
        <v>22</v>
      </c>
      <c r="J54" s="41">
        <v>224673</v>
      </c>
    </row>
    <row r="55" spans="9:10">
      <c r="I55" s="41" t="s">
        <v>24</v>
      </c>
      <c r="J55" s="41">
        <v>313761</v>
      </c>
    </row>
    <row r="56" spans="9:10">
      <c r="I56" s="41" t="s">
        <v>25</v>
      </c>
      <c r="J56" s="41">
        <v>561401.3</v>
      </c>
    </row>
    <row r="57" spans="9:10">
      <c r="I57" s="40" t="s">
        <v>28</v>
      </c>
      <c r="J57" s="41">
        <v>489075.24</v>
      </c>
    </row>
    <row r="58" spans="9:10">
      <c r="I58" s="40" t="s">
        <v>143</v>
      </c>
      <c r="J58" s="41">
        <v>1072775.15</v>
      </c>
    </row>
    <row r="59" spans="9:10">
      <c r="I59" s="41" t="s">
        <v>32</v>
      </c>
      <c r="J59" s="41">
        <v>1546532.63</v>
      </c>
    </row>
    <row r="60" spans="9:10">
      <c r="I60" s="41" t="s">
        <v>37</v>
      </c>
      <c r="J60" s="41">
        <v>1206965.46</v>
      </c>
    </row>
    <row r="61" spans="9:10">
      <c r="I61" s="41" t="s">
        <v>40</v>
      </c>
      <c r="J61" s="41">
        <v>1164153.55</v>
      </c>
    </row>
    <row r="62" spans="9:10">
      <c r="I62" s="41" t="s">
        <v>44</v>
      </c>
      <c r="J62" s="41">
        <v>1283006.2</v>
      </c>
    </row>
  </sheetData>
  <mergeCells count="9">
    <mergeCell ref="A2:A3"/>
    <mergeCell ref="A5:A6"/>
    <mergeCell ref="A9:A10"/>
    <mergeCell ref="A11:A12"/>
    <mergeCell ref="A13:A14"/>
    <mergeCell ref="A15:A16"/>
    <mergeCell ref="A20:A21"/>
    <mergeCell ref="A25:A26"/>
    <mergeCell ref="H5:H6"/>
  </mergeCells>
  <pageMargins left="0.7" right="0.7" top="0.75" bottom="0.75" header="0.3" footer="0.3"/>
  <pageSetup paperSize="9" orientation="portrait" horizontalDpi="180" verticalDpi="18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zoomScale="90" zoomScaleNormal="90" workbookViewId="0">
      <pane ySplit="1" topLeftCell="A2" activePane="bottomLeft" state="frozen"/>
      <selection/>
      <selection pane="bottomLeft" activeCell="A11" sqref="A11:A12"/>
    </sheetView>
  </sheetViews>
  <sheetFormatPr defaultColWidth="16.125" defaultRowHeight="14.25"/>
  <cols>
    <col min="2" max="2" width="22.5" customWidth="1"/>
    <col min="6" max="6" width="22.875" customWidth="1"/>
    <col min="7" max="7" width="18.625" customWidth="1"/>
    <col min="8" max="8" width="23.375" customWidth="1"/>
  </cols>
  <sheetData>
    <row r="1" ht="26" customHeight="1" spans="1:10">
      <c r="A1" s="193" t="s">
        <v>0</v>
      </c>
      <c r="B1" s="194" t="s">
        <v>1</v>
      </c>
      <c r="C1" s="193" t="s">
        <v>2</v>
      </c>
      <c r="D1" s="193" t="s">
        <v>3</v>
      </c>
      <c r="E1" s="193" t="s">
        <v>4</v>
      </c>
      <c r="F1" s="195" t="s">
        <v>5</v>
      </c>
      <c r="G1" s="196" t="s">
        <v>6</v>
      </c>
      <c r="H1" s="193" t="s">
        <v>7</v>
      </c>
      <c r="I1" s="212"/>
      <c r="J1" s="212"/>
    </row>
    <row r="2" ht="24" customHeight="1" spans="1:11">
      <c r="A2" s="220" t="s">
        <v>80</v>
      </c>
      <c r="B2" s="197">
        <v>99600</v>
      </c>
      <c r="C2" s="198" t="s">
        <v>9</v>
      </c>
      <c r="D2" s="199" t="s">
        <v>172</v>
      </c>
      <c r="E2" s="198" t="s">
        <v>27</v>
      </c>
      <c r="F2" s="201">
        <v>0.2</v>
      </c>
      <c r="G2" s="202">
        <v>498000</v>
      </c>
      <c r="H2" s="200" t="s">
        <v>180</v>
      </c>
      <c r="I2" s="212"/>
      <c r="J2" s="212"/>
      <c r="K2" s="212"/>
    </row>
    <row r="3" ht="22.5" spans="1:11">
      <c r="A3" s="220" t="s">
        <v>42</v>
      </c>
      <c r="B3" s="197">
        <v>10920</v>
      </c>
      <c r="C3" s="198" t="s">
        <v>9</v>
      </c>
      <c r="D3" s="199" t="s">
        <v>91</v>
      </c>
      <c r="E3" s="198" t="s">
        <v>27</v>
      </c>
      <c r="F3" s="201">
        <v>0.28</v>
      </c>
      <c r="G3" s="213">
        <v>39000</v>
      </c>
      <c r="H3" s="198" t="s">
        <v>180</v>
      </c>
      <c r="I3" s="212"/>
      <c r="J3" s="212"/>
      <c r="K3" s="212"/>
    </row>
    <row r="4" ht="22.5" spans="1:10">
      <c r="A4" s="214" t="s">
        <v>111</v>
      </c>
      <c r="B4" s="215">
        <v>77550</v>
      </c>
      <c r="C4" s="216" t="s">
        <v>9</v>
      </c>
      <c r="D4" s="217" t="s">
        <v>92</v>
      </c>
      <c r="E4" s="216" t="s">
        <v>27</v>
      </c>
      <c r="F4" s="218">
        <v>0.235</v>
      </c>
      <c r="G4" s="219">
        <v>330000</v>
      </c>
      <c r="H4" s="216" t="s">
        <v>180</v>
      </c>
      <c r="I4" s="212"/>
      <c r="J4" s="212"/>
    </row>
    <row r="5" ht="22.5" spans="1:11">
      <c r="A5" s="220" t="s">
        <v>45</v>
      </c>
      <c r="B5" s="197">
        <v>9360</v>
      </c>
      <c r="C5" s="198" t="s">
        <v>9</v>
      </c>
      <c r="D5" s="199" t="s">
        <v>73</v>
      </c>
      <c r="E5" s="198" t="s">
        <v>27</v>
      </c>
      <c r="F5" s="201">
        <v>0.18</v>
      </c>
      <c r="G5" s="202">
        <v>52000</v>
      </c>
      <c r="H5" s="198" t="s">
        <v>180</v>
      </c>
      <c r="I5" s="212"/>
      <c r="J5" s="212"/>
      <c r="K5" s="212"/>
    </row>
    <row r="6" ht="22.5" spans="1:11">
      <c r="A6" s="221" t="s">
        <v>14</v>
      </c>
      <c r="B6" s="222">
        <v>36960</v>
      </c>
      <c r="C6" s="216" t="s">
        <v>9</v>
      </c>
      <c r="D6" s="217" t="s">
        <v>73</v>
      </c>
      <c r="E6" s="216" t="s">
        <v>27</v>
      </c>
      <c r="F6" s="218">
        <v>0.16</v>
      </c>
      <c r="G6" s="219">
        <v>231000</v>
      </c>
      <c r="H6" s="216" t="s">
        <v>180</v>
      </c>
      <c r="I6" s="212"/>
      <c r="J6" s="212"/>
      <c r="K6" s="212"/>
    </row>
    <row r="7" ht="22.5" spans="1:11">
      <c r="A7" s="220" t="s">
        <v>77</v>
      </c>
      <c r="B7" s="197">
        <v>123375</v>
      </c>
      <c r="C7" s="198" t="s">
        <v>9</v>
      </c>
      <c r="D7" s="199" t="s">
        <v>92</v>
      </c>
      <c r="E7" s="198" t="s">
        <v>27</v>
      </c>
      <c r="F7" s="201">
        <v>0.235</v>
      </c>
      <c r="G7" s="202">
        <v>525000</v>
      </c>
      <c r="H7" s="232" t="s">
        <v>180</v>
      </c>
      <c r="I7" s="212"/>
      <c r="J7" s="212"/>
      <c r="K7" s="212"/>
    </row>
    <row r="8" ht="22.5" spans="1:11">
      <c r="A8" s="221" t="s">
        <v>186</v>
      </c>
      <c r="B8" s="222">
        <v>21390</v>
      </c>
      <c r="C8" s="216" t="s">
        <v>9</v>
      </c>
      <c r="D8" s="217" t="s">
        <v>172</v>
      </c>
      <c r="E8" s="216" t="s">
        <v>27</v>
      </c>
      <c r="F8" s="218">
        <v>0.23</v>
      </c>
      <c r="G8" s="219">
        <v>93000</v>
      </c>
      <c r="H8" s="216" t="s">
        <v>180</v>
      </c>
      <c r="I8" s="212"/>
      <c r="J8" s="212"/>
      <c r="K8" s="212"/>
    </row>
    <row r="9" ht="24" customHeight="1" spans="1:11">
      <c r="A9" s="12" t="s">
        <v>55</v>
      </c>
      <c r="B9" s="197">
        <v>33165</v>
      </c>
      <c r="C9" s="198" t="s">
        <v>9</v>
      </c>
      <c r="D9" s="199" t="s">
        <v>148</v>
      </c>
      <c r="E9" s="198" t="s">
        <v>27</v>
      </c>
      <c r="F9" s="201">
        <v>0.165</v>
      </c>
      <c r="G9" s="202">
        <v>201000</v>
      </c>
      <c r="H9" s="200" t="s">
        <v>180</v>
      </c>
      <c r="I9" s="212"/>
      <c r="J9" s="212"/>
      <c r="K9" s="212"/>
    </row>
    <row r="10" ht="24" customHeight="1" spans="1:11">
      <c r="A10" s="19"/>
      <c r="B10" s="197">
        <v>22985</v>
      </c>
      <c r="C10" s="198" t="s">
        <v>9</v>
      </c>
      <c r="D10" s="199" t="s">
        <v>160</v>
      </c>
      <c r="E10" s="198" t="s">
        <v>27</v>
      </c>
      <c r="F10" s="201">
        <v>0.1</v>
      </c>
      <c r="G10" s="202">
        <v>229850</v>
      </c>
      <c r="H10" s="200"/>
      <c r="I10" s="212"/>
      <c r="J10" s="212"/>
      <c r="K10" s="212"/>
    </row>
    <row r="11" ht="24" customHeight="1" spans="1:11">
      <c r="A11" s="233" t="s">
        <v>183</v>
      </c>
      <c r="B11" s="222">
        <v>20400</v>
      </c>
      <c r="C11" s="216" t="s">
        <v>9</v>
      </c>
      <c r="D11" s="217" t="s">
        <v>146</v>
      </c>
      <c r="E11" s="216" t="s">
        <v>27</v>
      </c>
      <c r="F11" s="218">
        <v>0.2</v>
      </c>
      <c r="G11" s="219">
        <v>102000</v>
      </c>
      <c r="H11" s="234" t="s">
        <v>180</v>
      </c>
      <c r="I11" s="212"/>
      <c r="J11" s="212"/>
      <c r="K11" s="212"/>
    </row>
    <row r="12" ht="24" customHeight="1" spans="1:11">
      <c r="A12" s="235"/>
      <c r="B12" s="222">
        <v>20400</v>
      </c>
      <c r="C12" s="216" t="s">
        <v>9</v>
      </c>
      <c r="D12" s="217" t="s">
        <v>79</v>
      </c>
      <c r="E12" s="216" t="s">
        <v>27</v>
      </c>
      <c r="F12" s="218">
        <v>0.2</v>
      </c>
      <c r="G12" s="219">
        <v>102000</v>
      </c>
      <c r="H12" s="234"/>
      <c r="I12" s="212"/>
      <c r="J12" s="212"/>
      <c r="K12" s="212"/>
    </row>
    <row r="13" ht="24" customHeight="1" spans="1:11">
      <c r="A13" s="236" t="s">
        <v>165</v>
      </c>
      <c r="B13" s="197">
        <v>53295</v>
      </c>
      <c r="C13" s="198" t="s">
        <v>9</v>
      </c>
      <c r="D13" s="199" t="s">
        <v>92</v>
      </c>
      <c r="E13" s="198" t="s">
        <v>27</v>
      </c>
      <c r="F13" s="201">
        <v>0.22</v>
      </c>
      <c r="G13" s="202">
        <v>242250</v>
      </c>
      <c r="H13" s="200" t="s">
        <v>180</v>
      </c>
      <c r="I13" s="212"/>
      <c r="J13" s="212"/>
      <c r="K13" s="212"/>
    </row>
    <row r="14" ht="24" customHeight="1" spans="1:11">
      <c r="A14" s="237" t="s">
        <v>52</v>
      </c>
      <c r="B14" s="222">
        <v>72360</v>
      </c>
      <c r="C14" s="216" t="s">
        <v>9</v>
      </c>
      <c r="D14" s="217" t="s">
        <v>53</v>
      </c>
      <c r="E14" s="216" t="s">
        <v>27</v>
      </c>
      <c r="F14" s="218">
        <v>0.18</v>
      </c>
      <c r="G14" s="219">
        <v>402000</v>
      </c>
      <c r="H14" s="238" t="s">
        <v>187</v>
      </c>
      <c r="I14" s="212"/>
      <c r="J14" s="212"/>
      <c r="K14" s="212"/>
    </row>
    <row r="15" ht="24" customHeight="1" spans="1:11">
      <c r="A15" s="239"/>
      <c r="B15" s="222">
        <v>69310</v>
      </c>
      <c r="C15" s="216" t="s">
        <v>9</v>
      </c>
      <c r="D15" s="217" t="s">
        <v>73</v>
      </c>
      <c r="E15" s="216" t="s">
        <v>27</v>
      </c>
      <c r="F15" s="218">
        <v>0.145</v>
      </c>
      <c r="G15" s="219">
        <v>478000</v>
      </c>
      <c r="H15" s="240"/>
      <c r="I15" s="212"/>
      <c r="J15" s="212"/>
      <c r="K15" s="212"/>
    </row>
    <row r="16" ht="24" customHeight="1" spans="1:11">
      <c r="A16" s="237" t="s">
        <v>90</v>
      </c>
      <c r="B16" s="222">
        <v>24120</v>
      </c>
      <c r="C16" s="216" t="s">
        <v>9</v>
      </c>
      <c r="D16" s="217" t="s">
        <v>162</v>
      </c>
      <c r="E16" s="216" t="s">
        <v>27</v>
      </c>
      <c r="F16" s="218">
        <v>0.16</v>
      </c>
      <c r="G16" s="219">
        <v>150750</v>
      </c>
      <c r="H16" s="234"/>
      <c r="I16" s="212"/>
      <c r="J16" s="212"/>
      <c r="K16" s="212"/>
    </row>
    <row r="17" ht="24" customHeight="1" spans="1:11">
      <c r="A17" s="239"/>
      <c r="B17" s="222">
        <v>5850</v>
      </c>
      <c r="C17" s="216" t="s">
        <v>9</v>
      </c>
      <c r="D17" s="217" t="s">
        <v>160</v>
      </c>
      <c r="E17" s="216" t="s">
        <v>27</v>
      </c>
      <c r="F17" s="218">
        <v>0.1</v>
      </c>
      <c r="G17" s="219">
        <v>58500</v>
      </c>
      <c r="H17" s="234"/>
      <c r="I17" s="212"/>
      <c r="J17" s="212"/>
      <c r="K17" s="212"/>
    </row>
    <row r="18" ht="22.5" spans="1:11">
      <c r="A18" s="12" t="s">
        <v>75</v>
      </c>
      <c r="B18" s="241">
        <v>24360</v>
      </c>
      <c r="C18" s="198" t="s">
        <v>9</v>
      </c>
      <c r="D18" s="199" t="s">
        <v>162</v>
      </c>
      <c r="E18" s="198" t="s">
        <v>27</v>
      </c>
      <c r="F18" s="201">
        <v>0.145</v>
      </c>
      <c r="G18" s="202">
        <v>168000</v>
      </c>
      <c r="H18" s="200"/>
      <c r="I18" s="212"/>
      <c r="J18" s="212"/>
      <c r="K18" s="212"/>
    </row>
    <row r="19" ht="22.5" spans="1:11">
      <c r="A19" s="15"/>
      <c r="B19" s="241">
        <v>2955</v>
      </c>
      <c r="C19" s="198" t="s">
        <v>9</v>
      </c>
      <c r="D19" s="199" t="s">
        <v>160</v>
      </c>
      <c r="E19" s="198" t="s">
        <v>27</v>
      </c>
      <c r="F19" s="201">
        <v>0.1</v>
      </c>
      <c r="G19" s="202">
        <v>29550</v>
      </c>
      <c r="H19" s="200"/>
      <c r="I19" s="212"/>
      <c r="J19" s="212"/>
      <c r="K19" s="212"/>
    </row>
    <row r="20" ht="22.5" spans="1:11">
      <c r="A20" s="19"/>
      <c r="B20" s="241">
        <v>36300</v>
      </c>
      <c r="C20" s="198" t="s">
        <v>9</v>
      </c>
      <c r="D20" s="199" t="s">
        <v>172</v>
      </c>
      <c r="E20" s="198" t="s">
        <v>27</v>
      </c>
      <c r="F20" s="201">
        <v>0.22</v>
      </c>
      <c r="G20" s="202">
        <v>165000</v>
      </c>
      <c r="H20" s="200"/>
      <c r="I20" s="212"/>
      <c r="J20" s="212"/>
      <c r="K20" s="212"/>
    </row>
    <row r="21" ht="22.5" spans="1:11">
      <c r="A21" s="19" t="s">
        <v>188</v>
      </c>
      <c r="B21" s="241">
        <v>95250</v>
      </c>
      <c r="C21" s="198" t="s">
        <v>112</v>
      </c>
      <c r="D21" s="199" t="s">
        <v>189</v>
      </c>
      <c r="E21" s="198" t="s">
        <v>100</v>
      </c>
      <c r="F21" s="201">
        <v>1905</v>
      </c>
      <c r="G21" s="202">
        <v>50</v>
      </c>
      <c r="H21" s="200"/>
      <c r="I21" s="212"/>
      <c r="J21" s="212"/>
      <c r="K21" s="212"/>
    </row>
    <row r="22" ht="27" customHeight="1" spans="1:8">
      <c r="A22" s="147" t="s">
        <v>97</v>
      </c>
      <c r="B22" s="179">
        <v>376870</v>
      </c>
      <c r="C22" s="161" t="s">
        <v>112</v>
      </c>
      <c r="D22" s="161" t="s">
        <v>190</v>
      </c>
      <c r="E22" s="161" t="s">
        <v>100</v>
      </c>
      <c r="F22" s="180">
        <v>1115</v>
      </c>
      <c r="G22" s="185">
        <v>338</v>
      </c>
      <c r="H22" s="161"/>
    </row>
    <row r="23" ht="27" customHeight="1" spans="1:8">
      <c r="A23" s="162" t="s">
        <v>97</v>
      </c>
      <c r="B23" s="242">
        <v>84180</v>
      </c>
      <c r="C23" s="162" t="s">
        <v>112</v>
      </c>
      <c r="D23" s="162" t="s">
        <v>117</v>
      </c>
      <c r="E23" s="162" t="s">
        <v>100</v>
      </c>
      <c r="F23" s="162">
        <v>1830</v>
      </c>
      <c r="G23" s="162">
        <v>46</v>
      </c>
      <c r="H23" s="243"/>
    </row>
    <row r="24" ht="27" customHeight="1" spans="1:8">
      <c r="A24" s="162" t="s">
        <v>97</v>
      </c>
      <c r="B24" s="242">
        <v>45200</v>
      </c>
      <c r="C24" s="162" t="s">
        <v>112</v>
      </c>
      <c r="D24" s="244" t="s">
        <v>113</v>
      </c>
      <c r="E24" s="162" t="s">
        <v>100</v>
      </c>
      <c r="F24" s="244">
        <v>1808</v>
      </c>
      <c r="G24" s="162">
        <v>25</v>
      </c>
      <c r="H24" s="162"/>
    </row>
    <row r="25" ht="27" customHeight="1" spans="1:8">
      <c r="A25" s="162" t="s">
        <v>97</v>
      </c>
      <c r="B25" s="242">
        <v>47650</v>
      </c>
      <c r="C25" s="162" t="s">
        <v>112</v>
      </c>
      <c r="D25" s="244" t="s">
        <v>113</v>
      </c>
      <c r="E25" s="162" t="s">
        <v>100</v>
      </c>
      <c r="F25" s="244">
        <v>1906</v>
      </c>
      <c r="G25" s="162">
        <v>25</v>
      </c>
      <c r="H25" s="162"/>
    </row>
    <row r="26" ht="27" customHeight="1" spans="1:8">
      <c r="A26" s="162" t="s">
        <v>97</v>
      </c>
      <c r="B26" s="242">
        <v>45750</v>
      </c>
      <c r="C26" s="162" t="s">
        <v>112</v>
      </c>
      <c r="D26" s="162" t="s">
        <v>191</v>
      </c>
      <c r="E26" s="162" t="s">
        <v>100</v>
      </c>
      <c r="F26" s="162">
        <v>1830</v>
      </c>
      <c r="G26" s="162">
        <v>25</v>
      </c>
      <c r="H26" s="162"/>
    </row>
    <row r="27" ht="27" customHeight="1" spans="1:8">
      <c r="A27" s="162" t="s">
        <v>97</v>
      </c>
      <c r="B27" s="242">
        <v>93394</v>
      </c>
      <c r="C27" s="162" t="s">
        <v>112</v>
      </c>
      <c r="D27" s="162" t="s">
        <v>129</v>
      </c>
      <c r="E27" s="162" t="s">
        <v>100</v>
      </c>
      <c r="F27" s="162">
        <v>1906</v>
      </c>
      <c r="G27" s="162">
        <v>49</v>
      </c>
      <c r="H27" s="162"/>
    </row>
    <row r="28" spans="9:10">
      <c r="I28" s="40" t="s">
        <v>31</v>
      </c>
      <c r="J28" s="41">
        <v>111900</v>
      </c>
    </row>
    <row r="29" spans="9:10">
      <c r="I29" s="40" t="s">
        <v>32</v>
      </c>
      <c r="J29" s="41">
        <v>135939</v>
      </c>
    </row>
    <row r="30" spans="9:10">
      <c r="I30" s="40" t="s">
        <v>140</v>
      </c>
      <c r="J30" s="41">
        <v>186045</v>
      </c>
    </row>
    <row r="31" spans="9:10">
      <c r="I31" s="40" t="s">
        <v>142</v>
      </c>
      <c r="J31" s="41">
        <v>133782.6</v>
      </c>
    </row>
    <row r="32" spans="9:10">
      <c r="I32" s="42">
        <v>42736</v>
      </c>
      <c r="J32" s="41">
        <v>117630</v>
      </c>
    </row>
    <row r="33" spans="9:10">
      <c r="I33" s="40" t="s">
        <v>60</v>
      </c>
      <c r="J33" s="41">
        <v>56680</v>
      </c>
    </row>
    <row r="34" spans="9:10">
      <c r="I34" s="41" t="s">
        <v>58</v>
      </c>
      <c r="J34" s="43">
        <v>172605</v>
      </c>
    </row>
    <row r="35" spans="9:10">
      <c r="I35" s="41" t="s">
        <v>22</v>
      </c>
      <c r="J35" s="41">
        <v>224673</v>
      </c>
    </row>
    <row r="36" spans="9:10">
      <c r="I36" s="41" t="s">
        <v>24</v>
      </c>
      <c r="J36" s="41">
        <v>313761</v>
      </c>
    </row>
    <row r="37" spans="9:10">
      <c r="I37" s="41" t="s">
        <v>25</v>
      </c>
      <c r="J37" s="41">
        <v>561401.3</v>
      </c>
    </row>
    <row r="38" spans="9:10">
      <c r="I38" s="40" t="s">
        <v>28</v>
      </c>
      <c r="J38" s="41">
        <v>489075.24</v>
      </c>
    </row>
    <row r="39" spans="9:10">
      <c r="I39" s="40" t="s">
        <v>143</v>
      </c>
      <c r="J39" s="41">
        <v>1072775.15</v>
      </c>
    </row>
    <row r="40" spans="9:10">
      <c r="I40" s="41" t="s">
        <v>32</v>
      </c>
      <c r="J40" s="41">
        <v>1546532.63</v>
      </c>
    </row>
    <row r="41" spans="9:10">
      <c r="I41" s="41" t="s">
        <v>37</v>
      </c>
      <c r="J41" s="41">
        <v>1206965.46</v>
      </c>
    </row>
    <row r="42" spans="9:10">
      <c r="I42" s="41" t="s">
        <v>40</v>
      </c>
      <c r="J42" s="41">
        <v>1164153.55</v>
      </c>
    </row>
    <row r="43" spans="9:10">
      <c r="I43" s="41" t="s">
        <v>44</v>
      </c>
      <c r="J43" s="41">
        <v>1283006.2</v>
      </c>
    </row>
    <row r="44" spans="9:10">
      <c r="I44" s="42">
        <v>43101</v>
      </c>
      <c r="J44" s="41">
        <v>1552959</v>
      </c>
    </row>
    <row r="45" spans="9:10">
      <c r="I45" s="41"/>
      <c r="J45" s="41"/>
    </row>
    <row r="46" spans="9:10">
      <c r="I46" s="41"/>
      <c r="J46" s="41"/>
    </row>
    <row r="47" spans="9:10">
      <c r="I47" s="41"/>
      <c r="J47" s="41"/>
    </row>
    <row r="48" spans="9:10">
      <c r="I48" s="41"/>
      <c r="J48" s="41"/>
    </row>
    <row r="49" spans="9:10">
      <c r="I49" s="41"/>
      <c r="J49" s="41"/>
    </row>
    <row r="50" spans="9:10">
      <c r="I50" s="41"/>
      <c r="J50" s="41"/>
    </row>
  </sheetData>
  <mergeCells count="6">
    <mergeCell ref="A9:A10"/>
    <mergeCell ref="A11:A12"/>
    <mergeCell ref="A14:A15"/>
    <mergeCell ref="A16:A17"/>
    <mergeCell ref="A18:A20"/>
    <mergeCell ref="H14:H15"/>
  </mergeCells>
  <pageMargins left="0.7" right="0.7" top="0.75" bottom="0.75" header="0.3" footer="0.3"/>
  <pageSetup paperSize="9" orientation="portrait" verticalDpi="18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0" workbookViewId="0">
      <selection activeCell="A20" sqref="$A20:$XFD26"/>
    </sheetView>
  </sheetViews>
  <sheetFormatPr defaultColWidth="16.125" defaultRowHeight="14.25"/>
  <cols>
    <col min="2" max="2" width="22.5" customWidth="1"/>
    <col min="6" max="6" width="24.875" customWidth="1"/>
    <col min="7" max="7" width="18.625" customWidth="1"/>
    <col min="8" max="8" width="23.375" customWidth="1"/>
  </cols>
  <sheetData>
    <row r="1" ht="25" customHeight="1" spans="1:10">
      <c r="A1" s="193" t="s">
        <v>0</v>
      </c>
      <c r="B1" s="194" t="s">
        <v>1</v>
      </c>
      <c r="C1" s="193" t="s">
        <v>2</v>
      </c>
      <c r="D1" s="193" t="s">
        <v>3</v>
      </c>
      <c r="E1" s="193" t="s">
        <v>4</v>
      </c>
      <c r="F1" s="195" t="s">
        <v>5</v>
      </c>
      <c r="G1" s="196" t="s">
        <v>6</v>
      </c>
      <c r="H1" s="193" t="s">
        <v>7</v>
      </c>
      <c r="I1" s="212"/>
      <c r="J1" s="212"/>
    </row>
    <row r="2" ht="24" customHeight="1" spans="1:11">
      <c r="A2" s="12" t="s">
        <v>77</v>
      </c>
      <c r="B2" s="197">
        <v>84600</v>
      </c>
      <c r="C2" s="198" t="s">
        <v>9</v>
      </c>
      <c r="D2" s="199" t="s">
        <v>92</v>
      </c>
      <c r="E2" s="198" t="s">
        <v>27</v>
      </c>
      <c r="F2" s="201">
        <v>0.235</v>
      </c>
      <c r="G2" s="202">
        <v>360000</v>
      </c>
      <c r="H2" s="200"/>
      <c r="I2" s="212"/>
      <c r="J2" s="212"/>
      <c r="K2" s="212"/>
    </row>
    <row r="3" ht="22.5" spans="1:11">
      <c r="A3" s="19"/>
      <c r="B3" s="197">
        <v>11700</v>
      </c>
      <c r="C3" s="198" t="s">
        <v>9</v>
      </c>
      <c r="D3" s="199" t="s">
        <v>91</v>
      </c>
      <c r="E3" s="198" t="s">
        <v>27</v>
      </c>
      <c r="F3" s="201">
        <v>0.3</v>
      </c>
      <c r="G3" s="213">
        <v>39000</v>
      </c>
      <c r="H3" s="198"/>
      <c r="I3" s="212"/>
      <c r="J3" s="212"/>
      <c r="K3" s="212"/>
    </row>
    <row r="4" ht="22.5" spans="1:10">
      <c r="A4" s="214" t="s">
        <v>70</v>
      </c>
      <c r="B4" s="215">
        <v>11520.28</v>
      </c>
      <c r="C4" s="216" t="s">
        <v>9</v>
      </c>
      <c r="D4" s="217" t="s">
        <v>73</v>
      </c>
      <c r="E4" s="216" t="s">
        <v>27</v>
      </c>
      <c r="F4" s="218">
        <f>0.15385*1.17</f>
        <v>0.1800045</v>
      </c>
      <c r="G4" s="219"/>
      <c r="H4" s="216"/>
      <c r="I4" s="212"/>
      <c r="J4" s="212"/>
    </row>
    <row r="5" ht="22.5" spans="1:11">
      <c r="A5" s="220" t="s">
        <v>165</v>
      </c>
      <c r="B5" s="197">
        <v>33750</v>
      </c>
      <c r="C5" s="198" t="s">
        <v>9</v>
      </c>
      <c r="D5" s="199" t="s">
        <v>172</v>
      </c>
      <c r="E5" s="198" t="s">
        <v>27</v>
      </c>
      <c r="F5" s="201">
        <v>0.225</v>
      </c>
      <c r="G5" s="202">
        <v>150000</v>
      </c>
      <c r="H5" s="198"/>
      <c r="I5" s="212"/>
      <c r="J5" s="212"/>
      <c r="K5" s="212"/>
    </row>
    <row r="6" ht="22.5" spans="1:11">
      <c r="A6" s="221" t="s">
        <v>174</v>
      </c>
      <c r="B6" s="222">
        <v>18000</v>
      </c>
      <c r="C6" s="216" t="s">
        <v>9</v>
      </c>
      <c r="D6" s="217" t="s">
        <v>73</v>
      </c>
      <c r="E6" s="216" t="s">
        <v>27</v>
      </c>
      <c r="F6" s="218">
        <v>0.18</v>
      </c>
      <c r="G6" s="219">
        <v>100000</v>
      </c>
      <c r="H6" s="216"/>
      <c r="I6" s="212"/>
      <c r="J6" s="212"/>
      <c r="K6" s="212"/>
    </row>
    <row r="7" ht="22.5" spans="1:11">
      <c r="A7" s="12" t="s">
        <v>123</v>
      </c>
      <c r="B7" s="197">
        <v>15990</v>
      </c>
      <c r="C7" s="198" t="s">
        <v>9</v>
      </c>
      <c r="D7" s="199" t="s">
        <v>161</v>
      </c>
      <c r="E7" s="200" t="s">
        <v>89</v>
      </c>
      <c r="F7" s="201">
        <v>0.13</v>
      </c>
      <c r="G7" s="202">
        <v>123000</v>
      </c>
      <c r="H7" s="205" t="s">
        <v>192</v>
      </c>
      <c r="I7" s="212"/>
      <c r="J7" s="212"/>
      <c r="K7" s="212"/>
    </row>
    <row r="8" ht="22.5" spans="1:11">
      <c r="A8" s="15"/>
      <c r="B8" s="197">
        <v>14430</v>
      </c>
      <c r="C8" s="198" t="s">
        <v>9</v>
      </c>
      <c r="D8" s="199" t="s">
        <v>162</v>
      </c>
      <c r="E8" s="200" t="s">
        <v>89</v>
      </c>
      <c r="F8" s="201">
        <v>0.13</v>
      </c>
      <c r="G8" s="202">
        <v>111000</v>
      </c>
      <c r="H8" s="223"/>
      <c r="I8" s="212"/>
      <c r="J8" s="212"/>
      <c r="K8" s="212"/>
    </row>
    <row r="9" ht="24" customHeight="1" spans="1:11">
      <c r="A9" s="15"/>
      <c r="B9" s="197">
        <v>10800</v>
      </c>
      <c r="C9" s="198" t="s">
        <v>9</v>
      </c>
      <c r="D9" s="199" t="s">
        <v>148</v>
      </c>
      <c r="E9" s="200" t="s">
        <v>89</v>
      </c>
      <c r="F9" s="201">
        <v>0.15</v>
      </c>
      <c r="G9" s="202">
        <v>72000</v>
      </c>
      <c r="H9" s="223"/>
      <c r="I9" s="212"/>
      <c r="J9" s="212"/>
      <c r="K9" s="212"/>
    </row>
    <row r="10" ht="24" customHeight="1" spans="1:11">
      <c r="A10" s="19"/>
      <c r="B10" s="197">
        <v>4845</v>
      </c>
      <c r="C10" s="198" t="s">
        <v>9</v>
      </c>
      <c r="D10" s="199" t="s">
        <v>160</v>
      </c>
      <c r="E10" s="200" t="s">
        <v>89</v>
      </c>
      <c r="F10" s="201">
        <v>0.095</v>
      </c>
      <c r="G10" s="202">
        <v>51000</v>
      </c>
      <c r="H10" s="224"/>
      <c r="I10" s="212"/>
      <c r="J10" s="212"/>
      <c r="K10" s="212"/>
    </row>
    <row r="11" ht="24" customHeight="1" spans="1:11">
      <c r="A11" s="12" t="s">
        <v>123</v>
      </c>
      <c r="B11" s="197">
        <v>18300</v>
      </c>
      <c r="C11" s="198" t="s">
        <v>9</v>
      </c>
      <c r="D11" s="199" t="s">
        <v>173</v>
      </c>
      <c r="E11" s="200" t="s">
        <v>89</v>
      </c>
      <c r="F11" s="201">
        <v>0.1</v>
      </c>
      <c r="G11" s="202">
        <v>183000</v>
      </c>
      <c r="H11" s="205" t="s">
        <v>193</v>
      </c>
      <c r="I11" s="212"/>
      <c r="J11" s="212"/>
      <c r="K11" s="212"/>
    </row>
    <row r="12" ht="24" customHeight="1" spans="1:11">
      <c r="A12" s="15"/>
      <c r="B12" s="197">
        <v>16095</v>
      </c>
      <c r="C12" s="198" t="s">
        <v>9</v>
      </c>
      <c r="D12" s="199" t="s">
        <v>162</v>
      </c>
      <c r="E12" s="200" t="s">
        <v>89</v>
      </c>
      <c r="F12" s="201">
        <v>0.145</v>
      </c>
      <c r="G12" s="202">
        <v>111000</v>
      </c>
      <c r="H12" s="223"/>
      <c r="I12" s="212"/>
      <c r="J12" s="212"/>
      <c r="K12" s="212"/>
    </row>
    <row r="13" ht="24" customHeight="1" spans="1:11">
      <c r="A13" s="15"/>
      <c r="B13" s="197">
        <v>25650</v>
      </c>
      <c r="C13" s="198" t="s">
        <v>9</v>
      </c>
      <c r="D13" s="199" t="s">
        <v>148</v>
      </c>
      <c r="E13" s="200" t="s">
        <v>89</v>
      </c>
      <c r="F13" s="201">
        <v>0.15</v>
      </c>
      <c r="G13" s="202">
        <v>171000</v>
      </c>
      <c r="H13" s="223"/>
      <c r="I13" s="212"/>
      <c r="J13" s="212"/>
      <c r="K13" s="212"/>
    </row>
    <row r="14" ht="24" customHeight="1" spans="1:11">
      <c r="A14" s="19"/>
      <c r="B14" s="197">
        <v>17100</v>
      </c>
      <c r="C14" s="198" t="s">
        <v>9</v>
      </c>
      <c r="D14" s="199" t="s">
        <v>160</v>
      </c>
      <c r="E14" s="200" t="s">
        <v>89</v>
      </c>
      <c r="F14" s="201">
        <v>0.095</v>
      </c>
      <c r="G14" s="202">
        <v>180000</v>
      </c>
      <c r="H14" s="224"/>
      <c r="I14" s="212"/>
      <c r="J14" s="212"/>
      <c r="K14" s="212"/>
    </row>
    <row r="15" ht="21.75" customHeight="1" spans="1:11">
      <c r="A15" s="211" t="s">
        <v>8</v>
      </c>
      <c r="B15" s="197">
        <v>72000</v>
      </c>
      <c r="C15" s="198" t="s">
        <v>9</v>
      </c>
      <c r="D15" s="199" t="s">
        <v>162</v>
      </c>
      <c r="E15" s="225" t="s">
        <v>27</v>
      </c>
      <c r="F15" s="201">
        <v>0.12</v>
      </c>
      <c r="G15" s="202">
        <v>600000</v>
      </c>
      <c r="H15" s="206" t="s">
        <v>194</v>
      </c>
      <c r="I15" s="212"/>
      <c r="J15" s="212"/>
      <c r="K15" s="212"/>
    </row>
    <row r="16" ht="23.25" customHeight="1" spans="1:11">
      <c r="A16" s="208"/>
      <c r="B16" s="197">
        <v>34003.6</v>
      </c>
      <c r="C16" s="198" t="s">
        <v>9</v>
      </c>
      <c r="D16" s="199" t="s">
        <v>160</v>
      </c>
      <c r="E16" s="225" t="s">
        <v>27</v>
      </c>
      <c r="F16" s="201">
        <v>0.08</v>
      </c>
      <c r="G16" s="202">
        <v>425045</v>
      </c>
      <c r="H16" s="207"/>
      <c r="I16" s="212"/>
      <c r="J16" s="212"/>
      <c r="K16" s="212"/>
    </row>
    <row r="17" ht="23.25" customHeight="1" spans="1:11">
      <c r="A17" s="226" t="s">
        <v>64</v>
      </c>
      <c r="B17" s="227">
        <v>41400</v>
      </c>
      <c r="C17" s="198" t="s">
        <v>9</v>
      </c>
      <c r="D17" s="199" t="s">
        <v>53</v>
      </c>
      <c r="E17" s="198" t="s">
        <v>27</v>
      </c>
      <c r="F17" s="201">
        <v>0.2</v>
      </c>
      <c r="G17" s="202">
        <v>207000</v>
      </c>
      <c r="H17" s="228" t="s">
        <v>195</v>
      </c>
      <c r="I17" s="212"/>
      <c r="J17" s="212"/>
      <c r="K17" s="212"/>
    </row>
    <row r="18" ht="27" customHeight="1" spans="1:8">
      <c r="A18" s="147" t="s">
        <v>97</v>
      </c>
      <c r="B18" s="179">
        <v>45750</v>
      </c>
      <c r="C18" s="161" t="s">
        <v>112</v>
      </c>
      <c r="D18" s="161" t="s">
        <v>191</v>
      </c>
      <c r="E18" s="161" t="s">
        <v>100</v>
      </c>
      <c r="F18" s="180">
        <v>1830</v>
      </c>
      <c r="G18" s="185">
        <v>25</v>
      </c>
      <c r="H18" s="161" t="s">
        <v>159</v>
      </c>
    </row>
    <row r="19" ht="21" customHeight="1" spans="1:10">
      <c r="A19" s="229" t="s">
        <v>196</v>
      </c>
      <c r="B19" s="230">
        <v>95000</v>
      </c>
      <c r="C19" s="229" t="s">
        <v>112</v>
      </c>
      <c r="D19" s="229" t="s">
        <v>129</v>
      </c>
      <c r="E19" s="229" t="s">
        <v>100</v>
      </c>
      <c r="F19" s="229">
        <v>1960</v>
      </c>
      <c r="G19" s="229">
        <v>50</v>
      </c>
      <c r="H19" s="231" t="s">
        <v>159</v>
      </c>
      <c r="I19" s="40" t="s">
        <v>139</v>
      </c>
      <c r="J19" s="41">
        <v>39900</v>
      </c>
    </row>
    <row r="20" spans="9:10">
      <c r="I20" s="41" t="s">
        <v>24</v>
      </c>
      <c r="J20" s="41">
        <v>313761</v>
      </c>
    </row>
    <row r="21" spans="9:10">
      <c r="I21" s="41" t="s">
        <v>25</v>
      </c>
      <c r="J21" s="41">
        <v>561401.3</v>
      </c>
    </row>
    <row r="22" spans="9:10">
      <c r="I22" s="40" t="s">
        <v>28</v>
      </c>
      <c r="J22" s="41">
        <v>489075.24</v>
      </c>
    </row>
    <row r="23" spans="9:10">
      <c r="I23" s="40" t="s">
        <v>143</v>
      </c>
      <c r="J23" s="41">
        <v>1072775.15</v>
      </c>
    </row>
    <row r="24" spans="9:10">
      <c r="I24" s="41" t="s">
        <v>32</v>
      </c>
      <c r="J24" s="41">
        <v>1546532.63</v>
      </c>
    </row>
    <row r="25" spans="9:10">
      <c r="I25" s="41" t="s">
        <v>37</v>
      </c>
      <c r="J25" s="41">
        <v>1206965.46</v>
      </c>
    </row>
    <row r="26" spans="9:10">
      <c r="I26" s="41" t="s">
        <v>40</v>
      </c>
      <c r="J26" s="41">
        <v>1164153.55</v>
      </c>
    </row>
    <row r="27" spans="9:10">
      <c r="I27" s="41" t="s">
        <v>44</v>
      </c>
      <c r="J27" s="41">
        <v>1283006.2</v>
      </c>
    </row>
    <row r="28" spans="9:10">
      <c r="I28" s="42">
        <v>43101</v>
      </c>
      <c r="J28" s="41">
        <v>1552959</v>
      </c>
    </row>
    <row r="29" spans="9:10">
      <c r="I29" s="42">
        <v>43132</v>
      </c>
      <c r="J29" s="41">
        <v>570933.88</v>
      </c>
    </row>
    <row r="30" spans="9:10">
      <c r="I30" s="41"/>
      <c r="J30" s="41"/>
    </row>
    <row r="31" spans="9:10">
      <c r="I31" s="41"/>
      <c r="J31" s="41"/>
    </row>
    <row r="32" spans="9:10">
      <c r="I32" s="41"/>
      <c r="J32" s="41"/>
    </row>
    <row r="33" spans="9:10">
      <c r="I33" s="41"/>
      <c r="J33" s="41"/>
    </row>
    <row r="34" spans="9:10">
      <c r="I34" s="41"/>
      <c r="J34" s="41"/>
    </row>
  </sheetData>
  <mergeCells count="7">
    <mergeCell ref="A2:A3"/>
    <mergeCell ref="A7:A10"/>
    <mergeCell ref="A11:A14"/>
    <mergeCell ref="A15:A16"/>
    <mergeCell ref="H7:H10"/>
    <mergeCell ref="H11:H14"/>
    <mergeCell ref="H15:H16"/>
  </mergeCells>
  <pageMargins left="0.7" right="0.7" top="0.75" bottom="0.75" header="0.3" footer="0.3"/>
  <pageSetup paperSize="9" orientation="portrait" verticalDpi="18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E8" sqref="E8"/>
    </sheetView>
  </sheetViews>
  <sheetFormatPr defaultColWidth="16.125" defaultRowHeight="14.25"/>
  <cols>
    <col min="2" max="2" width="22.5" customWidth="1"/>
    <col min="6" max="6" width="24.875" customWidth="1"/>
    <col min="7" max="7" width="18.625" customWidth="1"/>
    <col min="8" max="8" width="26.375" customWidth="1"/>
  </cols>
  <sheetData>
    <row r="1" ht="25" customHeight="1" spans="1:10">
      <c r="A1" s="193" t="s">
        <v>0</v>
      </c>
      <c r="B1" s="194" t="s">
        <v>1</v>
      </c>
      <c r="C1" s="193" t="s">
        <v>2</v>
      </c>
      <c r="D1" s="193" t="s">
        <v>3</v>
      </c>
      <c r="E1" s="193" t="s">
        <v>4</v>
      </c>
      <c r="F1" s="195" t="s">
        <v>5</v>
      </c>
      <c r="G1" s="196" t="s">
        <v>6</v>
      </c>
      <c r="H1" s="193" t="s">
        <v>7</v>
      </c>
      <c r="I1" s="212"/>
      <c r="J1" s="212"/>
    </row>
    <row r="2" ht="22.5" spans="1:11">
      <c r="A2" s="12" t="s">
        <v>77</v>
      </c>
      <c r="B2" s="197">
        <v>141000</v>
      </c>
      <c r="C2" s="198" t="s">
        <v>9</v>
      </c>
      <c r="D2" s="199" t="s">
        <v>92</v>
      </c>
      <c r="E2" s="200" t="s">
        <v>27</v>
      </c>
      <c r="F2" s="201">
        <v>0.235</v>
      </c>
      <c r="G2" s="202">
        <v>600000</v>
      </c>
      <c r="H2" s="203" t="s">
        <v>197</v>
      </c>
      <c r="I2" s="212"/>
      <c r="J2" s="212"/>
      <c r="K2" s="212"/>
    </row>
    <row r="3" ht="22.5" spans="1:11">
      <c r="A3" s="15"/>
      <c r="B3" s="197">
        <v>52800</v>
      </c>
      <c r="C3" s="198" t="s">
        <v>9</v>
      </c>
      <c r="D3" s="199" t="s">
        <v>172</v>
      </c>
      <c r="E3" s="200" t="s">
        <v>27</v>
      </c>
      <c r="F3" s="201">
        <v>0.22</v>
      </c>
      <c r="G3" s="202">
        <v>240000</v>
      </c>
      <c r="H3" s="204"/>
      <c r="I3" s="212"/>
      <c r="J3" s="212"/>
      <c r="K3" s="212"/>
    </row>
    <row r="4" ht="24" customHeight="1" spans="1:11">
      <c r="A4" s="15"/>
      <c r="B4" s="197">
        <v>5400</v>
      </c>
      <c r="C4" s="198" t="s">
        <v>9</v>
      </c>
      <c r="D4" s="199" t="s">
        <v>91</v>
      </c>
      <c r="E4" s="200" t="s">
        <v>27</v>
      </c>
      <c r="F4" s="201">
        <v>0.3</v>
      </c>
      <c r="G4" s="202">
        <v>18000</v>
      </c>
      <c r="H4" s="204"/>
      <c r="I4" s="212"/>
      <c r="J4" s="212"/>
      <c r="K4" s="212"/>
    </row>
    <row r="5" ht="24" customHeight="1" spans="1:11">
      <c r="A5" s="12" t="s">
        <v>80</v>
      </c>
      <c r="B5" s="197">
        <v>168025</v>
      </c>
      <c r="C5" s="198" t="s">
        <v>9</v>
      </c>
      <c r="D5" s="199" t="s">
        <v>92</v>
      </c>
      <c r="E5" s="200" t="s">
        <v>27</v>
      </c>
      <c r="F5" s="201">
        <v>0.275</v>
      </c>
      <c r="G5" s="202">
        <v>611000</v>
      </c>
      <c r="H5" s="205" t="s">
        <v>197</v>
      </c>
      <c r="I5" s="212"/>
      <c r="J5" s="212"/>
      <c r="K5" s="212"/>
    </row>
    <row r="6" ht="21.75" customHeight="1" spans="1:11">
      <c r="A6" s="12" t="s">
        <v>14</v>
      </c>
      <c r="B6" s="197">
        <v>30720</v>
      </c>
      <c r="C6" s="198" t="s">
        <v>9</v>
      </c>
      <c r="D6" s="199" t="s">
        <v>73</v>
      </c>
      <c r="E6" s="200" t="s">
        <v>27</v>
      </c>
      <c r="F6" s="201">
        <v>0.16</v>
      </c>
      <c r="G6" s="202">
        <v>192000</v>
      </c>
      <c r="H6" s="206" t="s">
        <v>197</v>
      </c>
      <c r="I6" s="212"/>
      <c r="J6" s="212"/>
      <c r="K6" s="212"/>
    </row>
    <row r="7" ht="23.25" customHeight="1" spans="1:11">
      <c r="A7" s="19"/>
      <c r="B7" s="197">
        <v>80370</v>
      </c>
      <c r="C7" s="198" t="s">
        <v>9</v>
      </c>
      <c r="D7" s="199" t="s">
        <v>79</v>
      </c>
      <c r="E7" s="200" t="s">
        <v>27</v>
      </c>
      <c r="F7" s="201">
        <v>0.19</v>
      </c>
      <c r="G7" s="202">
        <v>423000</v>
      </c>
      <c r="H7" s="207"/>
      <c r="I7" s="212"/>
      <c r="J7" s="212"/>
      <c r="K7" s="212"/>
    </row>
    <row r="8" ht="23.25" customHeight="1" spans="1:11">
      <c r="A8" s="208" t="s">
        <v>75</v>
      </c>
      <c r="B8" s="197">
        <v>12360</v>
      </c>
      <c r="C8" s="198" t="s">
        <v>9</v>
      </c>
      <c r="D8" s="199" t="s">
        <v>173</v>
      </c>
      <c r="E8" s="200" t="s">
        <v>27</v>
      </c>
      <c r="F8" s="201">
        <v>0.1</v>
      </c>
      <c r="G8" s="202">
        <v>123600</v>
      </c>
      <c r="H8" s="209" t="s">
        <v>198</v>
      </c>
      <c r="I8" s="212"/>
      <c r="J8" s="212"/>
      <c r="K8" s="212"/>
    </row>
    <row r="9" ht="23.25" customHeight="1" spans="1:11">
      <c r="A9" s="208" t="s">
        <v>165</v>
      </c>
      <c r="B9" s="197">
        <v>77880</v>
      </c>
      <c r="C9" s="198" t="s">
        <v>9</v>
      </c>
      <c r="D9" s="199" t="s">
        <v>199</v>
      </c>
      <c r="E9" s="200" t="s">
        <v>27</v>
      </c>
      <c r="F9" s="201">
        <v>0.25</v>
      </c>
      <c r="G9" s="202">
        <v>311520</v>
      </c>
      <c r="H9" s="209" t="s">
        <v>198</v>
      </c>
      <c r="I9" s="212"/>
      <c r="J9" s="212"/>
      <c r="K9" s="212"/>
    </row>
    <row r="10" ht="23.25" customHeight="1" spans="1:11">
      <c r="A10" s="12" t="s">
        <v>8</v>
      </c>
      <c r="B10" s="197">
        <v>62400</v>
      </c>
      <c r="C10" s="198" t="s">
        <v>9</v>
      </c>
      <c r="D10" s="199" t="s">
        <v>92</v>
      </c>
      <c r="E10" s="200" t="s">
        <v>27</v>
      </c>
      <c r="F10" s="201">
        <v>0.26</v>
      </c>
      <c r="G10" s="202">
        <v>240000</v>
      </c>
      <c r="H10" s="210" t="s">
        <v>200</v>
      </c>
      <c r="I10" s="212"/>
      <c r="J10" s="212"/>
      <c r="K10" s="212"/>
    </row>
    <row r="11" ht="23.25" customHeight="1" spans="1:11">
      <c r="A11" s="19"/>
      <c r="B11" s="197">
        <v>18000</v>
      </c>
      <c r="C11" s="198" t="s">
        <v>9</v>
      </c>
      <c r="D11" s="199" t="s">
        <v>161</v>
      </c>
      <c r="E11" s="200" t="s">
        <v>27</v>
      </c>
      <c r="F11" s="201">
        <v>0.15</v>
      </c>
      <c r="G11" s="202">
        <v>120000</v>
      </c>
      <c r="H11" s="207" t="s">
        <v>201</v>
      </c>
      <c r="I11" s="212"/>
      <c r="J11" s="212"/>
      <c r="K11" s="212"/>
    </row>
    <row r="12" ht="23.25" customHeight="1" spans="1:11">
      <c r="A12" s="211" t="s">
        <v>42</v>
      </c>
      <c r="B12" s="197">
        <v>5580</v>
      </c>
      <c r="C12" s="198" t="s">
        <v>9</v>
      </c>
      <c r="D12" s="199" t="s">
        <v>91</v>
      </c>
      <c r="E12" s="200" t="s">
        <v>27</v>
      </c>
      <c r="F12" s="201">
        <v>0.31</v>
      </c>
      <c r="G12" s="202">
        <v>18000</v>
      </c>
      <c r="H12" s="207" t="s">
        <v>201</v>
      </c>
      <c r="I12" s="212"/>
      <c r="J12" s="212"/>
      <c r="K12" s="212"/>
    </row>
    <row r="13" ht="23.25" customHeight="1" spans="1:11">
      <c r="A13" s="208"/>
      <c r="B13" s="197">
        <v>2850</v>
      </c>
      <c r="C13" s="198" t="s">
        <v>9</v>
      </c>
      <c r="D13" s="199" t="s">
        <v>126</v>
      </c>
      <c r="E13" s="200" t="s">
        <v>27</v>
      </c>
      <c r="F13" s="201">
        <v>0.475</v>
      </c>
      <c r="G13" s="202">
        <v>6000</v>
      </c>
      <c r="H13" s="207" t="s">
        <v>201</v>
      </c>
      <c r="I13" s="212"/>
      <c r="J13" s="212"/>
      <c r="K13" s="212"/>
    </row>
    <row r="14" ht="23.25" customHeight="1" spans="1:11">
      <c r="A14" s="208" t="s">
        <v>45</v>
      </c>
      <c r="B14" s="197">
        <v>8640</v>
      </c>
      <c r="C14" s="198" t="s">
        <v>9</v>
      </c>
      <c r="D14" s="199" t="s">
        <v>73</v>
      </c>
      <c r="E14" s="200" t="s">
        <v>27</v>
      </c>
      <c r="F14" s="201">
        <v>0.18</v>
      </c>
      <c r="G14" s="202">
        <v>48000</v>
      </c>
      <c r="H14" s="207" t="s">
        <v>201</v>
      </c>
      <c r="I14" s="212"/>
      <c r="J14" s="212"/>
      <c r="K14" s="212"/>
    </row>
    <row r="15" ht="23.25" customHeight="1" spans="1:11">
      <c r="A15" s="208" t="s">
        <v>95</v>
      </c>
      <c r="B15" s="197">
        <v>5700</v>
      </c>
      <c r="C15" s="198" t="s">
        <v>9</v>
      </c>
      <c r="D15" s="199" t="s">
        <v>126</v>
      </c>
      <c r="E15" s="200" t="s">
        <v>27</v>
      </c>
      <c r="F15" s="201">
        <v>0.475</v>
      </c>
      <c r="G15" s="202">
        <v>12000</v>
      </c>
      <c r="H15" s="207" t="s">
        <v>201</v>
      </c>
      <c r="I15" s="212"/>
      <c r="J15" s="212"/>
      <c r="K15" s="212"/>
    </row>
    <row r="16" ht="23.25" customHeight="1" spans="1:11">
      <c r="A16" s="12" t="s">
        <v>183</v>
      </c>
      <c r="B16" s="197">
        <v>10200</v>
      </c>
      <c r="C16" s="198" t="s">
        <v>9</v>
      </c>
      <c r="D16" s="199" t="s">
        <v>79</v>
      </c>
      <c r="E16" s="200" t="s">
        <v>27</v>
      </c>
      <c r="F16" s="201">
        <v>0.2</v>
      </c>
      <c r="G16" s="202">
        <v>51000</v>
      </c>
      <c r="H16" s="207" t="s">
        <v>201</v>
      </c>
      <c r="I16" s="212"/>
      <c r="J16" s="212"/>
      <c r="K16" s="212"/>
    </row>
    <row r="17" ht="23.25" customHeight="1" spans="1:11">
      <c r="A17" s="19"/>
      <c r="B17" s="197">
        <v>10200</v>
      </c>
      <c r="C17" s="198" t="s">
        <v>9</v>
      </c>
      <c r="D17" s="199" t="s">
        <v>146</v>
      </c>
      <c r="E17" s="200" t="s">
        <v>27</v>
      </c>
      <c r="F17" s="201">
        <v>0.2</v>
      </c>
      <c r="G17" s="202">
        <v>51000</v>
      </c>
      <c r="H17" s="207" t="s">
        <v>201</v>
      </c>
      <c r="I17" s="212"/>
      <c r="J17" s="212"/>
      <c r="K17" s="212"/>
    </row>
    <row r="18" ht="23.25" customHeight="1" spans="1:11">
      <c r="A18" s="208" t="s">
        <v>62</v>
      </c>
      <c r="B18" s="197">
        <v>7540</v>
      </c>
      <c r="C18" s="198" t="s">
        <v>9</v>
      </c>
      <c r="D18" s="199" t="s">
        <v>73</v>
      </c>
      <c r="E18" s="200" t="s">
        <v>27</v>
      </c>
      <c r="F18" s="201">
        <v>0.145</v>
      </c>
      <c r="G18" s="202">
        <v>52000</v>
      </c>
      <c r="H18" s="207" t="s">
        <v>201</v>
      </c>
      <c r="I18" s="212"/>
      <c r="J18" s="212"/>
      <c r="K18" s="212"/>
    </row>
    <row r="19" ht="23.25" customHeight="1" spans="1:11">
      <c r="A19" s="208" t="s">
        <v>70</v>
      </c>
      <c r="B19" s="197">
        <v>2160.05</v>
      </c>
      <c r="C19" s="198" t="s">
        <v>9</v>
      </c>
      <c r="D19" s="199" t="s">
        <v>73</v>
      </c>
      <c r="E19" s="200" t="s">
        <v>27</v>
      </c>
      <c r="F19" s="201">
        <f>0.15385*1.17</f>
        <v>0.1800045</v>
      </c>
      <c r="G19" s="202">
        <f>B19/F19</f>
        <v>11999.9777783333</v>
      </c>
      <c r="H19" s="207" t="s">
        <v>201</v>
      </c>
      <c r="I19" s="212"/>
      <c r="J19" s="212"/>
      <c r="K19" s="212"/>
    </row>
    <row r="20" ht="23.25" customHeight="1" spans="1:11">
      <c r="A20" s="208" t="s">
        <v>176</v>
      </c>
      <c r="B20" s="197">
        <v>3465</v>
      </c>
      <c r="C20" s="198" t="s">
        <v>9</v>
      </c>
      <c r="D20" s="199" t="s">
        <v>162</v>
      </c>
      <c r="E20" s="200" t="s">
        <v>27</v>
      </c>
      <c r="F20" s="201">
        <v>0.165</v>
      </c>
      <c r="G20" s="202">
        <v>21000</v>
      </c>
      <c r="H20" s="207" t="s">
        <v>201</v>
      </c>
      <c r="I20" s="212"/>
      <c r="J20" s="212"/>
      <c r="K20" s="212"/>
    </row>
    <row r="21" ht="23.25" customHeight="1" spans="1:11">
      <c r="A21" s="208" t="s">
        <v>55</v>
      </c>
      <c r="B21" s="197">
        <v>20340</v>
      </c>
      <c r="C21" s="198" t="s">
        <v>9</v>
      </c>
      <c r="D21" s="199" t="s">
        <v>173</v>
      </c>
      <c r="E21" s="200" t="s">
        <v>27</v>
      </c>
      <c r="F21" s="201">
        <v>0.1</v>
      </c>
      <c r="G21" s="202">
        <v>203400</v>
      </c>
      <c r="H21" s="207" t="s">
        <v>201</v>
      </c>
      <c r="I21" s="212"/>
      <c r="J21" s="212"/>
      <c r="K21" s="212"/>
    </row>
    <row r="23" spans="9:10">
      <c r="I23" s="40" t="s">
        <v>139</v>
      </c>
      <c r="J23" s="41">
        <v>39900</v>
      </c>
    </row>
    <row r="24" spans="9:10">
      <c r="I24" s="40" t="s">
        <v>28</v>
      </c>
      <c r="J24" s="41">
        <v>32400</v>
      </c>
    </row>
    <row r="25" spans="9:10">
      <c r="I25" s="40" t="s">
        <v>31</v>
      </c>
      <c r="J25" s="41">
        <v>111900</v>
      </c>
    </row>
    <row r="26" spans="9:10">
      <c r="I26" s="40" t="s">
        <v>32</v>
      </c>
      <c r="J26" s="41">
        <v>135939</v>
      </c>
    </row>
    <row r="27" spans="9:10">
      <c r="I27" s="40" t="s">
        <v>140</v>
      </c>
      <c r="J27" s="41">
        <v>186045</v>
      </c>
    </row>
    <row r="28" spans="9:10">
      <c r="I28" s="40" t="s">
        <v>142</v>
      </c>
      <c r="J28" s="41">
        <v>133782.6</v>
      </c>
    </row>
    <row r="29" spans="9:10">
      <c r="I29" s="42">
        <v>42736</v>
      </c>
      <c r="J29" s="41">
        <v>117630</v>
      </c>
    </row>
    <row r="30" spans="9:10">
      <c r="I30" s="40" t="s">
        <v>60</v>
      </c>
      <c r="J30" s="41">
        <v>56680</v>
      </c>
    </row>
    <row r="31" spans="9:10">
      <c r="I31" s="41" t="s">
        <v>58</v>
      </c>
      <c r="J31" s="43">
        <v>172605</v>
      </c>
    </row>
    <row r="32" spans="9:10">
      <c r="I32" s="41" t="s">
        <v>22</v>
      </c>
      <c r="J32" s="41">
        <v>224673</v>
      </c>
    </row>
    <row r="33" spans="9:10">
      <c r="I33" s="41" t="s">
        <v>24</v>
      </c>
      <c r="J33" s="41">
        <v>313761</v>
      </c>
    </row>
    <row r="34" spans="9:10">
      <c r="I34" s="41" t="s">
        <v>25</v>
      </c>
      <c r="J34" s="41">
        <v>561401.3</v>
      </c>
    </row>
    <row r="35" spans="9:10">
      <c r="I35" s="40" t="s">
        <v>28</v>
      </c>
      <c r="J35" s="41">
        <v>489075.24</v>
      </c>
    </row>
    <row r="36" spans="9:10">
      <c r="I36" s="40" t="s">
        <v>143</v>
      </c>
      <c r="J36" s="41">
        <v>1072775.15</v>
      </c>
    </row>
    <row r="37" spans="9:10">
      <c r="I37" s="41" t="s">
        <v>32</v>
      </c>
      <c r="J37" s="41">
        <v>1546532.63</v>
      </c>
    </row>
    <row r="38" spans="9:10">
      <c r="I38" s="41" t="s">
        <v>37</v>
      </c>
      <c r="J38" s="41">
        <v>1206965.46</v>
      </c>
    </row>
    <row r="39" spans="9:10">
      <c r="I39" s="41" t="s">
        <v>40</v>
      </c>
      <c r="J39" s="41">
        <v>1164153.55</v>
      </c>
    </row>
    <row r="40" spans="9:10">
      <c r="I40" s="41" t="s">
        <v>44</v>
      </c>
      <c r="J40" s="41">
        <v>1283006.2</v>
      </c>
    </row>
    <row r="41" spans="9:10">
      <c r="I41" s="42">
        <v>43101</v>
      </c>
      <c r="J41" s="41">
        <v>1552959</v>
      </c>
    </row>
    <row r="42" spans="9:10">
      <c r="I42" s="42">
        <v>43132</v>
      </c>
      <c r="J42" s="41">
        <v>573933.88</v>
      </c>
    </row>
    <row r="43" spans="9:10">
      <c r="I43" s="42">
        <v>43160</v>
      </c>
      <c r="J43" s="41">
        <v>725630.05</v>
      </c>
    </row>
    <row r="44" spans="9:10">
      <c r="I44" s="41"/>
      <c r="J44" s="41"/>
    </row>
    <row r="45" spans="9:10">
      <c r="I45" s="41"/>
      <c r="J45" s="41"/>
    </row>
    <row r="46" spans="9:10">
      <c r="I46" s="41"/>
      <c r="J46" s="41"/>
    </row>
    <row r="47" spans="9:10">
      <c r="I47" s="41"/>
      <c r="J47" s="41"/>
    </row>
  </sheetData>
  <mergeCells count="7">
    <mergeCell ref="A2:A4"/>
    <mergeCell ref="A6:A7"/>
    <mergeCell ref="A10:A11"/>
    <mergeCell ref="A12:A13"/>
    <mergeCell ref="A16:A17"/>
    <mergeCell ref="H2:H4"/>
    <mergeCell ref="H6:H7"/>
  </mergeCells>
  <pageMargins left="0.7" right="0.7" top="0.75" bottom="0.75" header="0.3" footer="0.3"/>
  <pageSetup paperSize="9" orientation="portrait" verticalDpi="18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zoomScale="90" zoomScaleNormal="90" workbookViewId="0">
      <pane ySplit="1" topLeftCell="A8" activePane="bottomLeft" state="frozen"/>
      <selection/>
      <selection pane="bottomLeft" activeCell="A23" sqref="$A23:$XFD24"/>
    </sheetView>
  </sheetViews>
  <sheetFormatPr defaultColWidth="21.25" defaultRowHeight="21" customHeight="1"/>
  <cols>
    <col min="1" max="1" width="16.25" customWidth="1"/>
    <col min="3" max="3" width="15.125" customWidth="1"/>
    <col min="4" max="5" width="13.625" customWidth="1"/>
    <col min="6" max="6" width="25.875" customWidth="1"/>
    <col min="7" max="7" width="18" customWidth="1"/>
    <col min="8" max="8" width="18.875" customWidth="1"/>
  </cols>
  <sheetData>
    <row r="1" customHeight="1" spans="1:8">
      <c r="A1" s="147" t="s">
        <v>0</v>
      </c>
      <c r="B1" s="179" t="s">
        <v>1</v>
      </c>
      <c r="C1" s="161" t="s">
        <v>2</v>
      </c>
      <c r="D1" s="161" t="s">
        <v>3</v>
      </c>
      <c r="E1" s="161" t="s">
        <v>4</v>
      </c>
      <c r="F1" s="180" t="s">
        <v>5</v>
      </c>
      <c r="G1" s="185" t="s">
        <v>6</v>
      </c>
      <c r="H1" s="161" t="s">
        <v>7</v>
      </c>
    </row>
    <row r="2" customHeight="1" spans="1:9">
      <c r="A2" s="147" t="s">
        <v>150</v>
      </c>
      <c r="B2" s="179">
        <v>73750</v>
      </c>
      <c r="C2" s="161" t="s">
        <v>112</v>
      </c>
      <c r="D2" s="161" t="s">
        <v>202</v>
      </c>
      <c r="E2" s="161" t="s">
        <v>100</v>
      </c>
      <c r="F2" s="180">
        <v>2950</v>
      </c>
      <c r="G2" s="185">
        <v>25</v>
      </c>
      <c r="H2" s="161"/>
      <c r="I2" s="40" t="s">
        <v>203</v>
      </c>
    </row>
    <row r="3" customHeight="1" spans="1:9">
      <c r="A3" s="147" t="s">
        <v>97</v>
      </c>
      <c r="B3" s="179">
        <v>66872.62</v>
      </c>
      <c r="C3" s="161" t="s">
        <v>112</v>
      </c>
      <c r="D3" s="161" t="s">
        <v>204</v>
      </c>
      <c r="E3" s="161" t="s">
        <v>89</v>
      </c>
      <c r="F3" s="180">
        <f>+B3/G3</f>
        <v>0.0318441047619048</v>
      </c>
      <c r="G3" s="185">
        <v>2100000</v>
      </c>
      <c r="H3" s="186" t="s">
        <v>205</v>
      </c>
      <c r="I3" s="40" t="s">
        <v>203</v>
      </c>
    </row>
    <row r="4" customHeight="1" spans="1:9">
      <c r="A4" s="147" t="s">
        <v>52</v>
      </c>
      <c r="B4" s="179">
        <v>90000</v>
      </c>
      <c r="C4" s="161" t="s">
        <v>9</v>
      </c>
      <c r="D4" s="161" t="s">
        <v>73</v>
      </c>
      <c r="E4" s="161" t="s">
        <v>27</v>
      </c>
      <c r="F4" s="180">
        <v>0.18</v>
      </c>
      <c r="G4" s="185">
        <v>500000</v>
      </c>
      <c r="H4" s="186" t="s">
        <v>206</v>
      </c>
      <c r="I4" s="40" t="s">
        <v>203</v>
      </c>
    </row>
    <row r="5" customHeight="1" spans="1:9">
      <c r="A5" s="147" t="s">
        <v>88</v>
      </c>
      <c r="B5" s="179">
        <v>110000</v>
      </c>
      <c r="C5" s="161" t="s">
        <v>9</v>
      </c>
      <c r="D5" s="161" t="s">
        <v>73</v>
      </c>
      <c r="E5" s="161" t="s">
        <v>89</v>
      </c>
      <c r="F5" s="180">
        <v>0.22</v>
      </c>
      <c r="G5" s="185">
        <v>500000</v>
      </c>
      <c r="H5" s="186" t="s">
        <v>206</v>
      </c>
      <c r="I5" s="40" t="s">
        <v>203</v>
      </c>
    </row>
    <row r="6" customHeight="1" spans="1:9">
      <c r="A6" s="167" t="s">
        <v>14</v>
      </c>
      <c r="B6" s="179">
        <v>33600</v>
      </c>
      <c r="C6" s="161" t="s">
        <v>9</v>
      </c>
      <c r="D6" s="161" t="s">
        <v>73</v>
      </c>
      <c r="E6" s="161" t="s">
        <v>27</v>
      </c>
      <c r="F6" s="180">
        <v>0.175</v>
      </c>
      <c r="G6" s="185">
        <v>192000</v>
      </c>
      <c r="H6" s="186" t="s">
        <v>206</v>
      </c>
      <c r="I6" s="40" t="s">
        <v>203</v>
      </c>
    </row>
    <row r="7" customHeight="1" spans="1:9">
      <c r="A7" s="170"/>
      <c r="B7" s="179">
        <v>39000</v>
      </c>
      <c r="C7" s="161" t="s">
        <v>9</v>
      </c>
      <c r="D7" s="161" t="s">
        <v>79</v>
      </c>
      <c r="E7" s="161" t="s">
        <v>27</v>
      </c>
      <c r="F7" s="180">
        <v>0.2</v>
      </c>
      <c r="G7" s="185">
        <v>195000</v>
      </c>
      <c r="H7" s="186" t="s">
        <v>206</v>
      </c>
      <c r="I7" s="40" t="s">
        <v>203</v>
      </c>
    </row>
    <row r="8" customHeight="1" spans="1:9">
      <c r="A8" s="187" t="s">
        <v>207</v>
      </c>
      <c r="B8" s="179">
        <v>10920</v>
      </c>
      <c r="C8" s="161" t="s">
        <v>9</v>
      </c>
      <c r="D8" s="161" t="s">
        <v>208</v>
      </c>
      <c r="E8" s="161" t="s">
        <v>27</v>
      </c>
      <c r="F8" s="180">
        <v>0.21</v>
      </c>
      <c r="G8" s="185">
        <v>52000</v>
      </c>
      <c r="H8" s="186" t="s">
        <v>206</v>
      </c>
      <c r="I8" s="192" t="s">
        <v>209</v>
      </c>
    </row>
    <row r="9" customHeight="1" spans="1:9">
      <c r="A9" s="188" t="s">
        <v>75</v>
      </c>
      <c r="B9" s="179">
        <v>10080</v>
      </c>
      <c r="C9" s="161" t="s">
        <v>9</v>
      </c>
      <c r="D9" s="161" t="s">
        <v>146</v>
      </c>
      <c r="E9" s="161" t="s">
        <v>27</v>
      </c>
      <c r="F9" s="180">
        <v>0.21</v>
      </c>
      <c r="G9" s="185">
        <v>48000</v>
      </c>
      <c r="H9" s="186" t="s">
        <v>206</v>
      </c>
      <c r="I9" s="40" t="s">
        <v>203</v>
      </c>
    </row>
    <row r="10" customHeight="1" spans="1:9">
      <c r="A10" s="189"/>
      <c r="B10" s="179">
        <v>36540</v>
      </c>
      <c r="C10" s="161" t="s">
        <v>9</v>
      </c>
      <c r="D10" s="161" t="s">
        <v>161</v>
      </c>
      <c r="E10" s="161" t="s">
        <v>27</v>
      </c>
      <c r="F10" s="180">
        <v>0.145</v>
      </c>
      <c r="G10" s="185">
        <v>252000</v>
      </c>
      <c r="H10" s="186" t="s">
        <v>206</v>
      </c>
      <c r="I10" s="40" t="s">
        <v>203</v>
      </c>
    </row>
    <row r="11" customHeight="1" spans="1:9">
      <c r="A11" s="190"/>
      <c r="B11" s="179">
        <v>18540</v>
      </c>
      <c r="C11" s="161" t="s">
        <v>9</v>
      </c>
      <c r="D11" s="161" t="s">
        <v>160</v>
      </c>
      <c r="E11" s="161" t="s">
        <v>27</v>
      </c>
      <c r="F11" s="180">
        <v>0.1</v>
      </c>
      <c r="G11" s="185">
        <v>185400</v>
      </c>
      <c r="H11" s="186" t="s">
        <v>206</v>
      </c>
      <c r="I11" s="40" t="s">
        <v>203</v>
      </c>
    </row>
    <row r="12" customHeight="1" spans="1:9">
      <c r="A12" s="147" t="s">
        <v>174</v>
      </c>
      <c r="B12" s="179">
        <v>9000</v>
      </c>
      <c r="C12" s="161" t="s">
        <v>9</v>
      </c>
      <c r="D12" s="161" t="s">
        <v>73</v>
      </c>
      <c r="E12" s="161" t="s">
        <v>27</v>
      </c>
      <c r="F12" s="180">
        <v>0.18</v>
      </c>
      <c r="G12" s="185">
        <v>50000</v>
      </c>
      <c r="H12" s="186" t="s">
        <v>206</v>
      </c>
      <c r="I12" s="40" t="s">
        <v>203</v>
      </c>
    </row>
    <row r="13" customHeight="1" spans="1:9">
      <c r="A13" s="147" t="s">
        <v>45</v>
      </c>
      <c r="B13" s="179">
        <v>17280</v>
      </c>
      <c r="C13" s="161" t="s">
        <v>9</v>
      </c>
      <c r="D13" s="161" t="s">
        <v>73</v>
      </c>
      <c r="E13" s="161" t="s">
        <v>27</v>
      </c>
      <c r="F13" s="180">
        <v>0.18</v>
      </c>
      <c r="G13" s="185">
        <v>96000</v>
      </c>
      <c r="H13" s="186" t="s">
        <v>206</v>
      </c>
      <c r="I13" s="40" t="s">
        <v>203</v>
      </c>
    </row>
    <row r="14" customHeight="1" spans="1:9">
      <c r="A14" s="147" t="s">
        <v>70</v>
      </c>
      <c r="B14" s="179">
        <v>7200.18</v>
      </c>
      <c r="C14" s="161" t="s">
        <v>9</v>
      </c>
      <c r="D14" s="161" t="s">
        <v>73</v>
      </c>
      <c r="E14" s="161" t="s">
        <v>27</v>
      </c>
      <c r="F14" s="191">
        <f>0.15385*1.17</f>
        <v>0.1800045</v>
      </c>
      <c r="G14" s="185">
        <v>40000</v>
      </c>
      <c r="H14" s="186" t="s">
        <v>206</v>
      </c>
      <c r="I14" s="40" t="s">
        <v>203</v>
      </c>
    </row>
    <row r="15" customHeight="1" spans="1:9">
      <c r="A15" s="167" t="s">
        <v>77</v>
      </c>
      <c r="B15" s="179">
        <v>79200</v>
      </c>
      <c r="C15" s="161" t="s">
        <v>9</v>
      </c>
      <c r="D15" s="161" t="s">
        <v>172</v>
      </c>
      <c r="E15" s="161" t="s">
        <v>27</v>
      </c>
      <c r="F15" s="180">
        <v>0.22</v>
      </c>
      <c r="G15" s="185">
        <v>360000</v>
      </c>
      <c r="H15" s="186" t="s">
        <v>206</v>
      </c>
      <c r="I15" s="40" t="s">
        <v>203</v>
      </c>
    </row>
    <row r="16" customHeight="1" spans="1:9">
      <c r="A16" s="169"/>
      <c r="B16" s="179">
        <v>5400</v>
      </c>
      <c r="C16" s="161" t="s">
        <v>9</v>
      </c>
      <c r="D16" s="161" t="s">
        <v>91</v>
      </c>
      <c r="E16" s="161" t="s">
        <v>27</v>
      </c>
      <c r="F16" s="180">
        <v>0.3</v>
      </c>
      <c r="G16" s="185">
        <v>18000</v>
      </c>
      <c r="H16" s="186" t="s">
        <v>206</v>
      </c>
      <c r="I16" s="40" t="s">
        <v>210</v>
      </c>
    </row>
    <row r="17" customHeight="1" spans="1:9">
      <c r="A17" s="170"/>
      <c r="B17" s="179">
        <v>209150</v>
      </c>
      <c r="C17" s="161" t="s">
        <v>9</v>
      </c>
      <c r="D17" s="161" t="s">
        <v>92</v>
      </c>
      <c r="E17" s="161" t="s">
        <v>27</v>
      </c>
      <c r="F17" s="180">
        <v>0.235</v>
      </c>
      <c r="G17" s="185">
        <v>890000</v>
      </c>
      <c r="H17" s="186" t="s">
        <v>206</v>
      </c>
      <c r="I17" s="40" t="s">
        <v>210</v>
      </c>
    </row>
    <row r="18" customHeight="1" spans="1:9">
      <c r="A18" s="147" t="s">
        <v>95</v>
      </c>
      <c r="B18" s="179">
        <v>5700</v>
      </c>
      <c r="C18" s="161" t="s">
        <v>9</v>
      </c>
      <c r="D18" s="161" t="s">
        <v>126</v>
      </c>
      <c r="E18" s="161" t="s">
        <v>27</v>
      </c>
      <c r="F18" s="180">
        <v>0.475</v>
      </c>
      <c r="G18" s="185">
        <v>12000</v>
      </c>
      <c r="H18" s="186" t="s">
        <v>206</v>
      </c>
      <c r="I18" s="40" t="s">
        <v>210</v>
      </c>
    </row>
    <row r="19" customHeight="1" spans="1:9">
      <c r="A19" s="147" t="s">
        <v>8</v>
      </c>
      <c r="B19" s="179">
        <v>22500</v>
      </c>
      <c r="C19" s="161" t="s">
        <v>9</v>
      </c>
      <c r="D19" s="161" t="s">
        <v>161</v>
      </c>
      <c r="E19" s="161" t="s">
        <v>27</v>
      </c>
      <c r="F19" s="180">
        <v>0.15</v>
      </c>
      <c r="G19" s="185">
        <v>150000</v>
      </c>
      <c r="H19" s="186" t="s">
        <v>206</v>
      </c>
      <c r="I19" s="40" t="s">
        <v>210</v>
      </c>
    </row>
    <row r="20" customHeight="1" spans="1:9">
      <c r="A20" s="147" t="s">
        <v>80</v>
      </c>
      <c r="B20" s="179">
        <v>27450</v>
      </c>
      <c r="C20" s="161" t="s">
        <v>9</v>
      </c>
      <c r="D20" s="161" t="s">
        <v>211</v>
      </c>
      <c r="E20" s="161" t="s">
        <v>27</v>
      </c>
      <c r="F20" s="180">
        <v>0.244</v>
      </c>
      <c r="G20" s="185">
        <v>11250</v>
      </c>
      <c r="H20" s="186" t="s">
        <v>206</v>
      </c>
      <c r="I20" s="40" t="s">
        <v>212</v>
      </c>
    </row>
    <row r="21" customHeight="1" spans="1:9">
      <c r="A21" s="167" t="s">
        <v>165</v>
      </c>
      <c r="B21" s="179">
        <v>9750</v>
      </c>
      <c r="C21" s="161" t="s">
        <v>9</v>
      </c>
      <c r="D21" s="161" t="s">
        <v>199</v>
      </c>
      <c r="E21" s="161" t="s">
        <v>27</v>
      </c>
      <c r="F21" s="180">
        <v>0.25</v>
      </c>
      <c r="G21" s="185">
        <v>39000</v>
      </c>
      <c r="H21" s="186" t="s">
        <v>206</v>
      </c>
      <c r="I21" s="40" t="s">
        <v>212</v>
      </c>
    </row>
    <row r="22" customHeight="1" spans="1:9">
      <c r="A22" s="170"/>
      <c r="B22" s="179">
        <v>116070</v>
      </c>
      <c r="C22" s="161" t="s">
        <v>9</v>
      </c>
      <c r="D22" s="161" t="s">
        <v>92</v>
      </c>
      <c r="E22" s="161" t="s">
        <v>27</v>
      </c>
      <c r="F22" s="180">
        <v>0.265</v>
      </c>
      <c r="G22" s="185">
        <v>438000</v>
      </c>
      <c r="H22" s="186" t="s">
        <v>206</v>
      </c>
      <c r="I22" s="40" t="s">
        <v>212</v>
      </c>
    </row>
    <row r="24" customHeight="1" spans="9:10">
      <c r="I24" s="40" t="s">
        <v>139</v>
      </c>
      <c r="J24" s="41">
        <v>39900</v>
      </c>
    </row>
    <row r="25" customHeight="1" spans="9:10">
      <c r="I25" s="40" t="s">
        <v>28</v>
      </c>
      <c r="J25" s="41">
        <v>32400</v>
      </c>
    </row>
    <row r="26" customHeight="1" spans="9:10">
      <c r="I26" s="40" t="s">
        <v>31</v>
      </c>
      <c r="J26" s="41">
        <v>111900</v>
      </c>
    </row>
    <row r="27" customHeight="1" spans="9:10">
      <c r="I27" s="40" t="s">
        <v>32</v>
      </c>
      <c r="J27" s="41">
        <v>135939</v>
      </c>
    </row>
    <row r="28" customHeight="1" spans="9:10">
      <c r="I28" s="40" t="s">
        <v>140</v>
      </c>
      <c r="J28" s="41">
        <v>186045</v>
      </c>
    </row>
    <row r="29" customHeight="1" spans="9:10">
      <c r="I29" s="40" t="s">
        <v>142</v>
      </c>
      <c r="J29" s="41">
        <v>133782.6</v>
      </c>
    </row>
    <row r="30" customHeight="1" spans="9:10">
      <c r="I30" s="42">
        <v>42736</v>
      </c>
      <c r="J30" s="41">
        <v>117630</v>
      </c>
    </row>
    <row r="31" customHeight="1" spans="9:10">
      <c r="I31" s="40" t="s">
        <v>60</v>
      </c>
      <c r="J31" s="41">
        <v>56680</v>
      </c>
    </row>
    <row r="32" customHeight="1" spans="9:10">
      <c r="I32" s="41" t="s">
        <v>58</v>
      </c>
      <c r="J32" s="43">
        <v>172605</v>
      </c>
    </row>
    <row r="33" customHeight="1" spans="9:10">
      <c r="I33" s="41" t="s">
        <v>22</v>
      </c>
      <c r="J33" s="41">
        <v>224673</v>
      </c>
    </row>
    <row r="34" customHeight="1" spans="9:10">
      <c r="I34" s="41" t="s">
        <v>24</v>
      </c>
      <c r="J34" s="41">
        <v>313761</v>
      </c>
    </row>
    <row r="35" customHeight="1" spans="9:10">
      <c r="I35" s="41" t="s">
        <v>25</v>
      </c>
      <c r="J35" s="41">
        <v>561401.3</v>
      </c>
    </row>
    <row r="36" customHeight="1" spans="9:10">
      <c r="I36" s="40" t="s">
        <v>28</v>
      </c>
      <c r="J36" s="41">
        <v>489075.24</v>
      </c>
    </row>
    <row r="37" customHeight="1" spans="9:10">
      <c r="I37" s="40" t="s">
        <v>143</v>
      </c>
      <c r="J37" s="41">
        <v>1072775.15</v>
      </c>
    </row>
    <row r="38" customHeight="1" spans="9:10">
      <c r="I38" s="41" t="s">
        <v>32</v>
      </c>
      <c r="J38" s="41">
        <v>1546532.63</v>
      </c>
    </row>
    <row r="39" customHeight="1" spans="9:10">
      <c r="I39" s="41" t="s">
        <v>37</v>
      </c>
      <c r="J39" s="41">
        <v>1206965.46</v>
      </c>
    </row>
    <row r="40" customHeight="1" spans="9:10">
      <c r="I40" s="41" t="s">
        <v>40</v>
      </c>
      <c r="J40" s="41">
        <v>1164153.55</v>
      </c>
    </row>
    <row r="41" customHeight="1" spans="9:10">
      <c r="I41" s="41" t="s">
        <v>44</v>
      </c>
      <c r="J41" s="41">
        <v>1283006.2</v>
      </c>
    </row>
    <row r="42" customHeight="1" spans="9:10">
      <c r="I42" s="42">
        <v>43101</v>
      </c>
      <c r="J42" s="41">
        <v>1552959</v>
      </c>
    </row>
    <row r="43" customHeight="1" spans="9:10">
      <c r="I43" s="42">
        <v>43132</v>
      </c>
      <c r="J43" s="41">
        <v>573933.88</v>
      </c>
    </row>
    <row r="44" customHeight="1" spans="9:10">
      <c r="I44" s="42">
        <v>43160</v>
      </c>
      <c r="J44" s="41">
        <v>725630.05</v>
      </c>
    </row>
    <row r="45" customHeight="1" spans="9:10">
      <c r="I45" s="42">
        <v>43191</v>
      </c>
      <c r="J45" s="41">
        <v>998002.8</v>
      </c>
    </row>
    <row r="46" customHeight="1" spans="9:10">
      <c r="I46" s="41"/>
      <c r="J46" s="41"/>
    </row>
    <row r="47" customHeight="1" spans="9:10">
      <c r="I47" s="41"/>
      <c r="J47" s="41"/>
    </row>
    <row r="48" customHeight="1" spans="9:10">
      <c r="I48" s="41"/>
      <c r="J48" s="41"/>
    </row>
  </sheetData>
  <mergeCells count="4">
    <mergeCell ref="A6:A7"/>
    <mergeCell ref="A9:A11"/>
    <mergeCell ref="A15:A17"/>
    <mergeCell ref="A21:A22"/>
  </mergeCells>
  <pageMargins left="0.7" right="0.7" top="0.75" bottom="0.75" header="0.3" footer="0.3"/>
  <pageSetup paperSize="9" orientation="portrait" verticalDpi="18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pane ySplit="1" topLeftCell="A17" activePane="bottomLeft" state="frozen"/>
      <selection/>
      <selection pane="bottomLeft" activeCell="A27" sqref="$A27:$XFD27"/>
    </sheetView>
  </sheetViews>
  <sheetFormatPr defaultColWidth="9" defaultRowHeight="14.25"/>
  <cols>
    <col min="1" max="7" width="18.25" customWidth="1"/>
    <col min="8" max="8" width="34.125" customWidth="1"/>
    <col min="9" max="9" width="24.125" customWidth="1"/>
    <col min="10" max="10" width="11.75" customWidth="1"/>
    <col min="11" max="11" width="11.125" customWidth="1"/>
  </cols>
  <sheetData>
    <row r="1" ht="22.5" spans="1:9">
      <c r="A1" s="147" t="s">
        <v>0</v>
      </c>
      <c r="B1" s="152" t="s">
        <v>1</v>
      </c>
      <c r="C1" s="147" t="s">
        <v>2</v>
      </c>
      <c r="D1" s="147" t="s">
        <v>3</v>
      </c>
      <c r="E1" s="147" t="s">
        <v>4</v>
      </c>
      <c r="F1" s="153" t="s">
        <v>5</v>
      </c>
      <c r="G1" s="154" t="s">
        <v>6</v>
      </c>
      <c r="H1" s="147" t="s">
        <v>7</v>
      </c>
      <c r="I1" s="41"/>
    </row>
    <row r="2" ht="22.5" spans="1:9">
      <c r="A2" s="164" t="s">
        <v>165</v>
      </c>
      <c r="B2" s="92">
        <v>122550</v>
      </c>
      <c r="C2" s="165" t="s">
        <v>9</v>
      </c>
      <c r="D2" s="165" t="s">
        <v>199</v>
      </c>
      <c r="E2" s="165" t="s">
        <v>27</v>
      </c>
      <c r="F2" s="166">
        <v>0.25</v>
      </c>
      <c r="G2" s="166">
        <f>+B2/F2</f>
        <v>490200</v>
      </c>
      <c r="H2" s="165" t="s">
        <v>213</v>
      </c>
      <c r="I2" s="183">
        <v>43250</v>
      </c>
    </row>
    <row r="3" ht="22.5" spans="1:9">
      <c r="A3" s="164" t="s">
        <v>150</v>
      </c>
      <c r="B3" s="92">
        <v>68400</v>
      </c>
      <c r="C3" s="165" t="s">
        <v>112</v>
      </c>
      <c r="D3" s="165" t="s">
        <v>114</v>
      </c>
      <c r="E3" s="165" t="s">
        <v>100</v>
      </c>
      <c r="F3" s="166">
        <v>2850</v>
      </c>
      <c r="G3" s="166">
        <v>24</v>
      </c>
      <c r="H3" s="165" t="s">
        <v>213</v>
      </c>
      <c r="I3" s="183">
        <v>43250</v>
      </c>
    </row>
    <row r="4" ht="22.5" spans="1:9">
      <c r="A4" s="167" t="s">
        <v>123</v>
      </c>
      <c r="B4" s="168">
        <f>+G4*F4</f>
        <v>6525</v>
      </c>
      <c r="C4" s="147" t="s">
        <v>9</v>
      </c>
      <c r="D4" s="147" t="s">
        <v>161</v>
      </c>
      <c r="E4" s="147" t="s">
        <v>89</v>
      </c>
      <c r="F4" s="156">
        <v>0.145</v>
      </c>
      <c r="G4" s="156">
        <v>45000</v>
      </c>
      <c r="H4" s="147" t="s">
        <v>214</v>
      </c>
      <c r="I4" s="184">
        <v>43258</v>
      </c>
    </row>
    <row r="5" ht="22.5" spans="1:9">
      <c r="A5" s="169"/>
      <c r="B5" s="168">
        <f>+G5*F5</f>
        <v>30450</v>
      </c>
      <c r="C5" s="147" t="s">
        <v>9</v>
      </c>
      <c r="D5" s="147" t="s">
        <v>162</v>
      </c>
      <c r="E5" s="147" t="s">
        <v>89</v>
      </c>
      <c r="F5" s="156">
        <v>0.145</v>
      </c>
      <c r="G5" s="156">
        <v>210000</v>
      </c>
      <c r="H5" s="147" t="s">
        <v>214</v>
      </c>
      <c r="I5" s="184">
        <v>43258</v>
      </c>
    </row>
    <row r="6" ht="22.5" spans="1:9">
      <c r="A6" s="170"/>
      <c r="B6" s="168">
        <f>+G6*F6</f>
        <v>24000</v>
      </c>
      <c r="C6" s="147" t="s">
        <v>9</v>
      </c>
      <c r="D6" s="147" t="s">
        <v>173</v>
      </c>
      <c r="E6" s="147" t="s">
        <v>89</v>
      </c>
      <c r="F6" s="156">
        <v>0.1</v>
      </c>
      <c r="G6" s="156">
        <v>240000</v>
      </c>
      <c r="H6" s="147" t="s">
        <v>214</v>
      </c>
      <c r="I6" s="184">
        <v>43258</v>
      </c>
    </row>
    <row r="7" ht="22.5" spans="1:9">
      <c r="A7" s="171" t="s">
        <v>80</v>
      </c>
      <c r="B7" s="168">
        <v>129750</v>
      </c>
      <c r="C7" s="147" t="s">
        <v>9</v>
      </c>
      <c r="D7" s="147" t="s">
        <v>199</v>
      </c>
      <c r="E7" s="147" t="s">
        <v>27</v>
      </c>
      <c r="F7" s="156">
        <v>0.25</v>
      </c>
      <c r="G7" s="156">
        <v>519000</v>
      </c>
      <c r="H7" s="147" t="s">
        <v>215</v>
      </c>
      <c r="I7" s="184">
        <v>43258</v>
      </c>
    </row>
    <row r="8" ht="22.5" spans="1:9">
      <c r="A8" s="171" t="s">
        <v>216</v>
      </c>
      <c r="B8" s="168">
        <v>110000</v>
      </c>
      <c r="C8" s="147" t="s">
        <v>9</v>
      </c>
      <c r="D8" s="147" t="s">
        <v>73</v>
      </c>
      <c r="E8" s="147" t="s">
        <v>89</v>
      </c>
      <c r="F8" s="156">
        <v>0.22</v>
      </c>
      <c r="G8" s="156">
        <v>500000</v>
      </c>
      <c r="H8" s="147" t="s">
        <v>215</v>
      </c>
      <c r="I8" s="184">
        <v>43258</v>
      </c>
    </row>
    <row r="9" ht="22.5" spans="1:9">
      <c r="A9" s="171" t="s">
        <v>45</v>
      </c>
      <c r="B9" s="168">
        <v>9360</v>
      </c>
      <c r="C9" s="147" t="s">
        <v>9</v>
      </c>
      <c r="D9" s="147" t="s">
        <v>73</v>
      </c>
      <c r="E9" s="147" t="s">
        <v>27</v>
      </c>
      <c r="F9" s="156">
        <v>0.18</v>
      </c>
      <c r="G9" s="156">
        <v>52000</v>
      </c>
      <c r="H9" s="147" t="s">
        <v>215</v>
      </c>
      <c r="I9" s="184">
        <v>43258</v>
      </c>
    </row>
    <row r="10" ht="22.5" spans="1:9">
      <c r="A10" s="167" t="s">
        <v>95</v>
      </c>
      <c r="B10" s="168">
        <v>5700</v>
      </c>
      <c r="C10" s="147" t="s">
        <v>9</v>
      </c>
      <c r="D10" s="147" t="s">
        <v>182</v>
      </c>
      <c r="E10" s="147" t="s">
        <v>27</v>
      </c>
      <c r="F10" s="156">
        <v>0.19</v>
      </c>
      <c r="G10" s="156">
        <v>30000</v>
      </c>
      <c r="H10" s="147" t="s">
        <v>215</v>
      </c>
      <c r="I10" s="184">
        <v>43258</v>
      </c>
    </row>
    <row r="11" ht="22.5" spans="1:9">
      <c r="A11" s="170"/>
      <c r="B11" s="168">
        <v>8217.5</v>
      </c>
      <c r="C11" s="147" t="s">
        <v>9</v>
      </c>
      <c r="D11" s="147" t="s">
        <v>217</v>
      </c>
      <c r="E11" s="147" t="s">
        <v>27</v>
      </c>
      <c r="F11" s="156">
        <v>0.475</v>
      </c>
      <c r="G11" s="156">
        <v>17300</v>
      </c>
      <c r="H11" s="147" t="s">
        <v>215</v>
      </c>
      <c r="I11" s="184">
        <v>43258</v>
      </c>
    </row>
    <row r="12" ht="22.5" spans="1:9">
      <c r="A12" s="171" t="s">
        <v>218</v>
      </c>
      <c r="B12" s="168">
        <v>10800</v>
      </c>
      <c r="C12" s="147" t="s">
        <v>9</v>
      </c>
      <c r="D12" s="147" t="s">
        <v>73</v>
      </c>
      <c r="E12" s="147" t="s">
        <v>27</v>
      </c>
      <c r="F12" s="156">
        <v>0.18</v>
      </c>
      <c r="G12" s="156">
        <v>60000</v>
      </c>
      <c r="H12" s="147" t="s">
        <v>215</v>
      </c>
      <c r="I12" s="184">
        <v>43258</v>
      </c>
    </row>
    <row r="13" ht="22.5" spans="1:9">
      <c r="A13" s="171" t="s">
        <v>174</v>
      </c>
      <c r="B13" s="168">
        <v>9360</v>
      </c>
      <c r="C13" s="147" t="s">
        <v>9</v>
      </c>
      <c r="D13" s="147" t="s">
        <v>73</v>
      </c>
      <c r="E13" s="147" t="s">
        <v>27</v>
      </c>
      <c r="F13" s="156">
        <v>0.18</v>
      </c>
      <c r="G13" s="156">
        <v>52000</v>
      </c>
      <c r="H13" s="147" t="s">
        <v>215</v>
      </c>
      <c r="I13" s="184">
        <v>43258</v>
      </c>
    </row>
    <row r="14" ht="22.5" spans="1:9">
      <c r="A14" s="172" t="s">
        <v>70</v>
      </c>
      <c r="B14" s="168">
        <v>2160.5</v>
      </c>
      <c r="C14" s="147" t="s">
        <v>9</v>
      </c>
      <c r="D14" s="147" t="s">
        <v>73</v>
      </c>
      <c r="E14" s="147" t="s">
        <v>27</v>
      </c>
      <c r="F14" s="156">
        <v>0.18</v>
      </c>
      <c r="G14" s="156">
        <v>12000</v>
      </c>
      <c r="H14" s="147" t="s">
        <v>215</v>
      </c>
      <c r="I14" s="184">
        <v>43258</v>
      </c>
    </row>
    <row r="15" ht="22.5" spans="1:9">
      <c r="A15" s="167" t="s">
        <v>75</v>
      </c>
      <c r="B15" s="168">
        <f>+G15*F15</f>
        <v>28275</v>
      </c>
      <c r="C15" s="147" t="s">
        <v>9</v>
      </c>
      <c r="D15" s="147" t="s">
        <v>161</v>
      </c>
      <c r="E15" s="147" t="s">
        <v>27</v>
      </c>
      <c r="F15" s="156">
        <v>0.145</v>
      </c>
      <c r="G15" s="156">
        <v>195000</v>
      </c>
      <c r="H15" s="147" t="s">
        <v>215</v>
      </c>
      <c r="I15" s="184">
        <v>43258</v>
      </c>
    </row>
    <row r="16" ht="22.5" spans="1:9">
      <c r="A16" s="169"/>
      <c r="B16" s="168">
        <f>+G16*F16</f>
        <v>6465</v>
      </c>
      <c r="C16" s="147" t="s">
        <v>9</v>
      </c>
      <c r="D16" s="147" t="s">
        <v>160</v>
      </c>
      <c r="E16" s="147" t="s">
        <v>27</v>
      </c>
      <c r="F16" s="156">
        <v>0.1</v>
      </c>
      <c r="G16" s="156">
        <v>64650</v>
      </c>
      <c r="H16" s="147" t="s">
        <v>215</v>
      </c>
      <c r="I16" s="184">
        <v>43258</v>
      </c>
    </row>
    <row r="17" ht="22.5" spans="1:9">
      <c r="A17" s="167" t="s">
        <v>14</v>
      </c>
      <c r="B17" s="168">
        <f>+F17*G17</f>
        <v>88800</v>
      </c>
      <c r="C17" s="147" t="s">
        <v>9</v>
      </c>
      <c r="D17" s="147" t="s">
        <v>79</v>
      </c>
      <c r="E17" s="147" t="s">
        <v>27</v>
      </c>
      <c r="F17" s="156">
        <v>0.2</v>
      </c>
      <c r="G17" s="156">
        <v>444000</v>
      </c>
      <c r="H17" s="147" t="s">
        <v>215</v>
      </c>
      <c r="I17" s="184">
        <v>43258</v>
      </c>
    </row>
    <row r="18" ht="22.5" spans="1:9">
      <c r="A18" s="169"/>
      <c r="B18" s="168">
        <f>+F18*G18</f>
        <v>125985</v>
      </c>
      <c r="C18" s="147" t="s">
        <v>9</v>
      </c>
      <c r="D18" s="147" t="s">
        <v>53</v>
      </c>
      <c r="E18" s="147" t="s">
        <v>27</v>
      </c>
      <c r="F18" s="156">
        <v>0.185</v>
      </c>
      <c r="G18" s="156">
        <v>681000</v>
      </c>
      <c r="H18" s="147" t="s">
        <v>215</v>
      </c>
      <c r="I18" s="184">
        <v>43258</v>
      </c>
    </row>
    <row r="19" ht="22.5" spans="1:9">
      <c r="A19" s="170"/>
      <c r="B19" s="168">
        <f>+F19*G19</f>
        <v>44800</v>
      </c>
      <c r="C19" s="147" t="s">
        <v>9</v>
      </c>
      <c r="D19" s="147" t="s">
        <v>73</v>
      </c>
      <c r="E19" s="147" t="s">
        <v>27</v>
      </c>
      <c r="F19" s="156">
        <v>0.175</v>
      </c>
      <c r="G19" s="156">
        <v>256000</v>
      </c>
      <c r="H19" s="147" t="s">
        <v>215</v>
      </c>
      <c r="I19" s="184" t="s">
        <v>219</v>
      </c>
    </row>
    <row r="20" ht="22.5" spans="1:9">
      <c r="A20" s="171" t="s">
        <v>77</v>
      </c>
      <c r="B20" s="168">
        <v>363450</v>
      </c>
      <c r="C20" s="147" t="s">
        <v>9</v>
      </c>
      <c r="D20" s="147" t="s">
        <v>92</v>
      </c>
      <c r="E20" s="147" t="s">
        <v>27</v>
      </c>
      <c r="F20" s="156">
        <v>0.24</v>
      </c>
      <c r="G20" s="156">
        <f>+B20/F20</f>
        <v>1514375</v>
      </c>
      <c r="H20" s="147" t="s">
        <v>215</v>
      </c>
      <c r="I20" s="184">
        <v>43262</v>
      </c>
    </row>
    <row r="21" ht="22.5" spans="1:9">
      <c r="A21" s="171" t="s">
        <v>150</v>
      </c>
      <c r="B21" s="168">
        <v>74100</v>
      </c>
      <c r="C21" s="147" t="s">
        <v>9</v>
      </c>
      <c r="D21" s="147" t="s">
        <v>114</v>
      </c>
      <c r="E21" s="147" t="s">
        <v>100</v>
      </c>
      <c r="F21" s="156">
        <v>2850</v>
      </c>
      <c r="G21" s="156">
        <v>26</v>
      </c>
      <c r="H21" s="147" t="s">
        <v>215</v>
      </c>
      <c r="I21" s="184">
        <v>43262</v>
      </c>
    </row>
    <row r="22" ht="22.5" spans="1:9">
      <c r="A22" s="173" t="s">
        <v>8</v>
      </c>
      <c r="B22" s="174">
        <v>77400</v>
      </c>
      <c r="C22" s="175" t="s">
        <v>9</v>
      </c>
      <c r="D22" s="175" t="s">
        <v>172</v>
      </c>
      <c r="E22" s="175" t="s">
        <v>27</v>
      </c>
      <c r="F22" s="176">
        <v>0.215</v>
      </c>
      <c r="G22" s="176">
        <v>360000</v>
      </c>
      <c r="H22" s="147" t="s">
        <v>215</v>
      </c>
      <c r="I22" s="184">
        <v>43262</v>
      </c>
    </row>
    <row r="23" ht="22.5" spans="1:9">
      <c r="A23" s="177"/>
      <c r="B23" s="174">
        <v>13500</v>
      </c>
      <c r="C23" s="175" t="s">
        <v>9</v>
      </c>
      <c r="D23" s="175" t="s">
        <v>160</v>
      </c>
      <c r="E23" s="175" t="s">
        <v>27</v>
      </c>
      <c r="F23" s="176">
        <v>0.1</v>
      </c>
      <c r="G23" s="176">
        <v>135000</v>
      </c>
      <c r="H23" s="147" t="s">
        <v>215</v>
      </c>
      <c r="I23" s="184">
        <v>43262</v>
      </c>
    </row>
    <row r="24" ht="22.5" spans="1:9">
      <c r="A24" s="178" t="s">
        <v>176</v>
      </c>
      <c r="B24" s="174">
        <v>1320</v>
      </c>
      <c r="C24" s="175" t="s">
        <v>9</v>
      </c>
      <c r="D24" s="175" t="s">
        <v>160</v>
      </c>
      <c r="E24" s="175" t="s">
        <v>27</v>
      </c>
      <c r="F24" s="176">
        <v>0.11</v>
      </c>
      <c r="G24" s="176">
        <v>12000</v>
      </c>
      <c r="H24" s="147" t="s">
        <v>215</v>
      </c>
      <c r="I24" s="184">
        <v>43262</v>
      </c>
    </row>
    <row r="25" ht="22.5" spans="1:9">
      <c r="A25" s="145" t="s">
        <v>97</v>
      </c>
      <c r="B25" s="179">
        <v>40140</v>
      </c>
      <c r="C25" s="161" t="s">
        <v>112</v>
      </c>
      <c r="D25" s="162" t="s">
        <v>220</v>
      </c>
      <c r="E25" s="161" t="s">
        <v>100</v>
      </c>
      <c r="F25" s="180">
        <v>1115</v>
      </c>
      <c r="G25" s="181">
        <v>36</v>
      </c>
      <c r="H25" s="161"/>
      <c r="I25" s="184">
        <v>43278</v>
      </c>
    </row>
    <row r="26" ht="22.5" spans="1:9">
      <c r="A26" s="145"/>
      <c r="B26" s="182">
        <v>43200</v>
      </c>
      <c r="C26" s="161" t="s">
        <v>112</v>
      </c>
      <c r="D26" s="162" t="s">
        <v>221</v>
      </c>
      <c r="E26" s="161" t="s">
        <v>100</v>
      </c>
      <c r="F26" s="162">
        <v>2700</v>
      </c>
      <c r="G26" s="181">
        <v>16</v>
      </c>
      <c r="H26" s="161" t="s">
        <v>222</v>
      </c>
      <c r="I26" s="184" t="s">
        <v>223</v>
      </c>
    </row>
    <row r="27" spans="10:11">
      <c r="J27" s="40" t="s">
        <v>28</v>
      </c>
      <c r="K27" s="41">
        <v>32400</v>
      </c>
    </row>
    <row r="28" spans="10:11">
      <c r="J28" s="40" t="s">
        <v>31</v>
      </c>
      <c r="K28" s="41">
        <v>111900</v>
      </c>
    </row>
    <row r="29" spans="10:11">
      <c r="J29" s="40" t="s">
        <v>32</v>
      </c>
      <c r="K29" s="41">
        <v>135939</v>
      </c>
    </row>
    <row r="30" spans="10:11">
      <c r="J30" s="40" t="s">
        <v>140</v>
      </c>
      <c r="K30" s="41">
        <v>186045</v>
      </c>
    </row>
    <row r="31" spans="10:11">
      <c r="J31" s="40" t="s">
        <v>142</v>
      </c>
      <c r="K31" s="41">
        <v>133782.6</v>
      </c>
    </row>
    <row r="32" spans="10:11">
      <c r="J32" s="42">
        <v>42736</v>
      </c>
      <c r="K32" s="41">
        <v>117630</v>
      </c>
    </row>
    <row r="33" spans="10:11">
      <c r="J33" s="40" t="s">
        <v>60</v>
      </c>
      <c r="K33" s="41">
        <v>56680</v>
      </c>
    </row>
    <row r="34" spans="10:11">
      <c r="J34" s="41" t="s">
        <v>58</v>
      </c>
      <c r="K34" s="43">
        <v>172605</v>
      </c>
    </row>
    <row r="35" spans="10:11">
      <c r="J35" s="41" t="s">
        <v>22</v>
      </c>
      <c r="K35" s="41">
        <v>224673</v>
      </c>
    </row>
    <row r="36" spans="10:11">
      <c r="J36" s="41" t="s">
        <v>24</v>
      </c>
      <c r="K36" s="41">
        <v>313761</v>
      </c>
    </row>
    <row r="37" spans="10:11">
      <c r="J37" s="41" t="s">
        <v>25</v>
      </c>
      <c r="K37" s="41">
        <v>561401.3</v>
      </c>
    </row>
    <row r="38" spans="10:11">
      <c r="J38" s="40" t="s">
        <v>28</v>
      </c>
      <c r="K38" s="41">
        <v>489075.24</v>
      </c>
    </row>
    <row r="39" spans="10:11">
      <c r="J39" s="40" t="s">
        <v>143</v>
      </c>
      <c r="K39" s="41">
        <v>1072775.15</v>
      </c>
    </row>
    <row r="40" spans="10:11">
      <c r="J40" s="41" t="s">
        <v>32</v>
      </c>
      <c r="K40" s="41">
        <v>1546532.63</v>
      </c>
    </row>
    <row r="41" spans="10:11">
      <c r="J41" s="41" t="s">
        <v>37</v>
      </c>
      <c r="K41" s="41">
        <v>1206965.46</v>
      </c>
    </row>
    <row r="42" spans="10:11">
      <c r="J42" s="41" t="s">
        <v>40</v>
      </c>
      <c r="K42" s="41">
        <v>1164153.55</v>
      </c>
    </row>
    <row r="43" spans="10:11">
      <c r="J43" s="41" t="s">
        <v>44</v>
      </c>
      <c r="K43" s="41">
        <v>1283006.2</v>
      </c>
    </row>
    <row r="44" spans="10:11">
      <c r="J44" s="42">
        <v>43101</v>
      </c>
      <c r="K44" s="41">
        <v>1552959</v>
      </c>
    </row>
    <row r="45" spans="10:11">
      <c r="J45" s="42">
        <v>43132</v>
      </c>
      <c r="K45" s="41">
        <v>573933.88</v>
      </c>
    </row>
    <row r="46" spans="10:11">
      <c r="J46" s="42">
        <v>43160</v>
      </c>
      <c r="K46" s="41">
        <v>725630.05</v>
      </c>
    </row>
    <row r="47" spans="10:11">
      <c r="J47" s="42">
        <v>43191</v>
      </c>
      <c r="K47" s="41">
        <v>998002.8</v>
      </c>
    </row>
    <row r="48" spans="10:11">
      <c r="J48" s="42">
        <v>43221</v>
      </c>
      <c r="K48" s="41">
        <v>1635478</v>
      </c>
    </row>
  </sheetData>
  <mergeCells count="6">
    <mergeCell ref="A4:A6"/>
    <mergeCell ref="A10:A11"/>
    <mergeCell ref="A15:A16"/>
    <mergeCell ref="A17:A19"/>
    <mergeCell ref="A22:A23"/>
    <mergeCell ref="A25:A26"/>
  </mergeCells>
  <pageMargins left="0.7" right="0.7" top="0.75" bottom="0.75" header="0.3" footer="0.3"/>
  <pageSetup paperSize="9" orientation="portrait" verticalDpi="18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18" sqref="F18"/>
    </sheetView>
  </sheetViews>
  <sheetFormatPr defaultColWidth="9" defaultRowHeight="14.25"/>
  <cols>
    <col min="1" max="1" width="14.125" customWidth="1"/>
    <col min="2" max="2" width="19.125" customWidth="1"/>
    <col min="3" max="4" width="14.125" customWidth="1"/>
    <col min="5" max="5" width="7.75" customWidth="1"/>
    <col min="6" max="6" width="20.75" customWidth="1"/>
    <col min="7" max="7" width="12.5" customWidth="1"/>
    <col min="8" max="8" width="29.125" customWidth="1"/>
    <col min="9" max="9" width="25.75" customWidth="1"/>
    <col min="10" max="10" width="10.5" customWidth="1"/>
    <col min="11" max="11" width="11.625" customWidth="1"/>
  </cols>
  <sheetData>
    <row r="1" ht="22.5" spans="1:9">
      <c r="A1" s="147" t="s">
        <v>0</v>
      </c>
      <c r="B1" s="152" t="s">
        <v>1</v>
      </c>
      <c r="C1" s="147" t="s">
        <v>2</v>
      </c>
      <c r="D1" s="147" t="s">
        <v>3</v>
      </c>
      <c r="E1" s="147" t="s">
        <v>4</v>
      </c>
      <c r="F1" s="153" t="s">
        <v>5</v>
      </c>
      <c r="G1" s="154" t="s">
        <v>6</v>
      </c>
      <c r="H1" s="147" t="s">
        <v>7</v>
      </c>
      <c r="I1" s="41"/>
    </row>
    <row r="2" ht="22.5" spans="1:9">
      <c r="A2" s="155" t="s">
        <v>165</v>
      </c>
      <c r="B2" s="13">
        <v>29500</v>
      </c>
      <c r="C2" s="120" t="s">
        <v>9</v>
      </c>
      <c r="D2" s="120" t="s">
        <v>211</v>
      </c>
      <c r="E2" s="120" t="s">
        <v>27</v>
      </c>
      <c r="F2" s="122">
        <v>0.25</v>
      </c>
      <c r="G2" s="122">
        <f>+B2/F2</f>
        <v>118000</v>
      </c>
      <c r="H2" s="120" t="s">
        <v>224</v>
      </c>
      <c r="I2" s="35">
        <v>43292</v>
      </c>
    </row>
    <row r="3" ht="22.5" spans="1:9">
      <c r="A3" s="155" t="s">
        <v>174</v>
      </c>
      <c r="B3" s="13">
        <v>9360</v>
      </c>
      <c r="C3" s="120" t="s">
        <v>9</v>
      </c>
      <c r="D3" s="120" t="s">
        <v>73</v>
      </c>
      <c r="E3" s="120" t="s">
        <v>27</v>
      </c>
      <c r="F3" s="122">
        <v>0.18</v>
      </c>
      <c r="G3" s="122">
        <f>+B3/F3</f>
        <v>52000</v>
      </c>
      <c r="H3" s="120" t="s">
        <v>224</v>
      </c>
      <c r="I3" s="35">
        <v>43292</v>
      </c>
    </row>
    <row r="4" ht="22.5" spans="1:9">
      <c r="A4" s="12" t="s">
        <v>77</v>
      </c>
      <c r="B4" s="13">
        <v>249600</v>
      </c>
      <c r="C4" s="120" t="s">
        <v>9</v>
      </c>
      <c r="D4" s="120" t="s">
        <v>92</v>
      </c>
      <c r="E4" s="120" t="s">
        <v>27</v>
      </c>
      <c r="F4" s="122">
        <v>0.24</v>
      </c>
      <c r="G4" s="122">
        <f>+B4/F4</f>
        <v>1040000</v>
      </c>
      <c r="H4" s="120" t="s">
        <v>224</v>
      </c>
      <c r="I4" s="35" t="s">
        <v>225</v>
      </c>
    </row>
    <row r="5" ht="22.5" spans="1:9">
      <c r="A5" s="19"/>
      <c r="B5" s="13">
        <v>3600</v>
      </c>
      <c r="C5" s="120" t="s">
        <v>9</v>
      </c>
      <c r="D5" s="120" t="s">
        <v>91</v>
      </c>
      <c r="E5" s="120" t="s">
        <v>27</v>
      </c>
      <c r="F5" s="122">
        <v>0.3</v>
      </c>
      <c r="G5" s="122">
        <f>+B5/F5</f>
        <v>12000</v>
      </c>
      <c r="H5" s="120" t="s">
        <v>224</v>
      </c>
      <c r="I5" s="35">
        <v>43298</v>
      </c>
    </row>
    <row r="6" ht="22.5" spans="1:9">
      <c r="A6" s="155" t="s">
        <v>70</v>
      </c>
      <c r="B6" s="13">
        <v>14400</v>
      </c>
      <c r="C6" s="120" t="s">
        <v>9</v>
      </c>
      <c r="D6" s="120" t="s">
        <v>73</v>
      </c>
      <c r="E6" s="120" t="s">
        <v>27</v>
      </c>
      <c r="F6" s="151">
        <v>0.18155124</v>
      </c>
      <c r="G6" s="122">
        <v>80000</v>
      </c>
      <c r="H6" s="120" t="s">
        <v>224</v>
      </c>
      <c r="I6" s="35">
        <v>43292</v>
      </c>
    </row>
    <row r="7" ht="22.5" spans="1:9">
      <c r="A7" s="129" t="s">
        <v>75</v>
      </c>
      <c r="B7" s="13">
        <v>14100</v>
      </c>
      <c r="C7" s="120" t="s">
        <v>9</v>
      </c>
      <c r="D7" s="120" t="s">
        <v>160</v>
      </c>
      <c r="E7" s="120" t="s">
        <v>27</v>
      </c>
      <c r="F7" s="122">
        <v>0.1</v>
      </c>
      <c r="G7" s="122">
        <f t="shared" ref="G7:G16" si="0">+B7/F7</f>
        <v>141000</v>
      </c>
      <c r="H7" s="120" t="s">
        <v>224</v>
      </c>
      <c r="I7" s="35">
        <v>43298</v>
      </c>
    </row>
    <row r="8" ht="22.5" spans="1:9">
      <c r="A8" s="132"/>
      <c r="B8" s="13">
        <v>14100</v>
      </c>
      <c r="C8" s="120" t="s">
        <v>9</v>
      </c>
      <c r="D8" s="120" t="s">
        <v>173</v>
      </c>
      <c r="E8" s="120" t="s">
        <v>27</v>
      </c>
      <c r="F8" s="122">
        <v>0.1</v>
      </c>
      <c r="G8" s="122">
        <f t="shared" si="0"/>
        <v>141000</v>
      </c>
      <c r="H8" s="120" t="s">
        <v>224</v>
      </c>
      <c r="I8" s="35">
        <v>43298</v>
      </c>
    </row>
    <row r="9" ht="22.5" spans="1:9">
      <c r="A9" s="129" t="s">
        <v>14</v>
      </c>
      <c r="B9" s="13">
        <v>87000</v>
      </c>
      <c r="C9" s="120" t="s">
        <v>9</v>
      </c>
      <c r="D9" s="147" t="s">
        <v>79</v>
      </c>
      <c r="E9" s="147" t="s">
        <v>27</v>
      </c>
      <c r="F9" s="156">
        <v>0.2</v>
      </c>
      <c r="G9" s="122">
        <f t="shared" si="0"/>
        <v>435000</v>
      </c>
      <c r="H9" s="120" t="s">
        <v>224</v>
      </c>
      <c r="I9" s="35">
        <v>43292</v>
      </c>
    </row>
    <row r="10" ht="22.5" spans="1:9">
      <c r="A10" s="131"/>
      <c r="B10" s="13">
        <v>122580</v>
      </c>
      <c r="C10" s="120" t="s">
        <v>9</v>
      </c>
      <c r="D10" s="147" t="s">
        <v>53</v>
      </c>
      <c r="E10" s="147" t="s">
        <v>27</v>
      </c>
      <c r="F10" s="156">
        <v>0.18</v>
      </c>
      <c r="G10" s="122">
        <f t="shared" si="0"/>
        <v>681000</v>
      </c>
      <c r="H10" s="120" t="s">
        <v>224</v>
      </c>
      <c r="I10" s="35">
        <v>43292</v>
      </c>
    </row>
    <row r="11" ht="22.5" spans="1:9">
      <c r="A11" s="132"/>
      <c r="B11" s="13">
        <v>20145</v>
      </c>
      <c r="C11" s="120" t="s">
        <v>9</v>
      </c>
      <c r="D11" s="147" t="s">
        <v>73</v>
      </c>
      <c r="E11" s="147" t="s">
        <v>27</v>
      </c>
      <c r="F11" s="156">
        <v>0.17</v>
      </c>
      <c r="G11" s="122">
        <f t="shared" si="0"/>
        <v>118500</v>
      </c>
      <c r="H11" s="120" t="s">
        <v>224</v>
      </c>
      <c r="I11" s="35">
        <v>43292</v>
      </c>
    </row>
    <row r="12" ht="22.5" spans="1:9">
      <c r="A12" s="157" t="s">
        <v>95</v>
      </c>
      <c r="B12" s="13">
        <v>5700</v>
      </c>
      <c r="C12" s="120" t="s">
        <v>9</v>
      </c>
      <c r="D12" s="120" t="s">
        <v>217</v>
      </c>
      <c r="E12" s="147" t="s">
        <v>27</v>
      </c>
      <c r="F12" s="122">
        <v>0.475</v>
      </c>
      <c r="G12" s="122">
        <f t="shared" si="0"/>
        <v>12000</v>
      </c>
      <c r="H12" s="120" t="s">
        <v>224</v>
      </c>
      <c r="I12" s="35">
        <v>43298</v>
      </c>
    </row>
    <row r="13" ht="22.5" spans="1:9">
      <c r="A13" s="129" t="s">
        <v>176</v>
      </c>
      <c r="B13" s="13">
        <v>3300</v>
      </c>
      <c r="C13" s="120" t="s">
        <v>9</v>
      </c>
      <c r="D13" s="120" t="s">
        <v>160</v>
      </c>
      <c r="E13" s="147" t="s">
        <v>27</v>
      </c>
      <c r="F13" s="122">
        <v>0.11</v>
      </c>
      <c r="G13" s="122">
        <f t="shared" si="0"/>
        <v>30000</v>
      </c>
      <c r="H13" s="120" t="s">
        <v>224</v>
      </c>
      <c r="I13" s="35">
        <v>43298</v>
      </c>
    </row>
    <row r="14" ht="22.5" spans="1:9">
      <c r="A14" s="132"/>
      <c r="B14" s="13">
        <v>2475</v>
      </c>
      <c r="C14" s="120" t="s">
        <v>9</v>
      </c>
      <c r="D14" s="120" t="s">
        <v>162</v>
      </c>
      <c r="E14" s="147" t="s">
        <v>27</v>
      </c>
      <c r="F14" s="122">
        <v>0.165</v>
      </c>
      <c r="G14" s="122">
        <f t="shared" si="0"/>
        <v>15000</v>
      </c>
      <c r="H14" s="120" t="s">
        <v>224</v>
      </c>
      <c r="I14" s="35">
        <v>43298</v>
      </c>
    </row>
    <row r="15" ht="22.5" spans="1:9">
      <c r="A15" s="157" t="s">
        <v>80</v>
      </c>
      <c r="B15" s="13">
        <v>22875</v>
      </c>
      <c r="C15" s="120" t="s">
        <v>9</v>
      </c>
      <c r="D15" s="120" t="s">
        <v>211</v>
      </c>
      <c r="E15" s="147" t="s">
        <v>27</v>
      </c>
      <c r="F15" s="122">
        <v>0.25</v>
      </c>
      <c r="G15" s="122">
        <f t="shared" si="0"/>
        <v>91500</v>
      </c>
      <c r="H15" s="120" t="s">
        <v>224</v>
      </c>
      <c r="I15" s="35">
        <v>43292</v>
      </c>
    </row>
    <row r="16" ht="22.5" spans="1:9">
      <c r="A16" s="157" t="s">
        <v>8</v>
      </c>
      <c r="B16" s="13">
        <v>24210</v>
      </c>
      <c r="C16" s="120" t="s">
        <v>9</v>
      </c>
      <c r="D16" s="120" t="s">
        <v>160</v>
      </c>
      <c r="E16" s="147" t="s">
        <v>27</v>
      </c>
      <c r="F16" s="122">
        <v>0.1</v>
      </c>
      <c r="G16" s="122">
        <f t="shared" si="0"/>
        <v>242100</v>
      </c>
      <c r="H16" s="120" t="s">
        <v>224</v>
      </c>
      <c r="I16" s="35">
        <v>43292</v>
      </c>
    </row>
    <row r="17" ht="22.5" spans="1:9">
      <c r="A17" s="12" t="s">
        <v>123</v>
      </c>
      <c r="B17" s="13">
        <f>+F17*G17</f>
        <v>12000</v>
      </c>
      <c r="C17" s="120" t="s">
        <v>9</v>
      </c>
      <c r="D17" s="120" t="s">
        <v>173</v>
      </c>
      <c r="E17" s="125" t="s">
        <v>89</v>
      </c>
      <c r="F17" s="122">
        <v>0.1</v>
      </c>
      <c r="G17" s="122">
        <v>120000</v>
      </c>
      <c r="H17" s="120" t="s">
        <v>226</v>
      </c>
      <c r="I17" s="35">
        <v>43299</v>
      </c>
    </row>
    <row r="18" ht="22.5" spans="1:9">
      <c r="A18" s="15"/>
      <c r="B18" s="13">
        <f>+F18*G18</f>
        <v>19800</v>
      </c>
      <c r="C18" s="120" t="s">
        <v>9</v>
      </c>
      <c r="D18" s="120" t="s">
        <v>148</v>
      </c>
      <c r="E18" s="125" t="s">
        <v>89</v>
      </c>
      <c r="F18" s="122">
        <v>0.165</v>
      </c>
      <c r="G18" s="122">
        <v>120000</v>
      </c>
      <c r="H18" s="120" t="s">
        <v>215</v>
      </c>
      <c r="I18" s="35">
        <v>43299</v>
      </c>
    </row>
    <row r="19" ht="22.5" spans="1:9">
      <c r="A19" s="19"/>
      <c r="B19" s="13">
        <f>+F19*G19</f>
        <v>5990</v>
      </c>
      <c r="C19" s="120" t="s">
        <v>9</v>
      </c>
      <c r="D19" s="120" t="s">
        <v>173</v>
      </c>
      <c r="E19" s="125" t="s">
        <v>89</v>
      </c>
      <c r="F19" s="122">
        <v>0.1</v>
      </c>
      <c r="G19" s="122">
        <v>59900</v>
      </c>
      <c r="H19" s="120" t="s">
        <v>215</v>
      </c>
      <c r="I19" s="35">
        <v>43299</v>
      </c>
    </row>
    <row r="20" ht="22.5" spans="1:9">
      <c r="A20" s="12" t="s">
        <v>97</v>
      </c>
      <c r="B20" s="13">
        <v>160000</v>
      </c>
      <c r="C20" s="158" t="s">
        <v>112</v>
      </c>
      <c r="D20" s="125" t="s">
        <v>130</v>
      </c>
      <c r="E20" s="158" t="s">
        <v>100</v>
      </c>
      <c r="F20" s="159">
        <v>3200</v>
      </c>
      <c r="G20" s="160">
        <v>50</v>
      </c>
      <c r="H20" s="158"/>
      <c r="I20" s="35">
        <v>43298</v>
      </c>
    </row>
    <row r="21" ht="22.5" spans="1:9">
      <c r="A21" s="19"/>
      <c r="B21" s="13">
        <v>24300</v>
      </c>
      <c r="C21" s="161" t="s">
        <v>112</v>
      </c>
      <c r="D21" s="162" t="s">
        <v>221</v>
      </c>
      <c r="E21" s="161" t="s">
        <v>100</v>
      </c>
      <c r="F21" s="122">
        <v>2700</v>
      </c>
      <c r="G21" s="122">
        <f>+B21/F21</f>
        <v>9</v>
      </c>
      <c r="H21" s="120"/>
      <c r="I21" s="35">
        <v>43298</v>
      </c>
    </row>
    <row r="22" spans="10:11">
      <c r="J22" s="42">
        <v>43101</v>
      </c>
      <c r="K22" s="41">
        <v>1552959</v>
      </c>
    </row>
    <row r="23" spans="10:11">
      <c r="J23" s="42">
        <v>43132</v>
      </c>
      <c r="K23" s="41">
        <v>573933.88</v>
      </c>
    </row>
    <row r="24" spans="10:11">
      <c r="J24" s="42">
        <v>43160</v>
      </c>
      <c r="K24" s="41">
        <v>725630.05</v>
      </c>
    </row>
    <row r="25" spans="10:11">
      <c r="J25" s="42">
        <v>43191</v>
      </c>
      <c r="K25" s="41">
        <v>998002.8</v>
      </c>
    </row>
    <row r="26" spans="10:11">
      <c r="J26" s="42">
        <v>43221</v>
      </c>
      <c r="K26" s="41">
        <v>1635478</v>
      </c>
    </row>
    <row r="27" spans="10:11">
      <c r="J27" s="42">
        <v>43252</v>
      </c>
      <c r="K27" s="163">
        <v>845035</v>
      </c>
    </row>
  </sheetData>
  <mergeCells count="6">
    <mergeCell ref="A4:A5"/>
    <mergeCell ref="A7:A8"/>
    <mergeCell ref="A9:A11"/>
    <mergeCell ref="A13:A14"/>
    <mergeCell ref="A17:A19"/>
    <mergeCell ref="A20:A21"/>
  </mergeCells>
  <pageMargins left="0.7" right="0.7" top="0.75" bottom="0.75" header="0.3" footer="0.3"/>
  <pageSetup paperSize="9" orientation="portrait" verticalDpi="18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zoomScale="90" zoomScaleNormal="90" workbookViewId="0">
      <selection activeCell="G9" sqref="G9"/>
    </sheetView>
  </sheetViews>
  <sheetFormatPr defaultColWidth="9" defaultRowHeight="14.25"/>
  <cols>
    <col min="1" max="1" width="17.125" customWidth="1"/>
    <col min="2" max="2" width="19.875" customWidth="1"/>
    <col min="3" max="9" width="18.625" customWidth="1"/>
    <col min="10" max="10" width="10.5" customWidth="1"/>
    <col min="11" max="11" width="12.75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21</v>
      </c>
      <c r="G1" s="5" t="s">
        <v>6</v>
      </c>
      <c r="H1" s="44" t="s">
        <v>7</v>
      </c>
      <c r="I1" s="75"/>
    </row>
    <row r="2" ht="26.25" customHeight="1" spans="1:9">
      <c r="A2" s="12" t="s">
        <v>207</v>
      </c>
      <c r="B2" s="13">
        <v>800</v>
      </c>
      <c r="C2" s="120" t="s">
        <v>9</v>
      </c>
      <c r="D2" s="120" t="s">
        <v>208</v>
      </c>
      <c r="E2" s="125" t="s">
        <v>27</v>
      </c>
      <c r="F2" s="122">
        <v>0.2</v>
      </c>
      <c r="G2" s="122">
        <f t="shared" ref="G2:G8" si="0">+B2/F2</f>
        <v>4000</v>
      </c>
      <c r="H2" s="120" t="s">
        <v>224</v>
      </c>
      <c r="I2" s="35" t="s">
        <v>227</v>
      </c>
    </row>
    <row r="3" ht="26.25" customHeight="1" spans="1:9">
      <c r="A3" s="15"/>
      <c r="B3" s="13">
        <v>630</v>
      </c>
      <c r="C3" s="120" t="s">
        <v>9</v>
      </c>
      <c r="D3" s="120" t="s">
        <v>146</v>
      </c>
      <c r="E3" s="125" t="s">
        <v>27</v>
      </c>
      <c r="F3" s="122">
        <v>0.21</v>
      </c>
      <c r="G3" s="122">
        <f t="shared" si="0"/>
        <v>3000</v>
      </c>
      <c r="H3" s="120" t="s">
        <v>224</v>
      </c>
      <c r="I3" s="35" t="s">
        <v>227</v>
      </c>
    </row>
    <row r="4" ht="26.25" customHeight="1" spans="1:9">
      <c r="A4" s="19"/>
      <c r="B4" s="13">
        <v>660</v>
      </c>
      <c r="C4" s="120" t="s">
        <v>9</v>
      </c>
      <c r="D4" s="120" t="s">
        <v>79</v>
      </c>
      <c r="E4" s="125" t="s">
        <v>27</v>
      </c>
      <c r="F4" s="122">
        <v>0.22</v>
      </c>
      <c r="G4" s="122">
        <f t="shared" si="0"/>
        <v>3000</v>
      </c>
      <c r="H4" s="120" t="s">
        <v>228</v>
      </c>
      <c r="I4" s="35" t="s">
        <v>227</v>
      </c>
    </row>
    <row r="5" ht="26.25" customHeight="1" spans="1:9">
      <c r="A5" s="12" t="s">
        <v>34</v>
      </c>
      <c r="B5" s="13">
        <v>1440</v>
      </c>
      <c r="C5" s="120" t="s">
        <v>9</v>
      </c>
      <c r="D5" s="120" t="s">
        <v>73</v>
      </c>
      <c r="E5" s="125" t="s">
        <v>27</v>
      </c>
      <c r="F5" s="122">
        <v>0.18</v>
      </c>
      <c r="G5" s="122">
        <f t="shared" si="0"/>
        <v>8000</v>
      </c>
      <c r="H5" s="120" t="s">
        <v>224</v>
      </c>
      <c r="I5" s="35" t="s">
        <v>227</v>
      </c>
    </row>
    <row r="6" ht="26.25" customHeight="1" spans="1:9">
      <c r="A6" s="19"/>
      <c r="B6" s="13">
        <v>1440</v>
      </c>
      <c r="C6" s="120" t="s">
        <v>9</v>
      </c>
      <c r="D6" s="120" t="s">
        <v>73</v>
      </c>
      <c r="E6" s="125" t="s">
        <v>27</v>
      </c>
      <c r="F6" s="122">
        <v>0.18</v>
      </c>
      <c r="G6" s="122">
        <f t="shared" si="0"/>
        <v>8000</v>
      </c>
      <c r="H6" s="120" t="s">
        <v>228</v>
      </c>
      <c r="I6" s="35" t="s">
        <v>227</v>
      </c>
    </row>
    <row r="7" ht="22.5" spans="1:9">
      <c r="A7" s="146" t="s">
        <v>218</v>
      </c>
      <c r="B7" s="13">
        <v>16560</v>
      </c>
      <c r="C7" s="120" t="s">
        <v>9</v>
      </c>
      <c r="D7" s="120" t="s">
        <v>73</v>
      </c>
      <c r="E7" s="125" t="s">
        <v>27</v>
      </c>
      <c r="F7" s="122">
        <v>0.18</v>
      </c>
      <c r="G7" s="122">
        <f t="shared" si="0"/>
        <v>92000</v>
      </c>
      <c r="H7" s="120" t="s">
        <v>228</v>
      </c>
      <c r="I7" s="35" t="s">
        <v>227</v>
      </c>
    </row>
    <row r="8" ht="22.5" spans="1:9">
      <c r="A8" s="146" t="s">
        <v>95</v>
      </c>
      <c r="B8" s="13">
        <v>5700</v>
      </c>
      <c r="C8" s="120" t="s">
        <v>9</v>
      </c>
      <c r="D8" s="120" t="s">
        <v>217</v>
      </c>
      <c r="E8" s="125" t="s">
        <v>27</v>
      </c>
      <c r="F8" s="122">
        <v>0.475</v>
      </c>
      <c r="G8" s="122">
        <f t="shared" si="0"/>
        <v>12000</v>
      </c>
      <c r="H8" s="120" t="s">
        <v>228</v>
      </c>
      <c r="I8" s="35" t="s">
        <v>227</v>
      </c>
    </row>
    <row r="9" ht="22.5" spans="1:9">
      <c r="A9" s="146" t="s">
        <v>70</v>
      </c>
      <c r="B9" s="13">
        <v>9360</v>
      </c>
      <c r="C9" s="120" t="s">
        <v>9</v>
      </c>
      <c r="D9" s="120" t="s">
        <v>73</v>
      </c>
      <c r="E9" s="125" t="s">
        <v>27</v>
      </c>
      <c r="F9" s="151">
        <f>0.155172*1.17</f>
        <v>0.18155124</v>
      </c>
      <c r="G9" s="122">
        <v>52000</v>
      </c>
      <c r="H9" s="120" t="s">
        <v>228</v>
      </c>
      <c r="I9" s="35" t="s">
        <v>227</v>
      </c>
    </row>
    <row r="10" ht="22.5" spans="1:9">
      <c r="A10" s="146" t="s">
        <v>176</v>
      </c>
      <c r="B10" s="13">
        <v>5280</v>
      </c>
      <c r="C10" s="120" t="s">
        <v>9</v>
      </c>
      <c r="D10" s="120" t="s">
        <v>162</v>
      </c>
      <c r="E10" s="125" t="s">
        <v>27</v>
      </c>
      <c r="F10" s="122">
        <v>0.16</v>
      </c>
      <c r="G10" s="122">
        <f t="shared" ref="G10:G18" si="1">+B10/F10</f>
        <v>33000</v>
      </c>
      <c r="H10" s="120" t="s">
        <v>228</v>
      </c>
      <c r="I10" s="35" t="s">
        <v>227</v>
      </c>
    </row>
    <row r="11" ht="22.5" spans="1:9">
      <c r="A11" s="146" t="s">
        <v>216</v>
      </c>
      <c r="B11" s="13">
        <v>52800</v>
      </c>
      <c r="C11" s="120" t="s">
        <v>9</v>
      </c>
      <c r="D11" s="120" t="s">
        <v>73</v>
      </c>
      <c r="E11" s="120" t="s">
        <v>89</v>
      </c>
      <c r="F11" s="122">
        <v>0.22</v>
      </c>
      <c r="G11" s="122">
        <f t="shared" si="1"/>
        <v>240000</v>
      </c>
      <c r="H11" s="120" t="s">
        <v>228</v>
      </c>
      <c r="I11" s="35" t="s">
        <v>227</v>
      </c>
    </row>
    <row r="12" ht="22.5" spans="1:9">
      <c r="A12" s="146" t="s">
        <v>8</v>
      </c>
      <c r="B12" s="13">
        <v>37200</v>
      </c>
      <c r="C12" s="120" t="s">
        <v>9</v>
      </c>
      <c r="D12" s="120" t="s">
        <v>160</v>
      </c>
      <c r="E12" s="120" t="s">
        <v>27</v>
      </c>
      <c r="F12" s="122">
        <v>0.1</v>
      </c>
      <c r="G12" s="122">
        <f t="shared" si="1"/>
        <v>372000</v>
      </c>
      <c r="H12" s="120" t="s">
        <v>228</v>
      </c>
      <c r="I12" s="35" t="s">
        <v>227</v>
      </c>
    </row>
    <row r="13" ht="22.5" spans="1:9">
      <c r="A13" s="146" t="s">
        <v>45</v>
      </c>
      <c r="B13" s="13">
        <v>18720</v>
      </c>
      <c r="C13" s="120" t="s">
        <v>9</v>
      </c>
      <c r="D13" s="120" t="s">
        <v>73</v>
      </c>
      <c r="E13" s="120" t="s">
        <v>27</v>
      </c>
      <c r="F13" s="122">
        <v>0.18</v>
      </c>
      <c r="G13" s="122">
        <f t="shared" si="1"/>
        <v>104000</v>
      </c>
      <c r="H13" s="120" t="s">
        <v>228</v>
      </c>
      <c r="I13" s="35" t="s">
        <v>227</v>
      </c>
    </row>
    <row r="14" ht="22.5" spans="1:9">
      <c r="A14" s="146" t="s">
        <v>14</v>
      </c>
      <c r="B14" s="13">
        <v>17670</v>
      </c>
      <c r="C14" s="120" t="s">
        <v>9</v>
      </c>
      <c r="D14" s="120" t="s">
        <v>53</v>
      </c>
      <c r="E14" s="120" t="s">
        <v>27</v>
      </c>
      <c r="F14" s="122">
        <v>0.19</v>
      </c>
      <c r="G14" s="122">
        <f t="shared" si="1"/>
        <v>93000</v>
      </c>
      <c r="H14" s="120" t="s">
        <v>228</v>
      </c>
      <c r="I14" s="35" t="s">
        <v>227</v>
      </c>
    </row>
    <row r="15" ht="22.5" spans="1:9">
      <c r="A15" s="146" t="s">
        <v>216</v>
      </c>
      <c r="B15" s="13">
        <v>750</v>
      </c>
      <c r="C15" s="120" t="s">
        <v>9</v>
      </c>
      <c r="D15" s="120" t="s">
        <v>53</v>
      </c>
      <c r="E15" s="120" t="s">
        <v>89</v>
      </c>
      <c r="F15" s="122">
        <v>0.25</v>
      </c>
      <c r="G15" s="122">
        <f t="shared" si="1"/>
        <v>3000</v>
      </c>
      <c r="H15" s="120" t="s">
        <v>224</v>
      </c>
      <c r="I15" s="35" t="s">
        <v>229</v>
      </c>
    </row>
    <row r="16" ht="22.5" spans="1:11">
      <c r="A16" s="146" t="s">
        <v>80</v>
      </c>
      <c r="B16" s="13">
        <v>250200</v>
      </c>
      <c r="C16" s="120" t="s">
        <v>9</v>
      </c>
      <c r="D16" s="120" t="s">
        <v>199</v>
      </c>
      <c r="E16" s="120" t="s">
        <v>27</v>
      </c>
      <c r="F16" s="122">
        <v>0.25</v>
      </c>
      <c r="G16" s="122">
        <f t="shared" si="1"/>
        <v>1000800</v>
      </c>
      <c r="H16" s="120" t="s">
        <v>228</v>
      </c>
      <c r="I16" s="35" t="s">
        <v>229</v>
      </c>
      <c r="K16" s="37"/>
    </row>
    <row r="17" ht="22.5" spans="1:9">
      <c r="A17" s="12" t="s">
        <v>75</v>
      </c>
      <c r="B17" s="13">
        <v>20000</v>
      </c>
      <c r="C17" s="120" t="s">
        <v>9</v>
      </c>
      <c r="D17" s="120" t="s">
        <v>160</v>
      </c>
      <c r="E17" s="120" t="s">
        <v>27</v>
      </c>
      <c r="F17" s="122">
        <v>0.1</v>
      </c>
      <c r="G17" s="122">
        <f t="shared" si="1"/>
        <v>200000</v>
      </c>
      <c r="H17" s="120" t="s">
        <v>228</v>
      </c>
      <c r="I17" s="35" t="s">
        <v>229</v>
      </c>
    </row>
    <row r="18" ht="22.5" spans="1:9">
      <c r="A18" s="19"/>
      <c r="B18" s="13">
        <v>18760</v>
      </c>
      <c r="C18" s="120" t="s">
        <v>9</v>
      </c>
      <c r="D18" s="120" t="s">
        <v>173</v>
      </c>
      <c r="E18" s="120" t="s">
        <v>27</v>
      </c>
      <c r="F18" s="122">
        <v>0.1</v>
      </c>
      <c r="G18" s="122">
        <f t="shared" si="1"/>
        <v>187600</v>
      </c>
      <c r="H18" s="120" t="s">
        <v>228</v>
      </c>
      <c r="I18" s="35" t="s">
        <v>229</v>
      </c>
    </row>
    <row r="19" ht="22.5" spans="1:9">
      <c r="A19" s="12" t="s">
        <v>165</v>
      </c>
      <c r="B19" s="13">
        <f>+G19*F19</f>
        <v>275000</v>
      </c>
      <c r="C19" s="120" t="s">
        <v>9</v>
      </c>
      <c r="D19" s="120" t="s">
        <v>172</v>
      </c>
      <c r="E19" s="120" t="s">
        <v>27</v>
      </c>
      <c r="F19" s="122">
        <v>0.22</v>
      </c>
      <c r="G19" s="122">
        <v>1250000</v>
      </c>
      <c r="H19" s="120" t="s">
        <v>228</v>
      </c>
      <c r="I19" s="35" t="s">
        <v>229</v>
      </c>
    </row>
    <row r="20" ht="22.5" spans="1:9">
      <c r="A20" s="19"/>
      <c r="B20" s="13">
        <v>7360</v>
      </c>
      <c r="C20" s="120" t="s">
        <v>9</v>
      </c>
      <c r="D20" s="120" t="s">
        <v>162</v>
      </c>
      <c r="E20" s="120" t="s">
        <v>27</v>
      </c>
      <c r="F20" s="122">
        <v>0.16</v>
      </c>
      <c r="G20" s="122">
        <f>+B20/F20</f>
        <v>46000</v>
      </c>
      <c r="H20" s="120" t="s">
        <v>228</v>
      </c>
      <c r="I20" s="35" t="s">
        <v>229</v>
      </c>
    </row>
    <row r="29" spans="10:11">
      <c r="J29" s="41" t="s">
        <v>37</v>
      </c>
      <c r="K29" s="41">
        <v>1206965.46</v>
      </c>
    </row>
    <row r="30" spans="10:11">
      <c r="J30" s="41" t="s">
        <v>40</v>
      </c>
      <c r="K30" s="41">
        <v>1164153.55</v>
      </c>
    </row>
    <row r="31" spans="10:11">
      <c r="J31" s="41" t="s">
        <v>44</v>
      </c>
      <c r="K31" s="41">
        <v>1283006.2</v>
      </c>
    </row>
    <row r="32" spans="10:11">
      <c r="J32" s="42">
        <v>43101</v>
      </c>
      <c r="K32" s="41">
        <v>1552959</v>
      </c>
    </row>
    <row r="33" spans="10:11">
      <c r="J33" s="42">
        <v>43132</v>
      </c>
      <c r="K33" s="41">
        <v>573933.88</v>
      </c>
    </row>
    <row r="34" spans="10:11">
      <c r="J34" s="42">
        <v>43160</v>
      </c>
      <c r="K34" s="41">
        <v>725630.05</v>
      </c>
    </row>
    <row r="35" spans="10:11">
      <c r="J35" s="42">
        <v>43191</v>
      </c>
      <c r="K35" s="41">
        <v>998002.8</v>
      </c>
    </row>
    <row r="36" spans="10:11">
      <c r="J36" s="42">
        <v>43221</v>
      </c>
      <c r="K36" s="41">
        <v>1635478</v>
      </c>
    </row>
    <row r="37" spans="10:11">
      <c r="J37" s="42">
        <v>43252</v>
      </c>
      <c r="K37" s="43">
        <v>845035</v>
      </c>
    </row>
    <row r="38" spans="10:11">
      <c r="J38" s="42">
        <v>43282</v>
      </c>
      <c r="K38" s="43">
        <v>740330</v>
      </c>
    </row>
  </sheetData>
  <mergeCells count="4">
    <mergeCell ref="A2:A4"/>
    <mergeCell ref="A5:A6"/>
    <mergeCell ref="A17:A18"/>
    <mergeCell ref="A19:A20"/>
  </mergeCells>
  <pageMargins left="0.7" right="0.7" top="0.75" bottom="0.75" header="0.3" footer="0.3"/>
  <pageSetup paperSize="9" orientation="portrait" verticalDpi="18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workbookViewId="0">
      <pane ySplit="1" topLeftCell="A20" activePane="bottomLeft" state="frozen"/>
      <selection/>
      <selection pane="bottomLeft" activeCell="F44" sqref="F44"/>
    </sheetView>
  </sheetViews>
  <sheetFormatPr defaultColWidth="9" defaultRowHeight="14.25"/>
  <cols>
    <col min="1" max="1" width="14.125" customWidth="1"/>
    <col min="2" max="2" width="22.5" customWidth="1"/>
    <col min="3" max="4" width="14.125" customWidth="1"/>
    <col min="5" max="5" width="7.75" customWidth="1"/>
    <col min="6" max="6" width="20.75" customWidth="1"/>
    <col min="7" max="7" width="12.5" customWidth="1"/>
    <col min="8" max="8" width="34.125" customWidth="1"/>
    <col min="9" max="9" width="17.5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</row>
    <row r="2" ht="22.5" spans="1:9">
      <c r="A2" s="12" t="s">
        <v>77</v>
      </c>
      <c r="B2" s="13">
        <v>47250</v>
      </c>
      <c r="C2" s="120" t="s">
        <v>9</v>
      </c>
      <c r="D2" s="120" t="s">
        <v>92</v>
      </c>
      <c r="E2" s="125" t="s">
        <v>27</v>
      </c>
      <c r="F2" s="122">
        <v>0.225</v>
      </c>
      <c r="G2" s="122">
        <v>210000</v>
      </c>
      <c r="H2" s="120" t="s">
        <v>230</v>
      </c>
      <c r="I2" s="35" t="s">
        <v>231</v>
      </c>
    </row>
    <row r="3" ht="22.5" spans="1:9">
      <c r="A3" s="15"/>
      <c r="B3" s="13">
        <v>108000</v>
      </c>
      <c r="C3" s="120" t="s">
        <v>9</v>
      </c>
      <c r="D3" s="120" t="s">
        <v>172</v>
      </c>
      <c r="E3" s="125" t="s">
        <v>27</v>
      </c>
      <c r="F3" s="122">
        <v>0.18</v>
      </c>
      <c r="G3" s="122">
        <v>600000</v>
      </c>
      <c r="H3" s="120" t="s">
        <v>230</v>
      </c>
      <c r="I3" s="35" t="s">
        <v>231</v>
      </c>
    </row>
    <row r="4" ht="22.5" spans="1:9">
      <c r="A4" s="19"/>
      <c r="B4" s="13">
        <v>7980</v>
      </c>
      <c r="C4" s="120" t="s">
        <v>9</v>
      </c>
      <c r="D4" s="120" t="s">
        <v>91</v>
      </c>
      <c r="E4" s="125" t="s">
        <v>27</v>
      </c>
      <c r="F4" s="122">
        <v>0.285</v>
      </c>
      <c r="G4" s="122">
        <v>28000</v>
      </c>
      <c r="H4" s="120" t="s">
        <v>230</v>
      </c>
      <c r="I4" s="35" t="s">
        <v>231</v>
      </c>
    </row>
    <row r="5" ht="22.5" spans="1:9">
      <c r="A5" s="12" t="s">
        <v>14</v>
      </c>
      <c r="B5" s="13">
        <f>113786.43+100000</f>
        <v>213786.43</v>
      </c>
      <c r="C5" s="120" t="s">
        <v>9</v>
      </c>
      <c r="D5" s="120" t="s">
        <v>232</v>
      </c>
      <c r="E5" s="125" t="s">
        <v>27</v>
      </c>
      <c r="F5" s="122">
        <v>0.138</v>
      </c>
      <c r="G5" s="122">
        <f t="shared" ref="G5:G12" si="0">+B5/F5</f>
        <v>1549177.02898551</v>
      </c>
      <c r="H5" s="120" t="s">
        <v>233</v>
      </c>
      <c r="I5" s="35" t="s">
        <v>231</v>
      </c>
    </row>
    <row r="6" ht="22.5" spans="1:9">
      <c r="A6" s="15"/>
      <c r="B6" s="13">
        <v>12320</v>
      </c>
      <c r="C6" s="120" t="s">
        <v>9</v>
      </c>
      <c r="D6" s="120" t="s">
        <v>79</v>
      </c>
      <c r="E6" s="125" t="s">
        <v>27</v>
      </c>
      <c r="F6" s="122">
        <v>0.22</v>
      </c>
      <c r="G6" s="122">
        <f t="shared" si="0"/>
        <v>56000</v>
      </c>
      <c r="H6" s="120" t="s">
        <v>230</v>
      </c>
      <c r="I6" s="35" t="s">
        <v>231</v>
      </c>
    </row>
    <row r="7" ht="22.5" spans="1:9">
      <c r="A7" s="19"/>
      <c r="B7" s="13">
        <v>15390</v>
      </c>
      <c r="C7" s="120" t="s">
        <v>9</v>
      </c>
      <c r="D7" s="120" t="s">
        <v>53</v>
      </c>
      <c r="E7" s="125" t="s">
        <v>27</v>
      </c>
      <c r="F7" s="122">
        <v>0.19</v>
      </c>
      <c r="G7" s="122">
        <f t="shared" si="0"/>
        <v>81000</v>
      </c>
      <c r="H7" s="120" t="s">
        <v>230</v>
      </c>
      <c r="I7" s="35" t="s">
        <v>231</v>
      </c>
    </row>
    <row r="8" ht="22.5" spans="1:9">
      <c r="A8" s="146" t="s">
        <v>75</v>
      </c>
      <c r="B8" s="13">
        <v>17385</v>
      </c>
      <c r="C8" s="120" t="s">
        <v>9</v>
      </c>
      <c r="D8" s="120" t="s">
        <v>160</v>
      </c>
      <c r="E8" s="125" t="s">
        <v>27</v>
      </c>
      <c r="F8" s="122">
        <v>0.095</v>
      </c>
      <c r="G8" s="122">
        <f t="shared" si="0"/>
        <v>183000</v>
      </c>
      <c r="H8" s="120" t="s">
        <v>230</v>
      </c>
      <c r="I8" s="35" t="s">
        <v>231</v>
      </c>
    </row>
    <row r="9" ht="22.5" spans="1:9">
      <c r="A9" s="146"/>
      <c r="B9" s="13">
        <v>48300</v>
      </c>
      <c r="C9" s="120" t="s">
        <v>9</v>
      </c>
      <c r="D9" s="120" t="s">
        <v>173</v>
      </c>
      <c r="E9" s="125" t="s">
        <v>27</v>
      </c>
      <c r="F9" s="122">
        <v>0.1</v>
      </c>
      <c r="G9" s="122">
        <f t="shared" si="0"/>
        <v>483000</v>
      </c>
      <c r="H9" s="120" t="s">
        <v>230</v>
      </c>
      <c r="I9" s="35" t="s">
        <v>231</v>
      </c>
    </row>
    <row r="10" ht="22.5" spans="1:9">
      <c r="A10" s="12" t="s">
        <v>176</v>
      </c>
      <c r="B10" s="13">
        <v>2310</v>
      </c>
      <c r="C10" s="120" t="s">
        <v>9</v>
      </c>
      <c r="D10" s="120" t="s">
        <v>160</v>
      </c>
      <c r="E10" s="125" t="s">
        <v>27</v>
      </c>
      <c r="F10" s="122">
        <v>0.11</v>
      </c>
      <c r="G10" s="122">
        <f t="shared" si="0"/>
        <v>21000</v>
      </c>
      <c r="H10" s="120" t="s">
        <v>230</v>
      </c>
      <c r="I10" s="35" t="s">
        <v>231</v>
      </c>
    </row>
    <row r="11" ht="22.5" spans="1:9">
      <c r="A11" s="19"/>
      <c r="B11" s="13">
        <v>18240</v>
      </c>
      <c r="C11" s="120" t="s">
        <v>9</v>
      </c>
      <c r="D11" s="120" t="s">
        <v>162</v>
      </c>
      <c r="E11" s="125" t="s">
        <v>27</v>
      </c>
      <c r="F11" s="122">
        <v>0.16</v>
      </c>
      <c r="G11" s="122">
        <f t="shared" si="0"/>
        <v>114000</v>
      </c>
      <c r="H11" s="120" t="s">
        <v>230</v>
      </c>
      <c r="I11" s="35" t="s">
        <v>231</v>
      </c>
    </row>
    <row r="12" ht="22.5" spans="1:9">
      <c r="A12" s="146" t="s">
        <v>8</v>
      </c>
      <c r="B12" s="13">
        <v>24000</v>
      </c>
      <c r="C12" s="120" t="s">
        <v>9</v>
      </c>
      <c r="D12" s="120" t="s">
        <v>160</v>
      </c>
      <c r="E12" s="125" t="s">
        <v>27</v>
      </c>
      <c r="F12" s="122">
        <v>0.1</v>
      </c>
      <c r="G12" s="122">
        <f t="shared" si="0"/>
        <v>240000</v>
      </c>
      <c r="H12" s="120" t="s">
        <v>230</v>
      </c>
      <c r="I12" s="35" t="s">
        <v>231</v>
      </c>
    </row>
    <row r="13" ht="22.5" spans="1:9">
      <c r="A13" s="146" t="s">
        <v>70</v>
      </c>
      <c r="B13" s="13">
        <v>6480</v>
      </c>
      <c r="C13" s="120" t="s">
        <v>9</v>
      </c>
      <c r="D13" s="120" t="s">
        <v>73</v>
      </c>
      <c r="E13" s="125" t="s">
        <v>27</v>
      </c>
      <c r="F13" s="122">
        <v>0.18</v>
      </c>
      <c r="G13" s="122">
        <v>36000</v>
      </c>
      <c r="H13" s="120" t="s">
        <v>230</v>
      </c>
      <c r="I13" s="35" t="s">
        <v>231</v>
      </c>
    </row>
    <row r="14" ht="22.5" spans="1:9">
      <c r="A14" s="146" t="s">
        <v>174</v>
      </c>
      <c r="B14" s="13">
        <v>30960</v>
      </c>
      <c r="C14" s="120" t="s">
        <v>9</v>
      </c>
      <c r="D14" s="120" t="s">
        <v>73</v>
      </c>
      <c r="E14" s="125" t="s">
        <v>27</v>
      </c>
      <c r="F14" s="122">
        <v>0.18</v>
      </c>
      <c r="G14" s="122">
        <f t="shared" ref="G14:G27" si="1">+B14/F14</f>
        <v>172000</v>
      </c>
      <c r="H14" s="120" t="s">
        <v>230</v>
      </c>
      <c r="I14" s="35" t="s">
        <v>231</v>
      </c>
    </row>
    <row r="15" ht="22.5" spans="1:9">
      <c r="A15" s="146" t="s">
        <v>42</v>
      </c>
      <c r="B15" s="13">
        <v>7600</v>
      </c>
      <c r="C15" s="120" t="s">
        <v>9</v>
      </c>
      <c r="D15" s="120" t="s">
        <v>217</v>
      </c>
      <c r="E15" s="125" t="s">
        <v>27</v>
      </c>
      <c r="F15" s="122">
        <v>0.475</v>
      </c>
      <c r="G15" s="122">
        <f t="shared" si="1"/>
        <v>16000</v>
      </c>
      <c r="H15" s="120" t="s">
        <v>230</v>
      </c>
      <c r="I15" s="35" t="s">
        <v>231</v>
      </c>
    </row>
    <row r="16" ht="22.5" spans="1:9">
      <c r="A16" s="12" t="s">
        <v>216</v>
      </c>
      <c r="B16" s="13">
        <v>32250</v>
      </c>
      <c r="C16" s="120" t="s">
        <v>9</v>
      </c>
      <c r="D16" s="120" t="s">
        <v>53</v>
      </c>
      <c r="E16" s="125" t="s">
        <v>89</v>
      </c>
      <c r="F16" s="122">
        <v>0.25</v>
      </c>
      <c r="G16" s="122">
        <f t="shared" si="1"/>
        <v>129000</v>
      </c>
      <c r="H16" s="120" t="s">
        <v>230</v>
      </c>
      <c r="I16" s="35" t="s">
        <v>234</v>
      </c>
    </row>
    <row r="17" ht="22.5" spans="1:9">
      <c r="A17" s="19"/>
      <c r="B17" s="13">
        <v>57200</v>
      </c>
      <c r="C17" s="120" t="s">
        <v>9</v>
      </c>
      <c r="D17" s="120" t="s">
        <v>73</v>
      </c>
      <c r="E17" s="125" t="s">
        <v>89</v>
      </c>
      <c r="F17" s="122">
        <v>0.22</v>
      </c>
      <c r="G17" s="122">
        <f t="shared" si="1"/>
        <v>260000</v>
      </c>
      <c r="H17" s="120" t="s">
        <v>230</v>
      </c>
      <c r="I17" s="35" t="s">
        <v>234</v>
      </c>
    </row>
    <row r="18" ht="22.5" spans="1:9">
      <c r="A18" s="12" t="s">
        <v>95</v>
      </c>
      <c r="B18" s="13">
        <v>5700</v>
      </c>
      <c r="C18" s="120" t="s">
        <v>9</v>
      </c>
      <c r="D18" s="120" t="s">
        <v>217</v>
      </c>
      <c r="E18" s="125" t="s">
        <v>27</v>
      </c>
      <c r="F18" s="122">
        <v>0.475</v>
      </c>
      <c r="G18" s="122">
        <f t="shared" si="1"/>
        <v>12000</v>
      </c>
      <c r="H18" s="120" t="s">
        <v>230</v>
      </c>
      <c r="I18" s="35" t="s">
        <v>231</v>
      </c>
    </row>
    <row r="19" ht="22.5" spans="1:9">
      <c r="A19" s="19"/>
      <c r="B19" s="13">
        <v>5700</v>
      </c>
      <c r="C19" s="120" t="s">
        <v>9</v>
      </c>
      <c r="D19" s="120" t="s">
        <v>182</v>
      </c>
      <c r="E19" s="125" t="s">
        <v>27</v>
      </c>
      <c r="F19" s="122">
        <v>0.19</v>
      </c>
      <c r="G19" s="122">
        <f t="shared" si="1"/>
        <v>30000</v>
      </c>
      <c r="H19" s="120" t="s">
        <v>230</v>
      </c>
      <c r="I19" s="35" t="s">
        <v>231</v>
      </c>
    </row>
    <row r="20" ht="22.5" spans="1:9">
      <c r="A20" s="146" t="s">
        <v>80</v>
      </c>
      <c r="B20" s="13">
        <v>85500</v>
      </c>
      <c r="C20" s="120" t="s">
        <v>9</v>
      </c>
      <c r="D20" s="120" t="s">
        <v>199</v>
      </c>
      <c r="E20" s="125" t="s">
        <v>27</v>
      </c>
      <c r="F20" s="122">
        <v>0.25</v>
      </c>
      <c r="G20" s="122">
        <f t="shared" si="1"/>
        <v>342000</v>
      </c>
      <c r="H20" s="120" t="s">
        <v>230</v>
      </c>
      <c r="I20" s="35">
        <v>43362</v>
      </c>
    </row>
    <row r="21" ht="22.5" spans="1:9">
      <c r="A21" s="146" t="s">
        <v>45</v>
      </c>
      <c r="B21" s="13">
        <v>9360</v>
      </c>
      <c r="C21" s="120" t="s">
        <v>9</v>
      </c>
      <c r="D21" s="120" t="s">
        <v>73</v>
      </c>
      <c r="E21" s="125" t="s">
        <v>27</v>
      </c>
      <c r="F21" s="122">
        <v>0.18</v>
      </c>
      <c r="G21" s="122">
        <f t="shared" si="1"/>
        <v>52000</v>
      </c>
      <c r="H21" s="120" t="s">
        <v>230</v>
      </c>
      <c r="I21" s="35">
        <v>43362</v>
      </c>
    </row>
    <row r="22" ht="22.5" spans="1:9">
      <c r="A22" s="146" t="s">
        <v>165</v>
      </c>
      <c r="B22" s="13">
        <v>53100</v>
      </c>
      <c r="C22" s="120" t="s">
        <v>9</v>
      </c>
      <c r="D22" s="120" t="s">
        <v>92</v>
      </c>
      <c r="E22" s="125" t="s">
        <v>27</v>
      </c>
      <c r="F22" s="122">
        <v>0.225</v>
      </c>
      <c r="G22" s="122">
        <f t="shared" si="1"/>
        <v>236000</v>
      </c>
      <c r="H22" s="120" t="s">
        <v>230</v>
      </c>
      <c r="I22" s="35" t="s">
        <v>231</v>
      </c>
    </row>
    <row r="23" ht="22.5" spans="1:9">
      <c r="A23" s="146" t="s">
        <v>61</v>
      </c>
      <c r="B23" s="13">
        <v>1440</v>
      </c>
      <c r="C23" s="120" t="s">
        <v>9</v>
      </c>
      <c r="D23" s="120" t="s">
        <v>73</v>
      </c>
      <c r="E23" s="125" t="s">
        <v>27</v>
      </c>
      <c r="F23" s="122">
        <v>0.18</v>
      </c>
      <c r="G23" s="122">
        <f t="shared" si="1"/>
        <v>8000</v>
      </c>
      <c r="H23" s="120" t="s">
        <v>230</v>
      </c>
      <c r="I23" s="35">
        <v>43362</v>
      </c>
    </row>
    <row r="24" ht="22.5" spans="1:9">
      <c r="A24" s="146" t="s">
        <v>207</v>
      </c>
      <c r="B24" s="13">
        <v>2520</v>
      </c>
      <c r="C24" s="120" t="s">
        <v>9</v>
      </c>
      <c r="D24" s="120" t="s">
        <v>146</v>
      </c>
      <c r="E24" s="125" t="s">
        <v>27</v>
      </c>
      <c r="F24" s="122">
        <v>0.21</v>
      </c>
      <c r="G24" s="122">
        <f t="shared" si="1"/>
        <v>12000</v>
      </c>
      <c r="H24" s="120" t="s">
        <v>230</v>
      </c>
      <c r="I24" s="35">
        <v>43362</v>
      </c>
    </row>
    <row r="25" ht="22.5" spans="1:9">
      <c r="A25" s="12" t="s">
        <v>123</v>
      </c>
      <c r="B25" s="13">
        <v>11990</v>
      </c>
      <c r="C25" s="120" t="s">
        <v>9</v>
      </c>
      <c r="D25" s="120" t="s">
        <v>173</v>
      </c>
      <c r="E25" s="125" t="s">
        <v>89</v>
      </c>
      <c r="F25" s="122">
        <v>0.1</v>
      </c>
      <c r="G25" s="122">
        <v>119900</v>
      </c>
      <c r="H25" s="120" t="s">
        <v>224</v>
      </c>
      <c r="I25" s="35">
        <v>43364</v>
      </c>
    </row>
    <row r="26" ht="22.5" spans="1:9">
      <c r="A26" s="12" t="s">
        <v>55</v>
      </c>
      <c r="B26" s="13">
        <v>28215</v>
      </c>
      <c r="C26" s="120" t="s">
        <v>9</v>
      </c>
      <c r="D26" s="120" t="s">
        <v>160</v>
      </c>
      <c r="E26" s="125" t="s">
        <v>27</v>
      </c>
      <c r="F26" s="122">
        <v>0.1</v>
      </c>
      <c r="G26" s="122">
        <f t="shared" si="1"/>
        <v>282150</v>
      </c>
      <c r="H26" s="120" t="s">
        <v>226</v>
      </c>
      <c r="I26" s="35">
        <v>43362</v>
      </c>
    </row>
    <row r="27" ht="22.5" spans="1:9">
      <c r="A27" s="15"/>
      <c r="B27" s="13">
        <v>53010</v>
      </c>
      <c r="C27" s="120" t="s">
        <v>9</v>
      </c>
      <c r="D27" s="120" t="s">
        <v>160</v>
      </c>
      <c r="E27" s="125" t="s">
        <v>27</v>
      </c>
      <c r="F27" s="122">
        <v>0.1</v>
      </c>
      <c r="G27" s="122">
        <f t="shared" si="1"/>
        <v>530100</v>
      </c>
      <c r="H27" s="120" t="s">
        <v>215</v>
      </c>
      <c r="I27" s="35">
        <v>43362</v>
      </c>
    </row>
    <row r="28" ht="22.5" spans="1:9">
      <c r="A28" s="149" t="s">
        <v>165</v>
      </c>
      <c r="B28" s="58">
        <v>136800</v>
      </c>
      <c r="C28" s="136" t="s">
        <v>9</v>
      </c>
      <c r="D28" s="136" t="s">
        <v>211</v>
      </c>
      <c r="E28" s="136" t="s">
        <v>27</v>
      </c>
      <c r="F28" s="137">
        <v>0.285</v>
      </c>
      <c r="G28" s="137">
        <v>480000</v>
      </c>
      <c r="H28" s="136" t="s">
        <v>235</v>
      </c>
      <c r="I28" s="84">
        <v>43371</v>
      </c>
    </row>
    <row r="29" ht="22.5" spans="1:9">
      <c r="A29" s="150"/>
      <c r="B29" s="58">
        <v>6000</v>
      </c>
      <c r="C29" s="136" t="s">
        <v>9</v>
      </c>
      <c r="D29" s="136" t="s">
        <v>172</v>
      </c>
      <c r="E29" s="136" t="s">
        <v>27</v>
      </c>
      <c r="F29" s="137">
        <v>0.2</v>
      </c>
      <c r="G29" s="137">
        <v>30000</v>
      </c>
      <c r="H29" s="136" t="s">
        <v>235</v>
      </c>
      <c r="I29" s="84">
        <v>43371</v>
      </c>
    </row>
    <row r="30" spans="8:9">
      <c r="H30" s="40" t="s">
        <v>139</v>
      </c>
      <c r="I30" s="41">
        <v>39900</v>
      </c>
    </row>
    <row r="31" spans="8:9">
      <c r="H31" s="40" t="s">
        <v>28</v>
      </c>
      <c r="I31" s="41">
        <v>32400</v>
      </c>
    </row>
    <row r="32" spans="8:9">
      <c r="H32" s="40" t="s">
        <v>31</v>
      </c>
      <c r="I32" s="41">
        <v>111900</v>
      </c>
    </row>
    <row r="33" spans="8:9">
      <c r="H33" s="40" t="s">
        <v>32</v>
      </c>
      <c r="I33" s="41">
        <v>135939</v>
      </c>
    </row>
    <row r="34" spans="8:9">
      <c r="H34" s="40" t="s">
        <v>140</v>
      </c>
      <c r="I34" s="41">
        <v>186045</v>
      </c>
    </row>
    <row r="35" spans="8:9">
      <c r="H35" s="40" t="s">
        <v>142</v>
      </c>
      <c r="I35" s="41">
        <v>133782.6</v>
      </c>
    </row>
    <row r="36" spans="8:9">
      <c r="H36" s="42">
        <v>42736</v>
      </c>
      <c r="I36" s="41">
        <v>117630</v>
      </c>
    </row>
    <row r="37" spans="8:9">
      <c r="H37" s="40" t="s">
        <v>60</v>
      </c>
      <c r="I37" s="41">
        <v>56680</v>
      </c>
    </row>
    <row r="38" spans="8:9">
      <c r="H38" s="41" t="s">
        <v>58</v>
      </c>
      <c r="I38" s="43">
        <v>172605</v>
      </c>
    </row>
    <row r="39" spans="8:9">
      <c r="H39" s="41" t="s">
        <v>22</v>
      </c>
      <c r="I39" s="41">
        <v>224673</v>
      </c>
    </row>
    <row r="40" spans="8:9">
      <c r="H40" s="41" t="s">
        <v>24</v>
      </c>
      <c r="I40" s="41">
        <v>313761</v>
      </c>
    </row>
    <row r="41" spans="8:9">
      <c r="H41" s="41" t="s">
        <v>25</v>
      </c>
      <c r="I41" s="41">
        <v>561401.3</v>
      </c>
    </row>
    <row r="42" spans="8:9">
      <c r="H42" s="40" t="s">
        <v>28</v>
      </c>
      <c r="I42" s="41">
        <v>489075.24</v>
      </c>
    </row>
    <row r="43" spans="8:9">
      <c r="H43" s="40" t="s">
        <v>143</v>
      </c>
      <c r="I43" s="41">
        <v>1072775.15</v>
      </c>
    </row>
    <row r="44" spans="8:9">
      <c r="H44" s="41" t="s">
        <v>32</v>
      </c>
      <c r="I44" s="41">
        <v>1546532.63</v>
      </c>
    </row>
    <row r="45" spans="8:9">
      <c r="H45" s="41" t="s">
        <v>37</v>
      </c>
      <c r="I45" s="41">
        <v>1206965.46</v>
      </c>
    </row>
    <row r="46" spans="8:9">
      <c r="H46" s="41" t="s">
        <v>40</v>
      </c>
      <c r="I46" s="41">
        <v>1164153.55</v>
      </c>
    </row>
    <row r="47" spans="8:9">
      <c r="H47" s="41" t="s">
        <v>44</v>
      </c>
      <c r="I47" s="41">
        <v>1283006.2</v>
      </c>
    </row>
    <row r="48" spans="8:9">
      <c r="H48" s="42">
        <v>43101</v>
      </c>
      <c r="I48" s="41">
        <v>1552959</v>
      </c>
    </row>
    <row r="49" spans="8:9">
      <c r="H49" s="42">
        <v>43132</v>
      </c>
      <c r="I49" s="41">
        <v>573933.88</v>
      </c>
    </row>
    <row r="50" spans="8:9">
      <c r="H50" s="42">
        <v>43160</v>
      </c>
      <c r="I50" s="41">
        <v>725630.05</v>
      </c>
    </row>
    <row r="51" spans="8:9">
      <c r="H51" s="42">
        <v>43191</v>
      </c>
      <c r="I51" s="41">
        <v>998002.8</v>
      </c>
    </row>
    <row r="52" spans="8:9">
      <c r="H52" s="42">
        <v>43221</v>
      </c>
      <c r="I52" s="41">
        <v>1635478</v>
      </c>
    </row>
    <row r="53" spans="8:9">
      <c r="H53" s="42">
        <v>43252</v>
      </c>
      <c r="I53" s="43">
        <v>845035</v>
      </c>
    </row>
    <row r="54" spans="8:9">
      <c r="H54" s="42">
        <v>43282</v>
      </c>
      <c r="I54" s="43">
        <v>740330</v>
      </c>
    </row>
    <row r="55" spans="8:9">
      <c r="H55" s="42">
        <v>43313</v>
      </c>
      <c r="I55" s="43">
        <v>1048786.43</v>
      </c>
    </row>
  </sheetData>
  <mergeCells count="8">
    <mergeCell ref="A2:A4"/>
    <mergeCell ref="A5:A7"/>
    <mergeCell ref="A8:A9"/>
    <mergeCell ref="A10:A11"/>
    <mergeCell ref="A16:A17"/>
    <mergeCell ref="A18:A19"/>
    <mergeCell ref="A26:A27"/>
    <mergeCell ref="A28:A29"/>
  </mergeCells>
  <pageMargins left="0.7" right="0.7" top="0.75" bottom="0.75" header="0.3" footer="0.3"/>
  <pageSetup paperSize="9" orientation="portrait" verticalDpi="18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workbookViewId="0">
      <pane xSplit="2" ySplit="1" topLeftCell="C11" activePane="bottomRight" state="frozen"/>
      <selection/>
      <selection pane="topRight"/>
      <selection pane="bottomLeft"/>
      <selection pane="bottomRight" activeCell="E30" sqref="E30"/>
    </sheetView>
  </sheetViews>
  <sheetFormatPr defaultColWidth="9" defaultRowHeight="14.25"/>
  <cols>
    <col min="1" max="1" width="14.125" customWidth="1"/>
    <col min="2" max="2" width="22.5" customWidth="1"/>
    <col min="3" max="4" width="14.125" customWidth="1"/>
    <col min="5" max="5" width="7.75" customWidth="1"/>
    <col min="6" max="6" width="20.75" customWidth="1"/>
    <col min="7" max="7" width="19.125" customWidth="1"/>
    <col min="8" max="8" width="15.75" customWidth="1"/>
    <col min="9" max="9" width="19.125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</row>
    <row r="2" ht="22.5" spans="1:9">
      <c r="A2" s="143" t="s">
        <v>176</v>
      </c>
      <c r="B2" s="45">
        <v>12480</v>
      </c>
      <c r="C2" s="44" t="s">
        <v>9</v>
      </c>
      <c r="D2" s="44" t="s">
        <v>162</v>
      </c>
      <c r="E2" s="44" t="s">
        <v>27</v>
      </c>
      <c r="F2" s="4">
        <v>0.16</v>
      </c>
      <c r="G2" s="144">
        <v>78000</v>
      </c>
      <c r="H2" s="44" t="s">
        <v>236</v>
      </c>
      <c r="I2" s="75" t="s">
        <v>237</v>
      </c>
    </row>
    <row r="3" ht="22.5" spans="1:9">
      <c r="A3" s="143" t="s">
        <v>70</v>
      </c>
      <c r="B3" s="45">
        <v>2160</v>
      </c>
      <c r="C3" s="44" t="s">
        <v>9</v>
      </c>
      <c r="D3" s="44" t="s">
        <v>73</v>
      </c>
      <c r="E3" s="44" t="s">
        <v>27</v>
      </c>
      <c r="F3" s="4">
        <v>0.18</v>
      </c>
      <c r="G3" s="144">
        <v>12000</v>
      </c>
      <c r="H3" s="44" t="s">
        <v>236</v>
      </c>
      <c r="I3" s="75" t="s">
        <v>237</v>
      </c>
    </row>
    <row r="4" ht="22.5" spans="1:9">
      <c r="A4" s="143" t="s">
        <v>95</v>
      </c>
      <c r="B4" s="45">
        <v>11400</v>
      </c>
      <c r="C4" s="44" t="s">
        <v>9</v>
      </c>
      <c r="D4" s="44" t="s">
        <v>217</v>
      </c>
      <c r="E4" s="44" t="s">
        <v>27</v>
      </c>
      <c r="F4" s="4">
        <v>0.475</v>
      </c>
      <c r="G4" s="144">
        <v>24000</v>
      </c>
      <c r="H4" s="44" t="s">
        <v>236</v>
      </c>
      <c r="I4" s="75" t="s">
        <v>237</v>
      </c>
    </row>
    <row r="5" ht="22.5" spans="1:9">
      <c r="A5" s="143" t="s">
        <v>80</v>
      </c>
      <c r="B5" s="45">
        <v>100650</v>
      </c>
      <c r="C5" s="44" t="s">
        <v>9</v>
      </c>
      <c r="D5" s="44" t="s">
        <v>211</v>
      </c>
      <c r="E5" s="44" t="s">
        <v>27</v>
      </c>
      <c r="F5" s="4">
        <v>0.25</v>
      </c>
      <c r="G5" s="144">
        <v>402600</v>
      </c>
      <c r="H5" s="44" t="s">
        <v>236</v>
      </c>
      <c r="I5" s="75" t="s">
        <v>237</v>
      </c>
    </row>
    <row r="6" ht="22.5" spans="1:9">
      <c r="A6" s="143" t="s">
        <v>165</v>
      </c>
      <c r="B6" s="45">
        <v>6000</v>
      </c>
      <c r="C6" s="44" t="s">
        <v>9</v>
      </c>
      <c r="D6" s="44" t="s">
        <v>172</v>
      </c>
      <c r="E6" s="44" t="s">
        <v>27</v>
      </c>
      <c r="F6" s="4">
        <v>0.2</v>
      </c>
      <c r="G6" s="144">
        <v>30000</v>
      </c>
      <c r="H6" s="44" t="s">
        <v>236</v>
      </c>
      <c r="I6" s="75" t="s">
        <v>237</v>
      </c>
    </row>
    <row r="7" ht="22.5" spans="1:9">
      <c r="A7" s="143" t="s">
        <v>174</v>
      </c>
      <c r="B7" s="45">
        <v>21600</v>
      </c>
      <c r="C7" s="44" t="s">
        <v>9</v>
      </c>
      <c r="D7" s="44" t="s">
        <v>73</v>
      </c>
      <c r="E7" s="44" t="s">
        <v>27</v>
      </c>
      <c r="F7" s="4">
        <v>0.18</v>
      </c>
      <c r="G7" s="144">
        <v>120000</v>
      </c>
      <c r="H7" s="44" t="s">
        <v>236</v>
      </c>
      <c r="I7" s="75" t="s">
        <v>237</v>
      </c>
    </row>
    <row r="8" ht="22.5" spans="1:10">
      <c r="A8" s="143" t="s">
        <v>72</v>
      </c>
      <c r="B8" s="45">
        <v>2250</v>
      </c>
      <c r="C8" s="44" t="s">
        <v>9</v>
      </c>
      <c r="D8" s="44" t="s">
        <v>53</v>
      </c>
      <c r="E8" s="44" t="s">
        <v>89</v>
      </c>
      <c r="F8" s="4">
        <v>0.25</v>
      </c>
      <c r="G8" s="144">
        <v>9000</v>
      </c>
      <c r="H8" s="44" t="s">
        <v>236</v>
      </c>
      <c r="I8" s="75" t="s">
        <v>237</v>
      </c>
      <c r="J8" t="s">
        <v>238</v>
      </c>
    </row>
    <row r="9" ht="22.5" spans="1:9">
      <c r="A9" s="143" t="s">
        <v>77</v>
      </c>
      <c r="B9" s="45">
        <v>108000</v>
      </c>
      <c r="C9" s="44" t="s">
        <v>9</v>
      </c>
      <c r="D9" s="44" t="s">
        <v>172</v>
      </c>
      <c r="E9" s="44" t="s">
        <v>27</v>
      </c>
      <c r="F9" s="4">
        <v>0.18</v>
      </c>
      <c r="G9" s="144">
        <v>600000</v>
      </c>
      <c r="H9" s="44" t="s">
        <v>236</v>
      </c>
      <c r="I9" s="75" t="s">
        <v>237</v>
      </c>
    </row>
    <row r="10" ht="22.5" spans="1:9">
      <c r="A10" s="46" t="s">
        <v>8</v>
      </c>
      <c r="B10" s="45">
        <f>2250+3150+870</f>
        <v>6270</v>
      </c>
      <c r="C10" s="44" t="s">
        <v>9</v>
      </c>
      <c r="D10" s="44" t="s">
        <v>162</v>
      </c>
      <c r="E10" s="44" t="s">
        <v>27</v>
      </c>
      <c r="F10" s="4">
        <v>0.15</v>
      </c>
      <c r="G10" s="144">
        <v>41800</v>
      </c>
      <c r="H10" s="44" t="s">
        <v>236</v>
      </c>
      <c r="I10" s="75" t="s">
        <v>237</v>
      </c>
    </row>
    <row r="11" ht="22.5" spans="1:9">
      <c r="A11" s="48"/>
      <c r="B11" s="45">
        <v>12600</v>
      </c>
      <c r="C11" s="44" t="s">
        <v>9</v>
      </c>
      <c r="D11" s="44" t="s">
        <v>161</v>
      </c>
      <c r="E11" s="44" t="s">
        <v>27</v>
      </c>
      <c r="F11" s="4">
        <v>0.14</v>
      </c>
      <c r="G11" s="144">
        <v>90000</v>
      </c>
      <c r="H11" s="44" t="s">
        <v>236</v>
      </c>
      <c r="I11" s="75" t="s">
        <v>237</v>
      </c>
    </row>
    <row r="12" ht="22.5" spans="1:9">
      <c r="A12" s="46" t="s">
        <v>14</v>
      </c>
      <c r="B12" s="45">
        <f>6160+10320+1720</f>
        <v>18200</v>
      </c>
      <c r="C12" s="44" t="s">
        <v>9</v>
      </c>
      <c r="D12" s="44" t="s">
        <v>79</v>
      </c>
      <c r="E12" s="44" t="s">
        <v>27</v>
      </c>
      <c r="F12" s="4">
        <v>0.2</v>
      </c>
      <c r="G12" s="144">
        <f t="shared" ref="G12:G21" si="0">+B12/F12</f>
        <v>91000</v>
      </c>
      <c r="H12" s="44" t="s">
        <v>236</v>
      </c>
      <c r="I12" s="75" t="s">
        <v>237</v>
      </c>
    </row>
    <row r="13" ht="22.5" spans="1:9">
      <c r="A13" s="48"/>
      <c r="B13" s="45">
        <f>47730+13320+11100</f>
        <v>72150</v>
      </c>
      <c r="C13" s="44" t="s">
        <v>9</v>
      </c>
      <c r="D13" s="44" t="s">
        <v>53</v>
      </c>
      <c r="E13" s="44" t="s">
        <v>27</v>
      </c>
      <c r="F13" s="4">
        <v>0.185</v>
      </c>
      <c r="G13" s="144">
        <f t="shared" si="0"/>
        <v>390000</v>
      </c>
      <c r="H13" s="44" t="s">
        <v>236</v>
      </c>
      <c r="I13" s="75" t="s">
        <v>237</v>
      </c>
    </row>
    <row r="14" ht="22.5" spans="1:9">
      <c r="A14" s="47" t="s">
        <v>75</v>
      </c>
      <c r="B14" s="45">
        <f>3900+18330</f>
        <v>22230</v>
      </c>
      <c r="C14" s="44" t="s">
        <v>9</v>
      </c>
      <c r="D14" s="44" t="s">
        <v>161</v>
      </c>
      <c r="E14" s="44" t="s">
        <v>27</v>
      </c>
      <c r="F14" s="4">
        <v>0.13</v>
      </c>
      <c r="G14" s="144">
        <f t="shared" si="0"/>
        <v>171000</v>
      </c>
      <c r="H14" s="44" t="s">
        <v>236</v>
      </c>
      <c r="I14" s="75" t="s">
        <v>237</v>
      </c>
    </row>
    <row r="15" ht="22.5" spans="1:9">
      <c r="A15" s="47"/>
      <c r="B15" s="3">
        <v>5350</v>
      </c>
      <c r="C15" s="44" t="s">
        <v>9</v>
      </c>
      <c r="D15" s="44" t="s">
        <v>173</v>
      </c>
      <c r="E15" s="44" t="s">
        <v>27</v>
      </c>
      <c r="F15" s="4">
        <v>0.1</v>
      </c>
      <c r="G15" s="144">
        <f t="shared" si="0"/>
        <v>53500</v>
      </c>
      <c r="H15" s="44" t="s">
        <v>236</v>
      </c>
      <c r="I15" s="75" t="s">
        <v>237</v>
      </c>
    </row>
    <row r="16" ht="22.5" spans="1:9">
      <c r="A16" s="48"/>
      <c r="B16" s="3">
        <v>2967.9</v>
      </c>
      <c r="C16" s="44" t="s">
        <v>9</v>
      </c>
      <c r="D16" s="44" t="s">
        <v>182</v>
      </c>
      <c r="E16" s="44" t="s">
        <v>27</v>
      </c>
      <c r="F16" s="4">
        <v>0.195</v>
      </c>
      <c r="G16" s="144">
        <f t="shared" si="0"/>
        <v>15220</v>
      </c>
      <c r="H16" s="44" t="s">
        <v>236</v>
      </c>
      <c r="I16" s="75" t="s">
        <v>237</v>
      </c>
    </row>
    <row r="17" ht="22.5" spans="1:9">
      <c r="A17" s="145" t="s">
        <v>123</v>
      </c>
      <c r="B17" s="13">
        <v>15000</v>
      </c>
      <c r="C17" s="120" t="s">
        <v>9</v>
      </c>
      <c r="D17" s="120" t="s">
        <v>173</v>
      </c>
      <c r="E17" s="125" t="s">
        <v>89</v>
      </c>
      <c r="F17" s="122">
        <v>0.1</v>
      </c>
      <c r="G17" s="126">
        <f t="shared" si="0"/>
        <v>150000</v>
      </c>
      <c r="H17" s="127" t="s">
        <v>228</v>
      </c>
      <c r="I17" s="75" t="s">
        <v>237</v>
      </c>
    </row>
    <row r="18" ht="22.5" spans="1:9">
      <c r="A18" s="145"/>
      <c r="B18" s="13">
        <v>24000</v>
      </c>
      <c r="C18" s="120" t="s">
        <v>9</v>
      </c>
      <c r="D18" s="120" t="s">
        <v>162</v>
      </c>
      <c r="E18" s="125" t="s">
        <v>89</v>
      </c>
      <c r="F18" s="122">
        <v>0.16</v>
      </c>
      <c r="G18" s="126">
        <f t="shared" si="0"/>
        <v>150000</v>
      </c>
      <c r="H18" s="127" t="s">
        <v>228</v>
      </c>
      <c r="I18" s="75" t="s">
        <v>237</v>
      </c>
    </row>
    <row r="19" ht="22.5" spans="1:9">
      <c r="A19" s="145"/>
      <c r="B19" s="13">
        <v>4500</v>
      </c>
      <c r="C19" s="120" t="s">
        <v>9</v>
      </c>
      <c r="D19" s="120" t="s">
        <v>161</v>
      </c>
      <c r="E19" s="125" t="s">
        <v>89</v>
      </c>
      <c r="F19" s="122">
        <v>0.15</v>
      </c>
      <c r="G19" s="126">
        <f t="shared" si="0"/>
        <v>30000</v>
      </c>
      <c r="H19" s="127" t="s">
        <v>228</v>
      </c>
      <c r="I19" s="75" t="s">
        <v>237</v>
      </c>
    </row>
    <row r="20" ht="22.5" spans="1:9">
      <c r="A20" s="129" t="s">
        <v>165</v>
      </c>
      <c r="B20" s="13">
        <v>14400</v>
      </c>
      <c r="C20" s="125" t="s">
        <v>9</v>
      </c>
      <c r="D20" s="13" t="s">
        <v>92</v>
      </c>
      <c r="E20" s="125" t="s">
        <v>27</v>
      </c>
      <c r="F20" s="122">
        <v>0.24</v>
      </c>
      <c r="G20" s="122">
        <f t="shared" si="0"/>
        <v>60000</v>
      </c>
      <c r="H20" s="120" t="s">
        <v>235</v>
      </c>
      <c r="I20" s="35" t="s">
        <v>239</v>
      </c>
    </row>
    <row r="21" ht="22.5" spans="1:9">
      <c r="A21" s="132"/>
      <c r="B21" s="13">
        <v>103600</v>
      </c>
      <c r="C21" s="125" t="s">
        <v>9</v>
      </c>
      <c r="D21" s="13" t="s">
        <v>211</v>
      </c>
      <c r="E21" s="125" t="s">
        <v>27</v>
      </c>
      <c r="F21" s="122">
        <v>0.28</v>
      </c>
      <c r="G21" s="122">
        <f t="shared" si="0"/>
        <v>370000</v>
      </c>
      <c r="H21" s="120" t="s">
        <v>240</v>
      </c>
      <c r="I21" s="35" t="s">
        <v>239</v>
      </c>
    </row>
    <row r="22" ht="22.5" spans="1:9">
      <c r="A22" s="146" t="s">
        <v>97</v>
      </c>
      <c r="B22" s="13">
        <f>+F22*G22</f>
        <v>133900</v>
      </c>
      <c r="C22" s="147" t="s">
        <v>112</v>
      </c>
      <c r="D22" s="13" t="s">
        <v>114</v>
      </c>
      <c r="E22" s="125" t="s">
        <v>100</v>
      </c>
      <c r="F22" s="122">
        <v>2678</v>
      </c>
      <c r="G22" s="122">
        <v>50</v>
      </c>
      <c r="H22" s="120"/>
      <c r="I22" s="35" t="s">
        <v>241</v>
      </c>
    </row>
    <row r="23" ht="22.5" spans="1:9">
      <c r="A23" s="146"/>
      <c r="B23" s="13">
        <f>+F23*G23</f>
        <v>94968</v>
      </c>
      <c r="C23" s="147" t="s">
        <v>112</v>
      </c>
      <c r="D23" s="13" t="s">
        <v>130</v>
      </c>
      <c r="E23" s="125" t="s">
        <v>100</v>
      </c>
      <c r="F23" s="122">
        <v>2638</v>
      </c>
      <c r="G23" s="122">
        <v>36</v>
      </c>
      <c r="H23" s="120"/>
      <c r="I23" s="35" t="s">
        <v>241</v>
      </c>
    </row>
    <row r="24" ht="22.5" spans="1:9">
      <c r="A24" s="146"/>
      <c r="B24" s="13">
        <f>+F24*G24</f>
        <v>105520</v>
      </c>
      <c r="C24" s="147" t="s">
        <v>112</v>
      </c>
      <c r="D24" s="13" t="s">
        <v>130</v>
      </c>
      <c r="E24" s="125" t="s">
        <v>100</v>
      </c>
      <c r="F24" s="122">
        <v>2638</v>
      </c>
      <c r="G24" s="122">
        <v>40</v>
      </c>
      <c r="H24" s="120"/>
      <c r="I24" s="35" t="s">
        <v>237</v>
      </c>
    </row>
    <row r="25" spans="2:9">
      <c r="B25" s="37"/>
      <c r="H25" s="40" t="s">
        <v>139</v>
      </c>
      <c r="I25" s="41">
        <v>39900</v>
      </c>
    </row>
    <row r="26" spans="8:9">
      <c r="H26" s="40" t="s">
        <v>28</v>
      </c>
      <c r="I26" s="41">
        <v>32400</v>
      </c>
    </row>
    <row r="27" spans="8:9">
      <c r="H27" s="40" t="s">
        <v>31</v>
      </c>
      <c r="I27" s="41">
        <v>111900</v>
      </c>
    </row>
    <row r="28" spans="8:9">
      <c r="H28" s="40" t="s">
        <v>32</v>
      </c>
      <c r="I28" s="41">
        <v>135939</v>
      </c>
    </row>
    <row r="29" spans="8:9">
      <c r="H29" s="40" t="s">
        <v>140</v>
      </c>
      <c r="I29" s="41">
        <v>186045</v>
      </c>
    </row>
    <row r="30" spans="8:9">
      <c r="H30" s="40" t="s">
        <v>142</v>
      </c>
      <c r="I30" s="41">
        <v>133782.6</v>
      </c>
    </row>
    <row r="31" spans="8:9">
      <c r="H31" s="42">
        <v>42736</v>
      </c>
      <c r="I31" s="41">
        <v>117630</v>
      </c>
    </row>
    <row r="32" spans="8:9">
      <c r="H32" s="40" t="s">
        <v>60</v>
      </c>
      <c r="I32" s="41">
        <v>56680</v>
      </c>
    </row>
    <row r="33" spans="8:9">
      <c r="H33" s="41" t="s">
        <v>58</v>
      </c>
      <c r="I33" s="43">
        <v>172605</v>
      </c>
    </row>
    <row r="34" spans="8:9">
      <c r="H34" s="41" t="s">
        <v>22</v>
      </c>
      <c r="I34" s="41">
        <v>224673</v>
      </c>
    </row>
    <row r="35" spans="8:9">
      <c r="H35" s="41" t="s">
        <v>24</v>
      </c>
      <c r="I35" s="41">
        <v>313761</v>
      </c>
    </row>
    <row r="36" spans="8:9">
      <c r="H36" s="41" t="s">
        <v>25</v>
      </c>
      <c r="I36" s="41">
        <v>561401.3</v>
      </c>
    </row>
    <row r="37" spans="8:9">
      <c r="H37" s="40" t="s">
        <v>28</v>
      </c>
      <c r="I37" s="41">
        <v>489075.24</v>
      </c>
    </row>
    <row r="38" spans="8:9">
      <c r="H38" s="40" t="s">
        <v>143</v>
      </c>
      <c r="I38" s="41">
        <v>1072775.15</v>
      </c>
    </row>
    <row r="39" spans="8:9">
      <c r="H39" s="41" t="s">
        <v>32</v>
      </c>
      <c r="I39" s="41">
        <v>1546532.63</v>
      </c>
    </row>
    <row r="40" spans="8:9">
      <c r="H40" s="41" t="s">
        <v>37</v>
      </c>
      <c r="I40" s="41">
        <v>1206965.46</v>
      </c>
    </row>
    <row r="41" spans="8:9">
      <c r="H41" s="41" t="s">
        <v>40</v>
      </c>
      <c r="I41" s="41">
        <v>1164153.55</v>
      </c>
    </row>
    <row r="42" spans="8:9">
      <c r="H42" s="41" t="s">
        <v>44</v>
      </c>
      <c r="I42" s="41">
        <v>1283006.2</v>
      </c>
    </row>
    <row r="43" spans="8:9">
      <c r="H43" s="42">
        <v>43101</v>
      </c>
      <c r="I43" s="41">
        <v>1552959</v>
      </c>
    </row>
    <row r="44" spans="8:9">
      <c r="H44" s="42">
        <v>43132</v>
      </c>
      <c r="I44" s="41">
        <v>573933.88</v>
      </c>
    </row>
    <row r="45" spans="8:9">
      <c r="H45" s="42">
        <v>43160</v>
      </c>
      <c r="I45" s="41">
        <v>725630.05</v>
      </c>
    </row>
    <row r="46" spans="8:9">
      <c r="H46" s="42">
        <v>43191</v>
      </c>
      <c r="I46" s="41">
        <v>998002.8</v>
      </c>
    </row>
    <row r="47" spans="8:9">
      <c r="H47" s="42">
        <v>43221</v>
      </c>
      <c r="I47" s="41">
        <v>1635478</v>
      </c>
    </row>
    <row r="48" spans="8:9">
      <c r="H48" s="42">
        <v>43252</v>
      </c>
      <c r="I48" s="43">
        <v>845035</v>
      </c>
    </row>
    <row r="49" spans="8:9">
      <c r="H49" s="42">
        <v>43282</v>
      </c>
      <c r="I49" s="43">
        <v>740330</v>
      </c>
    </row>
    <row r="50" spans="8:9">
      <c r="H50" s="42">
        <v>43313</v>
      </c>
      <c r="I50" s="43">
        <v>1048786.43</v>
      </c>
    </row>
    <row r="51" spans="8:9">
      <c r="H51" s="42">
        <v>43344</v>
      </c>
      <c r="I51" s="43">
        <v>900195</v>
      </c>
    </row>
    <row r="52" spans="8:8">
      <c r="H52" s="148"/>
    </row>
  </sheetData>
  <mergeCells count="6">
    <mergeCell ref="A10:A11"/>
    <mergeCell ref="A12:A13"/>
    <mergeCell ref="A14:A16"/>
    <mergeCell ref="A17:A19"/>
    <mergeCell ref="A20:A21"/>
    <mergeCell ref="A22:A24"/>
  </mergeCells>
  <pageMargins left="0.15748031496063" right="0.15748031496063" top="0.196850393700787" bottom="0.15748031496063" header="0.31496062992126" footer="0.31496062992126"/>
  <pageSetup paperSize="9" scale="90" orientation="landscape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25" zoomScaleNormal="125" workbookViewId="0">
      <selection activeCell="B13" sqref="B13"/>
    </sheetView>
  </sheetViews>
  <sheetFormatPr defaultColWidth="11" defaultRowHeight="14.25" outlineLevelCol="7"/>
  <cols>
    <col min="1" max="1" width="14.5" customWidth="1"/>
    <col min="3" max="3" width="12.5" customWidth="1"/>
    <col min="6" max="6" width="16.125" customWidth="1"/>
  </cols>
  <sheetData>
    <row r="1" ht="36" customHeight="1" spans="1:8">
      <c r="A1" s="398" t="s">
        <v>23</v>
      </c>
      <c r="B1" s="399"/>
      <c r="C1" s="399"/>
      <c r="D1" s="399"/>
      <c r="E1" s="399"/>
      <c r="F1" s="399"/>
      <c r="G1" s="399"/>
      <c r="H1" s="400"/>
    </row>
    <row r="2" ht="22.5" spans="1:8">
      <c r="A2" s="156" t="s">
        <v>0</v>
      </c>
      <c r="B2" s="156" t="s">
        <v>20</v>
      </c>
      <c r="C2" s="156" t="s">
        <v>2</v>
      </c>
      <c r="D2" s="156" t="s">
        <v>3</v>
      </c>
      <c r="E2" s="156" t="s">
        <v>4</v>
      </c>
      <c r="F2" s="401" t="s">
        <v>21</v>
      </c>
      <c r="G2" s="401" t="s">
        <v>6</v>
      </c>
      <c r="H2" s="156" t="s">
        <v>7</v>
      </c>
    </row>
    <row r="3" ht="22.5" spans="1:8">
      <c r="A3" s="156" t="s">
        <v>8</v>
      </c>
      <c r="B3" s="156">
        <v>10800</v>
      </c>
      <c r="C3" s="156" t="s">
        <v>9</v>
      </c>
      <c r="D3" s="156">
        <v>3401</v>
      </c>
      <c r="E3" s="156" t="s">
        <v>10</v>
      </c>
      <c r="F3" s="401" t="s">
        <v>11</v>
      </c>
      <c r="G3" s="401" t="s">
        <v>12</v>
      </c>
      <c r="H3" s="156" t="s">
        <v>24</v>
      </c>
    </row>
    <row r="4" ht="22.5" spans="1:8">
      <c r="A4" s="156" t="s">
        <v>8</v>
      </c>
      <c r="B4" s="156">
        <v>21600</v>
      </c>
      <c r="C4" s="156" t="s">
        <v>9</v>
      </c>
      <c r="D4" s="156">
        <v>3401</v>
      </c>
      <c r="E4" s="156" t="s">
        <v>10</v>
      </c>
      <c r="F4" s="401" t="s">
        <v>11</v>
      </c>
      <c r="G4" s="401" t="s">
        <v>12</v>
      </c>
      <c r="H4" s="156" t="s">
        <v>25</v>
      </c>
    </row>
    <row r="5" ht="22.5" spans="1:8">
      <c r="A5" s="156"/>
      <c r="B5" s="156"/>
      <c r="C5" s="156"/>
      <c r="D5" s="156"/>
      <c r="E5" s="156"/>
      <c r="F5" s="401"/>
      <c r="G5" s="401"/>
      <c r="H5" s="156"/>
    </row>
    <row r="6" ht="22.5" spans="1:8">
      <c r="A6" s="156" t="s">
        <v>26</v>
      </c>
      <c r="B6" s="156">
        <v>7500</v>
      </c>
      <c r="C6" s="156" t="s">
        <v>9</v>
      </c>
      <c r="D6" s="156">
        <v>9926</v>
      </c>
      <c r="E6" s="156" t="s">
        <v>27</v>
      </c>
      <c r="F6" s="401">
        <v>0.1</v>
      </c>
      <c r="G6" s="401"/>
      <c r="H6" s="156" t="s">
        <v>23</v>
      </c>
    </row>
    <row r="7" ht="22.5" spans="1:8">
      <c r="A7" s="156"/>
      <c r="B7" s="156"/>
      <c r="C7" s="156"/>
      <c r="D7" s="156"/>
      <c r="E7" s="156"/>
      <c r="F7" s="401" t="s">
        <v>16</v>
      </c>
      <c r="G7" s="401"/>
      <c r="H7" s="401"/>
    </row>
    <row r="10" ht="16.5" customHeight="1" spans="1:4">
      <c r="A10" s="402" t="s">
        <v>17</v>
      </c>
      <c r="B10" s="403">
        <v>39900</v>
      </c>
      <c r="D10" s="304" t="s">
        <v>18</v>
      </c>
    </row>
  </sheetData>
  <mergeCells count="1">
    <mergeCell ref="A1:H1"/>
  </mergeCells>
  <pageMargins left="0.75" right="0.75" top="1" bottom="1" header="0.5" footer="0.5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opLeftCell="A16" workbookViewId="0">
      <selection activeCell="F20" sqref="F20"/>
    </sheetView>
  </sheetViews>
  <sheetFormatPr defaultColWidth="9" defaultRowHeight="14.25"/>
  <cols>
    <col min="1" max="1" width="14.125" customWidth="1"/>
    <col min="2" max="2" width="19.125" customWidth="1"/>
    <col min="3" max="3" width="14.125" customWidth="1"/>
    <col min="4" max="4" width="15.75" customWidth="1"/>
    <col min="5" max="5" width="7.75" customWidth="1"/>
    <col min="6" max="6" width="20.75" customWidth="1"/>
    <col min="7" max="7" width="14.125" customWidth="1"/>
    <col min="8" max="9" width="15.75" customWidth="1"/>
    <col min="10" max="10" width="9.25" customWidth="1"/>
    <col min="11" max="11" width="12.75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</row>
    <row r="2" ht="22.5" spans="1:11">
      <c r="A2" s="129" t="s">
        <v>55</v>
      </c>
      <c r="B2" s="13">
        <v>5100</v>
      </c>
      <c r="C2" s="120" t="s">
        <v>9</v>
      </c>
      <c r="D2" s="120" t="s">
        <v>160</v>
      </c>
      <c r="E2" s="125" t="s">
        <v>27</v>
      </c>
      <c r="F2" s="122">
        <v>0.1</v>
      </c>
      <c r="G2" s="130">
        <f t="shared" ref="G2:G6" si="0">+B2/F2</f>
        <v>51000</v>
      </c>
      <c r="H2" s="127" t="s">
        <v>224</v>
      </c>
      <c r="I2" s="35">
        <v>43417</v>
      </c>
      <c r="K2" s="37"/>
    </row>
    <row r="3" ht="22.5" spans="1:11">
      <c r="A3" s="131"/>
      <c r="B3" s="13">
        <v>1860</v>
      </c>
      <c r="C3" s="120" t="s">
        <v>9</v>
      </c>
      <c r="D3" s="120" t="s">
        <v>242</v>
      </c>
      <c r="E3" s="125" t="s">
        <v>27</v>
      </c>
      <c r="F3" s="122">
        <v>0.155</v>
      </c>
      <c r="G3" s="130">
        <f t="shared" si="0"/>
        <v>12000</v>
      </c>
      <c r="H3" s="127" t="s">
        <v>224</v>
      </c>
      <c r="I3" s="35">
        <v>43417</v>
      </c>
      <c r="K3" s="37"/>
    </row>
    <row r="4" ht="22.5" spans="1:11">
      <c r="A4" s="131"/>
      <c r="B4" s="13">
        <v>6720</v>
      </c>
      <c r="C4" s="120" t="s">
        <v>9</v>
      </c>
      <c r="D4" s="120" t="s">
        <v>162</v>
      </c>
      <c r="E4" s="125" t="s">
        <v>27</v>
      </c>
      <c r="F4" s="122">
        <v>0.16</v>
      </c>
      <c r="G4" s="130">
        <f t="shared" si="0"/>
        <v>42000</v>
      </c>
      <c r="H4" s="127" t="s">
        <v>224</v>
      </c>
      <c r="I4" s="35">
        <v>43417</v>
      </c>
      <c r="K4" s="37"/>
    </row>
    <row r="5" ht="22.5" spans="1:11">
      <c r="A5" s="131"/>
      <c r="B5" s="13">
        <v>7425</v>
      </c>
      <c r="C5" s="120" t="s">
        <v>9</v>
      </c>
      <c r="D5" s="120" t="s">
        <v>148</v>
      </c>
      <c r="E5" s="125" t="s">
        <v>27</v>
      </c>
      <c r="F5" s="122">
        <v>0.165</v>
      </c>
      <c r="G5" s="130">
        <f t="shared" si="0"/>
        <v>45000</v>
      </c>
      <c r="H5" s="127" t="s">
        <v>224</v>
      </c>
      <c r="I5" s="35">
        <v>43417</v>
      </c>
      <c r="K5" s="37"/>
    </row>
    <row r="6" ht="22.5" spans="1:11">
      <c r="A6" s="132"/>
      <c r="B6" s="13">
        <v>2640</v>
      </c>
      <c r="C6" s="120" t="s">
        <v>9</v>
      </c>
      <c r="D6" s="120" t="s">
        <v>182</v>
      </c>
      <c r="E6" s="125" t="s">
        <v>27</v>
      </c>
      <c r="F6" s="122">
        <v>0.22</v>
      </c>
      <c r="G6" s="130">
        <f t="shared" si="0"/>
        <v>12000</v>
      </c>
      <c r="H6" s="127" t="s">
        <v>224</v>
      </c>
      <c r="I6" s="35">
        <v>43417</v>
      </c>
      <c r="K6" s="37"/>
    </row>
    <row r="7" ht="22.5" spans="1:11">
      <c r="A7" s="133" t="s">
        <v>176</v>
      </c>
      <c r="B7" s="13">
        <v>1320</v>
      </c>
      <c r="C7" s="125" t="s">
        <v>9</v>
      </c>
      <c r="D7" s="13" t="s">
        <v>160</v>
      </c>
      <c r="E7" s="125" t="s">
        <v>27</v>
      </c>
      <c r="F7" s="122">
        <v>0.11</v>
      </c>
      <c r="G7" s="122">
        <v>12000</v>
      </c>
      <c r="H7" s="120" t="s">
        <v>235</v>
      </c>
      <c r="I7" s="35">
        <v>43417</v>
      </c>
      <c r="K7" s="37"/>
    </row>
    <row r="8" ht="22.5" spans="1:11">
      <c r="A8" s="134"/>
      <c r="B8" s="13">
        <v>3360</v>
      </c>
      <c r="C8" s="125" t="s">
        <v>9</v>
      </c>
      <c r="D8" s="13" t="s">
        <v>162</v>
      </c>
      <c r="E8" s="125" t="s">
        <v>27</v>
      </c>
      <c r="F8" s="122">
        <v>0.16</v>
      </c>
      <c r="G8" s="122">
        <v>21000</v>
      </c>
      <c r="H8" s="120" t="s">
        <v>235</v>
      </c>
      <c r="I8" s="35">
        <v>43417</v>
      </c>
      <c r="K8" s="37"/>
    </row>
    <row r="9" ht="22.5" spans="1:11">
      <c r="A9" s="125" t="s">
        <v>70</v>
      </c>
      <c r="B9" s="13">
        <v>2160</v>
      </c>
      <c r="C9" s="125" t="s">
        <v>9</v>
      </c>
      <c r="D9" s="13" t="s">
        <v>73</v>
      </c>
      <c r="E9" s="125" t="s">
        <v>27</v>
      </c>
      <c r="F9" s="122">
        <v>0.18</v>
      </c>
      <c r="G9" s="122">
        <v>12000</v>
      </c>
      <c r="H9" s="120" t="s">
        <v>235</v>
      </c>
      <c r="I9" s="35">
        <v>43417</v>
      </c>
      <c r="K9" s="37"/>
    </row>
    <row r="10" ht="22.5" spans="1:11">
      <c r="A10" s="125" t="s">
        <v>72</v>
      </c>
      <c r="B10" s="13">
        <v>3000</v>
      </c>
      <c r="C10" s="125" t="s">
        <v>9</v>
      </c>
      <c r="D10" s="13" t="s">
        <v>53</v>
      </c>
      <c r="E10" s="125" t="s">
        <v>89</v>
      </c>
      <c r="F10" s="122">
        <v>0.25</v>
      </c>
      <c r="G10" s="122">
        <v>12000</v>
      </c>
      <c r="H10" s="120" t="s">
        <v>235</v>
      </c>
      <c r="I10" s="35">
        <v>43417</v>
      </c>
      <c r="K10" s="37"/>
    </row>
    <row r="11" ht="22.5" spans="1:11">
      <c r="A11" s="125" t="s">
        <v>45</v>
      </c>
      <c r="B11" s="13">
        <v>8840</v>
      </c>
      <c r="C11" s="125" t="s">
        <v>9</v>
      </c>
      <c r="D11" s="13" t="s">
        <v>73</v>
      </c>
      <c r="E11" s="125" t="s">
        <v>27</v>
      </c>
      <c r="F11" s="122">
        <v>0.17</v>
      </c>
      <c r="G11" s="122">
        <v>52000</v>
      </c>
      <c r="H11" s="120" t="s">
        <v>235</v>
      </c>
      <c r="I11" s="35">
        <v>43417</v>
      </c>
      <c r="K11" s="37"/>
    </row>
    <row r="12" ht="22.5" spans="1:11">
      <c r="A12" s="133" t="s">
        <v>95</v>
      </c>
      <c r="B12" s="13">
        <f>11400+5700</f>
        <v>17100</v>
      </c>
      <c r="C12" s="125" t="s">
        <v>9</v>
      </c>
      <c r="D12" s="13" t="s">
        <v>217</v>
      </c>
      <c r="E12" s="125" t="s">
        <v>27</v>
      </c>
      <c r="F12" s="122">
        <v>0.475</v>
      </c>
      <c r="G12" s="122">
        <v>36000</v>
      </c>
      <c r="H12" s="120" t="s">
        <v>235</v>
      </c>
      <c r="I12" s="35">
        <v>43417</v>
      </c>
      <c r="K12" s="37"/>
    </row>
    <row r="13" ht="22.5" spans="1:11">
      <c r="A13" s="134"/>
      <c r="B13" s="13">
        <v>3990</v>
      </c>
      <c r="C13" s="125" t="s">
        <v>9</v>
      </c>
      <c r="D13" s="13" t="s">
        <v>182</v>
      </c>
      <c r="E13" s="125" t="s">
        <v>27</v>
      </c>
      <c r="F13" s="122">
        <v>0.19</v>
      </c>
      <c r="G13" s="122">
        <v>21000</v>
      </c>
      <c r="H13" s="120" t="s">
        <v>235</v>
      </c>
      <c r="I13" s="35">
        <v>43417</v>
      </c>
      <c r="K13" s="37"/>
    </row>
    <row r="14" ht="22.5" spans="1:11">
      <c r="A14" s="133" t="s">
        <v>42</v>
      </c>
      <c r="B14" s="13">
        <f>1240+6200</f>
        <v>7440</v>
      </c>
      <c r="C14" s="125" t="s">
        <v>9</v>
      </c>
      <c r="D14" s="13" t="s">
        <v>91</v>
      </c>
      <c r="E14" s="125" t="s">
        <v>27</v>
      </c>
      <c r="F14" s="122">
        <v>0.31</v>
      </c>
      <c r="G14" s="122">
        <v>24000</v>
      </c>
      <c r="H14" s="120" t="s">
        <v>235</v>
      </c>
      <c r="I14" s="35">
        <v>43417</v>
      </c>
      <c r="K14" s="37"/>
    </row>
    <row r="15" ht="22.5" spans="1:11">
      <c r="A15" s="134"/>
      <c r="B15" s="13">
        <v>960</v>
      </c>
      <c r="C15" s="125" t="s">
        <v>9</v>
      </c>
      <c r="D15" s="13" t="s">
        <v>148</v>
      </c>
      <c r="E15" s="125" t="s">
        <v>27</v>
      </c>
      <c r="F15" s="122">
        <v>0.16</v>
      </c>
      <c r="G15" s="122">
        <v>6000</v>
      </c>
      <c r="H15" s="120" t="s">
        <v>235</v>
      </c>
      <c r="I15" s="35">
        <v>43417</v>
      </c>
      <c r="K15" s="37"/>
    </row>
    <row r="16" ht="22.5" spans="1:11">
      <c r="A16" s="133" t="s">
        <v>14</v>
      </c>
      <c r="B16" s="13">
        <f>9990+14430+1665+44400+36075</f>
        <v>106560</v>
      </c>
      <c r="C16" s="125" t="s">
        <v>9</v>
      </c>
      <c r="D16" s="13" t="s">
        <v>53</v>
      </c>
      <c r="E16" s="125" t="s">
        <v>27</v>
      </c>
      <c r="F16" s="122">
        <v>0.185</v>
      </c>
      <c r="G16" s="122">
        <f>54000+78000+9000+240000+195000</f>
        <v>576000</v>
      </c>
      <c r="H16" s="120" t="s">
        <v>235</v>
      </c>
      <c r="I16" s="35">
        <v>43413</v>
      </c>
      <c r="K16" s="37"/>
    </row>
    <row r="17" ht="22.5" spans="1:11">
      <c r="A17" s="134"/>
      <c r="B17" s="13">
        <v>14620</v>
      </c>
      <c r="C17" s="125" t="s">
        <v>9</v>
      </c>
      <c r="D17" s="13" t="s">
        <v>79</v>
      </c>
      <c r="E17" s="125" t="s">
        <v>27</v>
      </c>
      <c r="F17" s="122">
        <v>0.215</v>
      </c>
      <c r="G17" s="122">
        <v>68000</v>
      </c>
      <c r="H17" s="120" t="s">
        <v>235</v>
      </c>
      <c r="I17" s="35">
        <v>43413</v>
      </c>
      <c r="K17" s="37"/>
    </row>
    <row r="18" ht="22.5" spans="1:11">
      <c r="A18" s="133" t="s">
        <v>75</v>
      </c>
      <c r="B18" s="13">
        <f>3600+450</f>
        <v>4050</v>
      </c>
      <c r="C18" s="125" t="s">
        <v>9</v>
      </c>
      <c r="D18" s="13" t="s">
        <v>162</v>
      </c>
      <c r="E18" s="125" t="s">
        <v>27</v>
      </c>
      <c r="F18" s="122">
        <v>0.15</v>
      </c>
      <c r="G18" s="122">
        <v>27000</v>
      </c>
      <c r="H18" s="120" t="s">
        <v>235</v>
      </c>
      <c r="I18" s="35">
        <v>43417</v>
      </c>
      <c r="K18" s="37"/>
    </row>
    <row r="19" ht="22.5" spans="1:11">
      <c r="A19" s="135"/>
      <c r="B19" s="13">
        <f>2700+6300</f>
        <v>9000</v>
      </c>
      <c r="C19" s="125" t="s">
        <v>9</v>
      </c>
      <c r="D19" s="13" t="s">
        <v>243</v>
      </c>
      <c r="E19" s="125" t="s">
        <v>27</v>
      </c>
      <c r="F19" s="122">
        <v>0.3</v>
      </c>
      <c r="G19" s="122">
        <v>30000</v>
      </c>
      <c r="H19" s="120" t="s">
        <v>235</v>
      </c>
      <c r="I19" s="35">
        <v>43417</v>
      </c>
      <c r="K19" s="37"/>
    </row>
    <row r="20" ht="22.5" spans="1:11">
      <c r="A20" s="134"/>
      <c r="B20" s="13">
        <v>1680</v>
      </c>
      <c r="C20" s="125" t="s">
        <v>9</v>
      </c>
      <c r="D20" s="13" t="s">
        <v>79</v>
      </c>
      <c r="E20" s="125" t="s">
        <v>27</v>
      </c>
      <c r="F20" s="122">
        <v>0.21</v>
      </c>
      <c r="G20" s="122">
        <v>8000</v>
      </c>
      <c r="H20" s="120" t="s">
        <v>235</v>
      </c>
      <c r="I20" s="35">
        <v>43417</v>
      </c>
      <c r="K20" s="37"/>
    </row>
    <row r="21" ht="22.5" spans="1:11">
      <c r="A21" s="133" t="s">
        <v>8</v>
      </c>
      <c r="B21" s="58">
        <v>9570</v>
      </c>
      <c r="C21" s="136" t="s">
        <v>9</v>
      </c>
      <c r="D21" s="58" t="s">
        <v>160</v>
      </c>
      <c r="E21" s="136" t="s">
        <v>27</v>
      </c>
      <c r="F21" s="137">
        <v>0.1</v>
      </c>
      <c r="G21" s="137">
        <f>+B21/F21</f>
        <v>95700</v>
      </c>
      <c r="H21" s="136" t="s">
        <v>235</v>
      </c>
      <c r="I21" s="84">
        <v>43417</v>
      </c>
      <c r="J21" t="s">
        <v>244</v>
      </c>
      <c r="K21" s="37"/>
    </row>
    <row r="22" ht="22.5" spans="1:11">
      <c r="A22" s="135"/>
      <c r="B22" s="13">
        <v>12900</v>
      </c>
      <c r="C22" s="125" t="s">
        <v>9</v>
      </c>
      <c r="D22" s="13" t="s">
        <v>160</v>
      </c>
      <c r="E22" s="125" t="s">
        <v>27</v>
      </c>
      <c r="F22" s="122">
        <v>0.1</v>
      </c>
      <c r="G22" s="122">
        <v>129000</v>
      </c>
      <c r="H22" s="120" t="s">
        <v>235</v>
      </c>
      <c r="I22" s="35">
        <v>43417</v>
      </c>
      <c r="J22" s="1"/>
      <c r="K22" s="37"/>
    </row>
    <row r="23" ht="22.5" spans="1:11">
      <c r="A23" s="135"/>
      <c r="B23" s="13">
        <v>8400</v>
      </c>
      <c r="C23" s="125" t="s">
        <v>9</v>
      </c>
      <c r="D23" s="13" t="s">
        <v>161</v>
      </c>
      <c r="E23" s="125" t="s">
        <v>27</v>
      </c>
      <c r="F23" s="122">
        <v>0.14</v>
      </c>
      <c r="G23" s="122">
        <v>60000</v>
      </c>
      <c r="H23" s="120" t="s">
        <v>235</v>
      </c>
      <c r="I23" s="35">
        <v>43417</v>
      </c>
      <c r="J23" s="141"/>
      <c r="K23" s="142"/>
    </row>
    <row r="24" ht="22.5" spans="1:11">
      <c r="A24" s="134"/>
      <c r="B24" s="13">
        <v>40950</v>
      </c>
      <c r="C24" s="125" t="s">
        <v>9</v>
      </c>
      <c r="D24" s="13" t="s">
        <v>162</v>
      </c>
      <c r="E24" s="125" t="s">
        <v>27</v>
      </c>
      <c r="F24" s="122">
        <v>0.15</v>
      </c>
      <c r="G24" s="122">
        <v>273000</v>
      </c>
      <c r="H24" s="120" t="s">
        <v>235</v>
      </c>
      <c r="I24" s="35">
        <v>43417</v>
      </c>
      <c r="J24" s="1"/>
      <c r="K24" s="37"/>
    </row>
    <row r="25" ht="22.5" spans="1:11">
      <c r="A25" s="134" t="s">
        <v>245</v>
      </c>
      <c r="B25" s="13">
        <f>3360+1680</f>
        <v>5040</v>
      </c>
      <c r="C25" s="125" t="s">
        <v>9</v>
      </c>
      <c r="D25" s="13" t="s">
        <v>146</v>
      </c>
      <c r="E25" s="125" t="s">
        <v>27</v>
      </c>
      <c r="F25" s="122">
        <v>0.21</v>
      </c>
      <c r="G25" s="122">
        <f>16000+8000</f>
        <v>24000</v>
      </c>
      <c r="H25" s="120" t="s">
        <v>235</v>
      </c>
      <c r="I25" s="35">
        <v>43417</v>
      </c>
      <c r="J25" s="1"/>
      <c r="K25" s="37"/>
    </row>
    <row r="26" ht="22.5" spans="1:9">
      <c r="A26" s="138" t="s">
        <v>123</v>
      </c>
      <c r="B26" s="13">
        <v>9900</v>
      </c>
      <c r="C26" s="125" t="s">
        <v>9</v>
      </c>
      <c r="D26" s="13" t="s">
        <v>148</v>
      </c>
      <c r="E26" s="125" t="s">
        <v>89</v>
      </c>
      <c r="F26" s="122">
        <v>0.165</v>
      </c>
      <c r="G26" s="122">
        <f>+B26/F26</f>
        <v>60000</v>
      </c>
      <c r="H26" s="120" t="s">
        <v>230</v>
      </c>
      <c r="I26" s="35">
        <v>43413</v>
      </c>
    </row>
    <row r="27" ht="22.5" spans="1:10">
      <c r="A27" s="139"/>
      <c r="B27" s="13">
        <v>18000</v>
      </c>
      <c r="C27" s="125" t="s">
        <v>9</v>
      </c>
      <c r="D27" s="13" t="s">
        <v>173</v>
      </c>
      <c r="E27" s="125" t="s">
        <v>89</v>
      </c>
      <c r="F27" s="122">
        <v>0.1</v>
      </c>
      <c r="G27" s="122">
        <v>180000</v>
      </c>
      <c r="H27" s="120" t="s">
        <v>230</v>
      </c>
      <c r="I27" s="35">
        <v>43413</v>
      </c>
      <c r="J27" s="141"/>
    </row>
    <row r="28" ht="22.5" spans="1:9">
      <c r="A28" s="139"/>
      <c r="B28" s="13">
        <v>4500</v>
      </c>
      <c r="C28" s="125" t="s">
        <v>9</v>
      </c>
      <c r="D28" s="13" t="s">
        <v>161</v>
      </c>
      <c r="E28" s="125" t="s">
        <v>89</v>
      </c>
      <c r="F28" s="122">
        <v>0.15</v>
      </c>
      <c r="G28" s="122">
        <f>+B28/F28</f>
        <v>30000</v>
      </c>
      <c r="H28" s="120" t="s">
        <v>230</v>
      </c>
      <c r="I28" s="35">
        <v>43413</v>
      </c>
    </row>
    <row r="29" ht="22.5" spans="1:9">
      <c r="A29" s="140"/>
      <c r="B29" s="13">
        <v>4800</v>
      </c>
      <c r="C29" s="125" t="s">
        <v>9</v>
      </c>
      <c r="D29" s="13" t="s">
        <v>162</v>
      </c>
      <c r="E29" s="125" t="s">
        <v>89</v>
      </c>
      <c r="F29" s="122">
        <v>0.16</v>
      </c>
      <c r="G29" s="122">
        <f>+B29/F29</f>
        <v>30000</v>
      </c>
      <c r="H29" s="120" t="s">
        <v>230</v>
      </c>
      <c r="I29" s="35">
        <v>43413</v>
      </c>
    </row>
    <row r="30" ht="22.5" spans="1:11">
      <c r="A30" s="125" t="s">
        <v>97</v>
      </c>
      <c r="B30" s="13">
        <f>+F30*G30</f>
        <v>121348</v>
      </c>
      <c r="C30" s="125" t="s">
        <v>112</v>
      </c>
      <c r="D30" s="13" t="s">
        <v>130</v>
      </c>
      <c r="E30" s="125" t="s">
        <v>100</v>
      </c>
      <c r="F30" s="122">
        <v>2638</v>
      </c>
      <c r="G30" s="127">
        <v>46</v>
      </c>
      <c r="H30" s="120"/>
      <c r="I30" s="35">
        <v>43417</v>
      </c>
      <c r="K30" s="37"/>
    </row>
    <row r="31" ht="15" customHeight="1" spans="8:9">
      <c r="H31" s="40" t="s">
        <v>31</v>
      </c>
      <c r="I31" s="41">
        <v>111900</v>
      </c>
    </row>
    <row r="32" ht="15" customHeight="1" spans="8:9">
      <c r="H32" s="40" t="s">
        <v>32</v>
      </c>
      <c r="I32" s="41">
        <v>135939</v>
      </c>
    </row>
    <row r="33" ht="15" customHeight="1" spans="8:9">
      <c r="H33" s="40" t="s">
        <v>140</v>
      </c>
      <c r="I33" s="41">
        <v>186045</v>
      </c>
    </row>
    <row r="34" ht="15" customHeight="1" spans="8:9">
      <c r="H34" s="40" t="s">
        <v>142</v>
      </c>
      <c r="I34" s="41">
        <v>133782.6</v>
      </c>
    </row>
    <row r="35" ht="15" customHeight="1" spans="8:9">
      <c r="H35" s="42">
        <v>42736</v>
      </c>
      <c r="I35" s="41">
        <v>117630</v>
      </c>
    </row>
    <row r="36" ht="15" customHeight="1" spans="8:9">
      <c r="H36" s="40" t="s">
        <v>60</v>
      </c>
      <c r="I36" s="41">
        <v>56680</v>
      </c>
    </row>
    <row r="37" ht="15" customHeight="1" spans="8:9">
      <c r="H37" s="41" t="s">
        <v>58</v>
      </c>
      <c r="I37" s="43">
        <v>172605</v>
      </c>
    </row>
    <row r="38" ht="15" customHeight="1" spans="8:9">
      <c r="H38" s="41" t="s">
        <v>22</v>
      </c>
      <c r="I38" s="41">
        <v>224673</v>
      </c>
    </row>
    <row r="39" ht="15" customHeight="1" spans="8:9">
      <c r="H39" s="41" t="s">
        <v>24</v>
      </c>
      <c r="I39" s="41">
        <v>313761</v>
      </c>
    </row>
    <row r="40" ht="15" customHeight="1" spans="8:9">
      <c r="H40" s="41" t="s">
        <v>25</v>
      </c>
      <c r="I40" s="41">
        <v>561401.3</v>
      </c>
    </row>
    <row r="41" ht="15" customHeight="1" spans="8:9">
      <c r="H41" s="40" t="s">
        <v>28</v>
      </c>
      <c r="I41" s="41">
        <v>489075.24</v>
      </c>
    </row>
    <row r="42" ht="15" customHeight="1" spans="8:9">
      <c r="H42" s="40" t="s">
        <v>143</v>
      </c>
      <c r="I42" s="41">
        <v>1072775.15</v>
      </c>
    </row>
    <row r="43" ht="15" customHeight="1" spans="8:9">
      <c r="H43" s="41" t="s">
        <v>32</v>
      </c>
      <c r="I43" s="41">
        <v>1546532.63</v>
      </c>
    </row>
    <row r="44" ht="15" customHeight="1" spans="8:9">
      <c r="H44" s="41" t="s">
        <v>37</v>
      </c>
      <c r="I44" s="41">
        <v>1206965.46</v>
      </c>
    </row>
    <row r="45" ht="15" customHeight="1" spans="8:9">
      <c r="H45" s="41" t="s">
        <v>40</v>
      </c>
      <c r="I45" s="41">
        <v>1164153.55</v>
      </c>
    </row>
    <row r="46" ht="15" customHeight="1" spans="8:9">
      <c r="H46" s="41" t="s">
        <v>44</v>
      </c>
      <c r="I46" s="41">
        <v>1283006.2</v>
      </c>
    </row>
    <row r="47" ht="15" customHeight="1" spans="8:9">
      <c r="H47" s="42">
        <v>43101</v>
      </c>
      <c r="I47" s="41">
        <v>1552959</v>
      </c>
    </row>
    <row r="48" ht="15" customHeight="1" spans="8:9">
      <c r="H48" s="42">
        <v>43132</v>
      </c>
      <c r="I48" s="41">
        <v>573933.88</v>
      </c>
    </row>
    <row r="49" ht="15" customHeight="1" spans="8:9">
      <c r="H49" s="42">
        <v>43160</v>
      </c>
      <c r="I49" s="41">
        <v>725630.05</v>
      </c>
    </row>
    <row r="50" ht="15" customHeight="1" spans="8:9">
      <c r="H50" s="42">
        <v>43191</v>
      </c>
      <c r="I50" s="41">
        <v>998002.8</v>
      </c>
    </row>
    <row r="51" ht="15" customHeight="1" spans="8:9">
      <c r="H51" s="42">
        <v>43221</v>
      </c>
      <c r="I51" s="41">
        <v>1635478</v>
      </c>
    </row>
    <row r="52" ht="15" customHeight="1" spans="8:9">
      <c r="H52" s="42">
        <v>43252</v>
      </c>
      <c r="I52" s="43">
        <v>845035</v>
      </c>
    </row>
    <row r="53" ht="15" customHeight="1" spans="8:9">
      <c r="H53" s="42">
        <v>43282</v>
      </c>
      <c r="I53" s="43">
        <v>740330</v>
      </c>
    </row>
    <row r="54" ht="15" customHeight="1" spans="8:9">
      <c r="H54" s="42">
        <v>43313</v>
      </c>
      <c r="I54" s="43">
        <v>1048786.43</v>
      </c>
    </row>
    <row r="55" ht="15" customHeight="1" spans="8:9">
      <c r="H55" s="42">
        <v>43344</v>
      </c>
      <c r="I55" s="43">
        <v>900195</v>
      </c>
    </row>
    <row r="56" ht="15" customHeight="1" spans="8:9">
      <c r="H56" s="42">
        <v>43374</v>
      </c>
      <c r="I56" s="43">
        <v>443233</v>
      </c>
    </row>
  </sheetData>
  <mergeCells count="8">
    <mergeCell ref="A2:A6"/>
    <mergeCell ref="A7:A8"/>
    <mergeCell ref="A12:A13"/>
    <mergeCell ref="A14:A15"/>
    <mergeCell ref="A16:A17"/>
    <mergeCell ref="A18:A20"/>
    <mergeCell ref="A21:A24"/>
    <mergeCell ref="A26:A29"/>
  </mergeCells>
  <pageMargins left="0.7" right="0.7" top="0.75" bottom="0.75" header="0.3" footer="0.3"/>
  <pageSetup paperSize="9" orientation="portrait" verticalDpi="18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zoomScale="90" zoomScaleNormal="90" topLeftCell="A16" workbookViewId="0">
      <selection activeCell="A34" sqref="$A34:$XFD34"/>
    </sheetView>
  </sheetViews>
  <sheetFormatPr defaultColWidth="9" defaultRowHeight="14.25"/>
  <cols>
    <col min="1" max="1" width="14.125" customWidth="1"/>
    <col min="2" max="2" width="26.875" customWidth="1"/>
    <col min="3" max="4" width="14.125" customWidth="1"/>
    <col min="5" max="5" width="7.75" customWidth="1"/>
    <col min="6" max="6" width="20.75" customWidth="1"/>
    <col min="7" max="7" width="19.125" customWidth="1"/>
    <col min="8" max="8" width="18" customWidth="1"/>
    <col min="9" max="9" width="14.75" customWidth="1"/>
    <col min="10" max="10" width="12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</row>
    <row r="2" ht="22.5" spans="1:9">
      <c r="A2" s="46" t="s">
        <v>165</v>
      </c>
      <c r="B2" s="45">
        <f>+F2*G2</f>
        <v>15390</v>
      </c>
      <c r="C2" s="44" t="s">
        <v>9</v>
      </c>
      <c r="D2" s="44" t="s">
        <v>172</v>
      </c>
      <c r="E2" s="44" t="s">
        <v>89</v>
      </c>
      <c r="F2" s="44">
        <v>0.19</v>
      </c>
      <c r="G2" s="5">
        <v>81000</v>
      </c>
      <c r="H2" s="44" t="s">
        <v>240</v>
      </c>
      <c r="I2" s="35">
        <v>43439</v>
      </c>
    </row>
    <row r="3" ht="22.5" spans="1:11">
      <c r="A3" s="48"/>
      <c r="B3" s="45">
        <f>12250+510</f>
        <v>12760</v>
      </c>
      <c r="C3" s="44" t="s">
        <v>9</v>
      </c>
      <c r="D3" s="44" t="s">
        <v>92</v>
      </c>
      <c r="E3" s="44" t="s">
        <v>89</v>
      </c>
      <c r="F3" s="4">
        <v>0.22</v>
      </c>
      <c r="G3" s="5">
        <f>+B3/F3</f>
        <v>58000</v>
      </c>
      <c r="H3" s="44" t="s">
        <v>240</v>
      </c>
      <c r="I3" s="35">
        <v>43439</v>
      </c>
      <c r="J3" s="128"/>
      <c r="K3" s="90"/>
    </row>
    <row r="4" ht="22.5" spans="1:9">
      <c r="A4" s="46" t="s">
        <v>176</v>
      </c>
      <c r="B4" s="45">
        <v>3300</v>
      </c>
      <c r="C4" s="44" t="s">
        <v>9</v>
      </c>
      <c r="D4" s="44" t="s">
        <v>160</v>
      </c>
      <c r="E4" s="44" t="s">
        <v>89</v>
      </c>
      <c r="F4" s="4">
        <v>0.11</v>
      </c>
      <c r="G4" s="5">
        <f>+B4/F4</f>
        <v>30000</v>
      </c>
      <c r="H4" s="44" t="s">
        <v>240</v>
      </c>
      <c r="I4" s="35">
        <v>43439</v>
      </c>
    </row>
    <row r="5" ht="22.5" spans="1:9">
      <c r="A5" s="48"/>
      <c r="B5" s="45">
        <v>7680</v>
      </c>
      <c r="C5" s="44" t="s">
        <v>9</v>
      </c>
      <c r="D5" s="44" t="s">
        <v>162</v>
      </c>
      <c r="E5" s="44" t="s">
        <v>89</v>
      </c>
      <c r="F5" s="4">
        <v>0.16</v>
      </c>
      <c r="G5" s="5">
        <f>+B5/F5</f>
        <v>48000</v>
      </c>
      <c r="H5" s="44" t="s">
        <v>240</v>
      </c>
      <c r="I5" s="35">
        <v>43439</v>
      </c>
    </row>
    <row r="6" ht="22.5" spans="1:9">
      <c r="A6" s="44" t="s">
        <v>70</v>
      </c>
      <c r="B6" s="45">
        <v>18000</v>
      </c>
      <c r="C6" s="44" t="s">
        <v>9</v>
      </c>
      <c r="D6" s="44" t="s">
        <v>73</v>
      </c>
      <c r="E6" s="44" t="s">
        <v>89</v>
      </c>
      <c r="F6" s="122">
        <v>0.18</v>
      </c>
      <c r="G6" s="5">
        <v>100000</v>
      </c>
      <c r="H6" s="44" t="s">
        <v>240</v>
      </c>
      <c r="I6" s="35">
        <v>43439</v>
      </c>
    </row>
    <row r="7" ht="22.5" spans="1:9">
      <c r="A7" s="44" t="s">
        <v>174</v>
      </c>
      <c r="B7" s="45">
        <v>18720</v>
      </c>
      <c r="C7" s="44" t="s">
        <v>9</v>
      </c>
      <c r="D7" s="44" t="s">
        <v>73</v>
      </c>
      <c r="E7" s="44" t="s">
        <v>89</v>
      </c>
      <c r="F7" s="4">
        <v>0.18</v>
      </c>
      <c r="G7" s="5">
        <v>104000</v>
      </c>
      <c r="H7" s="44" t="s">
        <v>240</v>
      </c>
      <c r="I7" s="35">
        <v>43439</v>
      </c>
    </row>
    <row r="8" ht="22.5" spans="1:9">
      <c r="A8" s="44" t="s">
        <v>34</v>
      </c>
      <c r="B8" s="45">
        <v>3600</v>
      </c>
      <c r="C8" s="44" t="s">
        <v>9</v>
      </c>
      <c r="D8" s="44" t="s">
        <v>73</v>
      </c>
      <c r="E8" s="44" t="s">
        <v>89</v>
      </c>
      <c r="F8" s="4">
        <v>0.18</v>
      </c>
      <c r="G8" s="5">
        <v>20000</v>
      </c>
      <c r="H8" s="44" t="s">
        <v>240</v>
      </c>
      <c r="I8" s="35">
        <v>43439</v>
      </c>
    </row>
    <row r="9" ht="22.5" spans="1:9">
      <c r="A9" s="44" t="s">
        <v>42</v>
      </c>
      <c r="B9" s="45">
        <v>4160</v>
      </c>
      <c r="C9" s="44" t="s">
        <v>9</v>
      </c>
      <c r="D9" s="44" t="s">
        <v>217</v>
      </c>
      <c r="E9" s="44" t="s">
        <v>89</v>
      </c>
      <c r="F9" s="4">
        <v>0.52</v>
      </c>
      <c r="G9" s="5">
        <v>8000</v>
      </c>
      <c r="H9" s="44" t="s">
        <v>240</v>
      </c>
      <c r="I9" s="35">
        <v>43439</v>
      </c>
    </row>
    <row r="10" ht="22.5" spans="1:9">
      <c r="A10" s="44" t="s">
        <v>207</v>
      </c>
      <c r="B10" s="45">
        <v>840</v>
      </c>
      <c r="C10" s="44" t="s">
        <v>9</v>
      </c>
      <c r="D10" s="44" t="s">
        <v>146</v>
      </c>
      <c r="E10" s="44" t="s">
        <v>89</v>
      </c>
      <c r="F10" s="4">
        <v>0.21</v>
      </c>
      <c r="G10" s="5">
        <v>4000</v>
      </c>
      <c r="H10" s="44" t="s">
        <v>240</v>
      </c>
      <c r="I10" s="35">
        <v>43439</v>
      </c>
    </row>
    <row r="11" ht="22.5" spans="1:9">
      <c r="A11" s="44" t="s">
        <v>80</v>
      </c>
      <c r="B11" s="45">
        <v>88500</v>
      </c>
      <c r="C11" s="44" t="s">
        <v>9</v>
      </c>
      <c r="D11" s="44" t="s">
        <v>211</v>
      </c>
      <c r="E11" s="44" t="s">
        <v>89</v>
      </c>
      <c r="F11" s="4">
        <v>0.25</v>
      </c>
      <c r="G11" s="5">
        <f>+B11/F11</f>
        <v>354000</v>
      </c>
      <c r="H11" s="44" t="s">
        <v>240</v>
      </c>
      <c r="I11" s="35">
        <v>43439</v>
      </c>
    </row>
    <row r="12" ht="22.5" spans="1:9">
      <c r="A12" s="44" t="s">
        <v>45</v>
      </c>
      <c r="B12" s="45">
        <v>8840</v>
      </c>
      <c r="C12" s="44" t="s">
        <v>9</v>
      </c>
      <c r="D12" s="44" t="s">
        <v>73</v>
      </c>
      <c r="E12" s="44" t="s">
        <v>89</v>
      </c>
      <c r="F12" s="4">
        <v>0.17</v>
      </c>
      <c r="G12" s="5">
        <v>52000</v>
      </c>
      <c r="H12" s="44" t="s">
        <v>240</v>
      </c>
      <c r="I12" s="35">
        <v>43439</v>
      </c>
    </row>
    <row r="13" ht="22.5" spans="1:9">
      <c r="A13" s="46" t="s">
        <v>14</v>
      </c>
      <c r="B13" s="45">
        <v>445110</v>
      </c>
      <c r="C13" s="44" t="s">
        <v>9</v>
      </c>
      <c r="D13" s="44" t="s">
        <v>53</v>
      </c>
      <c r="E13" s="44" t="s">
        <v>89</v>
      </c>
      <c r="F13" s="4">
        <v>0.185</v>
      </c>
      <c r="G13" s="5">
        <f>+B13/F13</f>
        <v>2406000</v>
      </c>
      <c r="H13" s="44" t="s">
        <v>240</v>
      </c>
      <c r="I13" s="35">
        <v>43439</v>
      </c>
    </row>
    <row r="14" ht="22.5" spans="1:9">
      <c r="A14" s="48"/>
      <c r="B14" s="45">
        <v>89880</v>
      </c>
      <c r="C14" s="44" t="s">
        <v>9</v>
      </c>
      <c r="D14" s="44" t="s">
        <v>79</v>
      </c>
      <c r="E14" s="44" t="s">
        <v>89</v>
      </c>
      <c r="F14" s="4">
        <v>0.21</v>
      </c>
      <c r="G14" s="5">
        <f>+B14/F14</f>
        <v>428000</v>
      </c>
      <c r="H14" s="44" t="s">
        <v>240</v>
      </c>
      <c r="I14" s="35">
        <v>43439</v>
      </c>
    </row>
    <row r="15" ht="22.5" spans="1:11">
      <c r="A15" s="24" t="s">
        <v>246</v>
      </c>
      <c r="B15" s="45">
        <v>4800</v>
      </c>
      <c r="C15" s="44" t="s">
        <v>9</v>
      </c>
      <c r="D15" s="44" t="s">
        <v>162</v>
      </c>
      <c r="E15" s="44" t="s">
        <v>89</v>
      </c>
      <c r="F15" s="4">
        <v>0.16</v>
      </c>
      <c r="G15" s="5">
        <v>30000</v>
      </c>
      <c r="H15" s="120" t="s">
        <v>235</v>
      </c>
      <c r="I15" s="35">
        <v>43439</v>
      </c>
      <c r="K15" s="37"/>
    </row>
    <row r="16" ht="22.5" spans="1:9">
      <c r="A16" s="26"/>
      <c r="B16" s="45">
        <v>1920</v>
      </c>
      <c r="C16" s="44" t="s">
        <v>9</v>
      </c>
      <c r="D16" s="44" t="s">
        <v>162</v>
      </c>
      <c r="E16" s="44" t="s">
        <v>89</v>
      </c>
      <c r="F16" s="4">
        <v>0.16</v>
      </c>
      <c r="G16" s="5">
        <f t="shared" ref="G16:G22" si="0">+B16/F16</f>
        <v>12000</v>
      </c>
      <c r="H16" s="44" t="s">
        <v>240</v>
      </c>
      <c r="I16" s="35">
        <v>43439</v>
      </c>
    </row>
    <row r="17" ht="22.5" spans="1:9">
      <c r="A17" s="46" t="s">
        <v>95</v>
      </c>
      <c r="B17" s="45">
        <v>6240</v>
      </c>
      <c r="C17" s="44" t="s">
        <v>9</v>
      </c>
      <c r="D17" s="44" t="s">
        <v>217</v>
      </c>
      <c r="E17" s="44" t="s">
        <v>89</v>
      </c>
      <c r="F17" s="4">
        <v>0.52</v>
      </c>
      <c r="G17" s="5">
        <f t="shared" si="0"/>
        <v>12000</v>
      </c>
      <c r="H17" s="44" t="s">
        <v>240</v>
      </c>
      <c r="I17" s="35">
        <v>43439</v>
      </c>
    </row>
    <row r="18" ht="22.5" spans="1:9">
      <c r="A18" s="48"/>
      <c r="B18" s="45">
        <v>7980</v>
      </c>
      <c r="C18" s="44" t="s">
        <v>9</v>
      </c>
      <c r="D18" s="44" t="s">
        <v>182</v>
      </c>
      <c r="E18" s="44" t="s">
        <v>89</v>
      </c>
      <c r="F18" s="4">
        <v>0.19</v>
      </c>
      <c r="G18" s="5">
        <f t="shared" si="0"/>
        <v>42000</v>
      </c>
      <c r="H18" s="44" t="s">
        <v>240</v>
      </c>
      <c r="I18" s="35">
        <v>43439</v>
      </c>
    </row>
    <row r="19" ht="22.5" spans="1:9">
      <c r="A19" s="48" t="s">
        <v>72</v>
      </c>
      <c r="B19" s="45">
        <v>4500</v>
      </c>
      <c r="C19" s="44" t="s">
        <v>9</v>
      </c>
      <c r="D19" s="44" t="s">
        <v>53</v>
      </c>
      <c r="E19" s="44" t="s">
        <v>89</v>
      </c>
      <c r="F19" s="4">
        <v>0.25</v>
      </c>
      <c r="G19" s="5">
        <f t="shared" si="0"/>
        <v>18000</v>
      </c>
      <c r="H19" s="44" t="s">
        <v>240</v>
      </c>
      <c r="I19" s="35">
        <v>43439</v>
      </c>
    </row>
    <row r="20" ht="22.5" spans="1:9">
      <c r="A20" s="46" t="s">
        <v>8</v>
      </c>
      <c r="B20" s="45">
        <v>10800</v>
      </c>
      <c r="C20" s="44" t="s">
        <v>9</v>
      </c>
      <c r="D20" s="44" t="s">
        <v>162</v>
      </c>
      <c r="E20" s="44" t="s">
        <v>89</v>
      </c>
      <c r="F20" s="4">
        <v>0.15</v>
      </c>
      <c r="G20" s="5">
        <f t="shared" si="0"/>
        <v>72000</v>
      </c>
      <c r="H20" s="44" t="s">
        <v>240</v>
      </c>
      <c r="I20" s="35">
        <v>43439</v>
      </c>
    </row>
    <row r="21" ht="22.5" spans="1:9">
      <c r="A21" s="47"/>
      <c r="B21" s="45">
        <v>4620</v>
      </c>
      <c r="C21" s="44" t="s">
        <v>9</v>
      </c>
      <c r="D21" s="44" t="s">
        <v>161</v>
      </c>
      <c r="E21" s="44" t="s">
        <v>89</v>
      </c>
      <c r="F21" s="4">
        <v>0.14</v>
      </c>
      <c r="G21" s="5">
        <f t="shared" si="0"/>
        <v>33000</v>
      </c>
      <c r="H21" s="44" t="s">
        <v>240</v>
      </c>
      <c r="I21" s="35">
        <v>43439</v>
      </c>
    </row>
    <row r="22" ht="22.5" spans="1:9">
      <c r="A22" s="48"/>
      <c r="B22" s="45">
        <v>18000</v>
      </c>
      <c r="C22" s="44" t="s">
        <v>9</v>
      </c>
      <c r="D22" s="44" t="s">
        <v>160</v>
      </c>
      <c r="E22" s="44" t="s">
        <v>89</v>
      </c>
      <c r="F22" s="4">
        <v>0.1</v>
      </c>
      <c r="G22" s="5">
        <f t="shared" si="0"/>
        <v>180000</v>
      </c>
      <c r="H22" s="44" t="s">
        <v>240</v>
      </c>
      <c r="I22" s="35">
        <v>43439</v>
      </c>
    </row>
    <row r="23" ht="22.5" spans="1:9">
      <c r="A23" s="124" t="s">
        <v>123</v>
      </c>
      <c r="B23" s="45">
        <v>6900</v>
      </c>
      <c r="C23" s="120" t="s">
        <v>9</v>
      </c>
      <c r="D23" s="120" t="s">
        <v>173</v>
      </c>
      <c r="E23" s="125" t="s">
        <v>89</v>
      </c>
      <c r="F23" s="122">
        <v>0.1</v>
      </c>
      <c r="G23" s="126">
        <v>69000</v>
      </c>
      <c r="H23" s="127" t="s">
        <v>236</v>
      </c>
      <c r="I23" s="35">
        <v>43439</v>
      </c>
    </row>
    <row r="24" ht="22.5" spans="1:9">
      <c r="A24" s="124"/>
      <c r="B24" s="45">
        <v>10800</v>
      </c>
      <c r="C24" s="120" t="s">
        <v>9</v>
      </c>
      <c r="D24" s="120" t="s">
        <v>173</v>
      </c>
      <c r="E24" s="125" t="s">
        <v>89</v>
      </c>
      <c r="F24" s="122">
        <v>0.09</v>
      </c>
      <c r="G24" s="126">
        <v>120000</v>
      </c>
      <c r="H24" s="127" t="s">
        <v>236</v>
      </c>
      <c r="I24" s="35">
        <v>43439</v>
      </c>
    </row>
    <row r="25" ht="22.5" spans="1:9">
      <c r="A25" s="124"/>
      <c r="B25" s="45">
        <f>4800+4800+9600</f>
        <v>19200</v>
      </c>
      <c r="C25" s="120" t="s">
        <v>9</v>
      </c>
      <c r="D25" s="120" t="s">
        <v>162</v>
      </c>
      <c r="E25" s="125" t="s">
        <v>89</v>
      </c>
      <c r="F25" s="122">
        <v>0.16</v>
      </c>
      <c r="G25" s="126">
        <f>30000+30000+60000</f>
        <v>120000</v>
      </c>
      <c r="H25" s="127" t="s">
        <v>236</v>
      </c>
      <c r="I25" s="35">
        <v>43439</v>
      </c>
    </row>
    <row r="26" ht="22.5" spans="1:9">
      <c r="A26" s="124"/>
      <c r="B26" s="45">
        <v>4500</v>
      </c>
      <c r="C26" s="120" t="s">
        <v>9</v>
      </c>
      <c r="D26" s="120" t="s">
        <v>161</v>
      </c>
      <c r="E26" s="125" t="s">
        <v>89</v>
      </c>
      <c r="F26" s="122">
        <v>0.15</v>
      </c>
      <c r="G26" s="126">
        <v>30000</v>
      </c>
      <c r="H26" s="127" t="s">
        <v>236</v>
      </c>
      <c r="I26" s="35">
        <v>43439</v>
      </c>
    </row>
    <row r="27" ht="22.5" spans="1:9">
      <c r="A27" s="124"/>
      <c r="B27" s="45">
        <v>4800</v>
      </c>
      <c r="C27" s="120" t="s">
        <v>9</v>
      </c>
      <c r="D27" s="120" t="s">
        <v>148</v>
      </c>
      <c r="E27" s="125" t="s">
        <v>89</v>
      </c>
      <c r="F27" s="122">
        <v>0.16</v>
      </c>
      <c r="G27" s="126">
        <v>30000</v>
      </c>
      <c r="H27" s="127" t="s">
        <v>236</v>
      </c>
      <c r="I27" s="35">
        <v>43439</v>
      </c>
    </row>
    <row r="28" ht="22.5" spans="1:9">
      <c r="A28" s="48" t="s">
        <v>247</v>
      </c>
      <c r="B28" s="45">
        <v>10260</v>
      </c>
      <c r="C28" s="44" t="s">
        <v>9</v>
      </c>
      <c r="D28" s="44" t="s">
        <v>160</v>
      </c>
      <c r="E28" s="125" t="s">
        <v>89</v>
      </c>
      <c r="F28" s="4">
        <v>0.095</v>
      </c>
      <c r="G28" s="5">
        <v>108000</v>
      </c>
      <c r="H28" s="44" t="s">
        <v>248</v>
      </c>
      <c r="I28" s="35">
        <v>43439</v>
      </c>
    </row>
    <row r="29" ht="22.5" spans="1:10">
      <c r="A29" s="24" t="s">
        <v>249</v>
      </c>
      <c r="B29" s="3">
        <v>6840</v>
      </c>
      <c r="C29" s="2" t="s">
        <v>9</v>
      </c>
      <c r="D29" s="2" t="s">
        <v>146</v>
      </c>
      <c r="E29" s="2" t="s">
        <v>89</v>
      </c>
      <c r="F29" s="4">
        <v>0.18</v>
      </c>
      <c r="G29" s="5">
        <f>+B29/F29</f>
        <v>38000</v>
      </c>
      <c r="H29" s="2" t="s">
        <v>240</v>
      </c>
      <c r="I29" s="35">
        <v>43461</v>
      </c>
      <c r="J29" s="35" t="s">
        <v>75</v>
      </c>
    </row>
    <row r="30" ht="22.5" spans="1:10">
      <c r="A30" s="25"/>
      <c r="B30" s="3">
        <v>17550</v>
      </c>
      <c r="C30" s="2" t="s">
        <v>9</v>
      </c>
      <c r="D30" s="2" t="s">
        <v>161</v>
      </c>
      <c r="E30" s="2" t="s">
        <v>89</v>
      </c>
      <c r="F30" s="4">
        <v>0.13</v>
      </c>
      <c r="G30" s="5">
        <f>+B30/F30</f>
        <v>135000</v>
      </c>
      <c r="H30" s="2" t="s">
        <v>240</v>
      </c>
      <c r="I30" s="35">
        <v>43461</v>
      </c>
      <c r="J30" s="35" t="s">
        <v>75</v>
      </c>
    </row>
    <row r="31" ht="22.5" spans="1:10">
      <c r="A31" s="25"/>
      <c r="B31" s="3">
        <v>5490</v>
      </c>
      <c r="C31" s="2" t="s">
        <v>9</v>
      </c>
      <c r="D31" s="2" t="s">
        <v>160</v>
      </c>
      <c r="E31" s="2" t="s">
        <v>89</v>
      </c>
      <c r="F31" s="4">
        <v>0.09</v>
      </c>
      <c r="G31" s="5">
        <f>+B31/F31</f>
        <v>61000</v>
      </c>
      <c r="H31" s="2" t="s">
        <v>240</v>
      </c>
      <c r="I31" s="35">
        <v>43461</v>
      </c>
      <c r="J31" s="35" t="s">
        <v>75</v>
      </c>
    </row>
    <row r="32" ht="22.5" spans="1:10">
      <c r="A32" s="25"/>
      <c r="B32" s="3">
        <v>17700</v>
      </c>
      <c r="C32" s="2" t="s">
        <v>9</v>
      </c>
      <c r="D32" s="2" t="s">
        <v>162</v>
      </c>
      <c r="E32" s="2" t="s">
        <v>89</v>
      </c>
      <c r="F32" s="4">
        <v>0.125</v>
      </c>
      <c r="G32" s="5">
        <f>+B32/F32</f>
        <v>141600</v>
      </c>
      <c r="H32" s="2" t="s">
        <v>240</v>
      </c>
      <c r="I32" s="35">
        <v>43461</v>
      </c>
      <c r="J32" s="35" t="s">
        <v>75</v>
      </c>
    </row>
    <row r="33" ht="22.5" spans="1:10">
      <c r="A33" s="26"/>
      <c r="B33" s="3">
        <v>10095</v>
      </c>
      <c r="C33" s="2" t="s">
        <v>9</v>
      </c>
      <c r="D33" s="2" t="s">
        <v>173</v>
      </c>
      <c r="E33" s="2" t="s">
        <v>89</v>
      </c>
      <c r="F33" s="4">
        <v>0.1</v>
      </c>
      <c r="G33" s="5">
        <f>+B33/F33</f>
        <v>100950</v>
      </c>
      <c r="H33" s="2" t="s">
        <v>240</v>
      </c>
      <c r="I33" s="35">
        <v>43461</v>
      </c>
      <c r="J33" s="35" t="s">
        <v>75</v>
      </c>
    </row>
    <row r="34" spans="8:9">
      <c r="H34" s="40" t="s">
        <v>31</v>
      </c>
      <c r="I34" s="41">
        <v>111900</v>
      </c>
    </row>
    <row r="35" spans="8:9">
      <c r="H35" s="40" t="s">
        <v>32</v>
      </c>
      <c r="I35" s="41">
        <v>135939</v>
      </c>
    </row>
    <row r="36" spans="8:9">
      <c r="H36" s="40" t="s">
        <v>140</v>
      </c>
      <c r="I36" s="41">
        <v>186045</v>
      </c>
    </row>
    <row r="37" spans="8:9">
      <c r="H37" s="40" t="s">
        <v>142</v>
      </c>
      <c r="I37" s="41">
        <v>133782.6</v>
      </c>
    </row>
    <row r="38" spans="8:9">
      <c r="H38" s="42">
        <v>42736</v>
      </c>
      <c r="I38" s="41">
        <v>117630</v>
      </c>
    </row>
    <row r="39" spans="8:9">
      <c r="H39" s="40" t="s">
        <v>60</v>
      </c>
      <c r="I39" s="41">
        <v>56680</v>
      </c>
    </row>
    <row r="40" spans="8:9">
      <c r="H40" s="41" t="s">
        <v>58</v>
      </c>
      <c r="I40" s="43">
        <v>172605</v>
      </c>
    </row>
    <row r="41" spans="8:9">
      <c r="H41" s="41" t="s">
        <v>22</v>
      </c>
      <c r="I41" s="41">
        <v>224673</v>
      </c>
    </row>
    <row r="42" spans="8:9">
      <c r="H42" s="41" t="s">
        <v>24</v>
      </c>
      <c r="I42" s="41">
        <v>313761</v>
      </c>
    </row>
    <row r="43" spans="8:9">
      <c r="H43" s="41" t="s">
        <v>25</v>
      </c>
      <c r="I43" s="41">
        <v>561401.3</v>
      </c>
    </row>
    <row r="44" spans="8:9">
      <c r="H44" s="40" t="s">
        <v>28</v>
      </c>
      <c r="I44" s="41">
        <v>489075.24</v>
      </c>
    </row>
    <row r="45" spans="8:9">
      <c r="H45" s="40" t="s">
        <v>143</v>
      </c>
      <c r="I45" s="41">
        <v>1072775.15</v>
      </c>
    </row>
    <row r="46" spans="8:9">
      <c r="H46" s="41" t="s">
        <v>32</v>
      </c>
      <c r="I46" s="41">
        <v>1546532.63</v>
      </c>
    </row>
    <row r="47" spans="8:9">
      <c r="H47" s="41" t="s">
        <v>37</v>
      </c>
      <c r="I47" s="41">
        <v>1206965.46</v>
      </c>
    </row>
    <row r="48" spans="8:9">
      <c r="H48" s="41" t="s">
        <v>40</v>
      </c>
      <c r="I48" s="41">
        <v>1164153.55</v>
      </c>
    </row>
    <row r="49" spans="8:9">
      <c r="H49" s="41" t="s">
        <v>44</v>
      </c>
      <c r="I49" s="41">
        <v>1283006.2</v>
      </c>
    </row>
    <row r="50" spans="8:9">
      <c r="H50" s="42">
        <v>43101</v>
      </c>
      <c r="I50" s="41">
        <v>1552959</v>
      </c>
    </row>
    <row r="51" spans="8:9">
      <c r="H51" s="42">
        <v>43132</v>
      </c>
      <c r="I51" s="41">
        <v>573933.88</v>
      </c>
    </row>
    <row r="52" spans="8:9">
      <c r="H52" s="42">
        <v>43160</v>
      </c>
      <c r="I52" s="41">
        <v>725630.05</v>
      </c>
    </row>
    <row r="53" spans="8:9">
      <c r="H53" s="42">
        <v>43191</v>
      </c>
      <c r="I53" s="41">
        <v>998002.8</v>
      </c>
    </row>
    <row r="54" spans="8:9">
      <c r="H54" s="42">
        <v>43221</v>
      </c>
      <c r="I54" s="41">
        <v>1635478</v>
      </c>
    </row>
    <row r="55" spans="8:9">
      <c r="H55" s="42">
        <v>43252</v>
      </c>
      <c r="I55" s="43">
        <v>845035</v>
      </c>
    </row>
    <row r="56" spans="8:9">
      <c r="H56" s="42">
        <v>43282</v>
      </c>
      <c r="I56" s="43">
        <v>740330</v>
      </c>
    </row>
    <row r="57" spans="8:9">
      <c r="H57" s="42">
        <v>43313</v>
      </c>
      <c r="I57" s="43">
        <v>1048786.43</v>
      </c>
    </row>
    <row r="58" spans="8:9">
      <c r="H58" s="42">
        <v>43344</v>
      </c>
      <c r="I58" s="43">
        <v>900195</v>
      </c>
    </row>
    <row r="59" spans="8:9">
      <c r="H59" s="42">
        <v>43374</v>
      </c>
      <c r="I59" s="43">
        <v>443233</v>
      </c>
    </row>
    <row r="60" spans="8:9">
      <c r="H60" s="42">
        <v>43405</v>
      </c>
      <c r="I60" s="43">
        <v>889775</v>
      </c>
    </row>
  </sheetData>
  <mergeCells count="8">
    <mergeCell ref="A2:A3"/>
    <mergeCell ref="A4:A5"/>
    <mergeCell ref="A13:A14"/>
    <mergeCell ref="A15:A16"/>
    <mergeCell ref="A17:A18"/>
    <mergeCell ref="A20:A22"/>
    <mergeCell ref="A23:A27"/>
    <mergeCell ref="A29:A33"/>
  </mergeCells>
  <pageMargins left="0.7" right="0.7" top="0.75" bottom="0.75" header="0.3" footer="0.3"/>
  <pageSetup paperSize="9" orientation="portrait" verticalDpi="18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F10" sqref="F10"/>
    </sheetView>
  </sheetViews>
  <sheetFormatPr defaultColWidth="9" defaultRowHeight="14.25"/>
  <cols>
    <col min="1" max="1" width="14.125" customWidth="1"/>
    <col min="2" max="2" width="19.375" customWidth="1"/>
    <col min="3" max="3" width="14.125" customWidth="1"/>
    <col min="4" max="4" width="15" customWidth="1"/>
    <col min="5" max="5" width="7.75" customWidth="1"/>
    <col min="6" max="6" width="20.75" customWidth="1"/>
    <col min="7" max="8" width="17.5" customWidth="1"/>
    <col min="9" max="9" width="14.125" customWidth="1"/>
    <col min="10" max="10" width="16.125" customWidth="1"/>
  </cols>
  <sheetData>
    <row r="1" ht="22.5" spans="1:9">
      <c r="A1" s="82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17" t="s">
        <v>5</v>
      </c>
      <c r="G1" s="18" t="s">
        <v>6</v>
      </c>
      <c r="H1" s="82" t="s">
        <v>7</v>
      </c>
      <c r="I1" s="123"/>
    </row>
    <row r="2" ht="22.5" spans="1:9">
      <c r="A2" s="72" t="s">
        <v>14</v>
      </c>
      <c r="B2" s="81">
        <f t="shared" ref="B2:B9" si="0">+G2*F2</f>
        <v>180360</v>
      </c>
      <c r="C2" s="82" t="s">
        <v>9</v>
      </c>
      <c r="D2" s="82" t="s">
        <v>53</v>
      </c>
      <c r="E2" s="82" t="s">
        <v>89</v>
      </c>
      <c r="F2" s="122">
        <v>0.18</v>
      </c>
      <c r="G2" s="18">
        <v>1002000</v>
      </c>
      <c r="H2" s="82" t="s">
        <v>250</v>
      </c>
      <c r="I2" s="35" t="s">
        <v>251</v>
      </c>
    </row>
    <row r="3" ht="22.5" spans="1:9">
      <c r="A3" s="74"/>
      <c r="B3" s="81">
        <f t="shared" si="0"/>
        <v>25200</v>
      </c>
      <c r="C3" s="82" t="s">
        <v>9</v>
      </c>
      <c r="D3" s="82" t="s">
        <v>79</v>
      </c>
      <c r="E3" s="82" t="s">
        <v>89</v>
      </c>
      <c r="F3" s="122">
        <v>0.21</v>
      </c>
      <c r="G3" s="18">
        <v>120000</v>
      </c>
      <c r="H3" s="82" t="s">
        <v>250</v>
      </c>
      <c r="I3" s="35" t="s">
        <v>251</v>
      </c>
    </row>
    <row r="4" ht="22.5" spans="1:9">
      <c r="A4" s="72" t="s">
        <v>165</v>
      </c>
      <c r="B4" s="81">
        <f t="shared" si="0"/>
        <v>28800</v>
      </c>
      <c r="C4" s="82" t="s">
        <v>9</v>
      </c>
      <c r="D4" s="82" t="s">
        <v>92</v>
      </c>
      <c r="E4" s="82" t="s">
        <v>89</v>
      </c>
      <c r="F4" s="122">
        <v>0.24</v>
      </c>
      <c r="G4" s="18">
        <v>120000</v>
      </c>
      <c r="H4" s="82" t="s">
        <v>250</v>
      </c>
      <c r="I4" s="35" t="s">
        <v>251</v>
      </c>
    </row>
    <row r="5" ht="22.5" spans="1:9">
      <c r="A5" s="73"/>
      <c r="B5" s="81">
        <f t="shared" si="0"/>
        <v>14580</v>
      </c>
      <c r="C5" s="82" t="s">
        <v>9</v>
      </c>
      <c r="D5" s="82" t="s">
        <v>172</v>
      </c>
      <c r="E5" s="82" t="s">
        <v>89</v>
      </c>
      <c r="F5" s="122">
        <v>0.18</v>
      </c>
      <c r="G5" s="18">
        <v>81000</v>
      </c>
      <c r="H5" s="82" t="s">
        <v>250</v>
      </c>
      <c r="I5" s="35" t="s">
        <v>251</v>
      </c>
    </row>
    <row r="6" ht="22.5" spans="1:9">
      <c r="A6" s="74"/>
      <c r="B6" s="81">
        <f t="shared" si="0"/>
        <v>11750</v>
      </c>
      <c r="C6" s="82" t="s">
        <v>9</v>
      </c>
      <c r="D6" s="82" t="s">
        <v>92</v>
      </c>
      <c r="E6" s="82" t="s">
        <v>89</v>
      </c>
      <c r="F6" s="122">
        <v>0.235</v>
      </c>
      <c r="G6" s="18">
        <v>50000</v>
      </c>
      <c r="H6" s="82" t="s">
        <v>250</v>
      </c>
      <c r="I6" s="35" t="s">
        <v>251</v>
      </c>
    </row>
    <row r="7" ht="22.5" spans="1:9">
      <c r="A7" s="72" t="s">
        <v>95</v>
      </c>
      <c r="B7" s="81">
        <f t="shared" si="0"/>
        <v>14560</v>
      </c>
      <c r="C7" s="82" t="s">
        <v>9</v>
      </c>
      <c r="D7" s="82" t="s">
        <v>217</v>
      </c>
      <c r="E7" s="82" t="s">
        <v>89</v>
      </c>
      <c r="F7" s="122">
        <v>0.52</v>
      </c>
      <c r="G7" s="18">
        <v>28000</v>
      </c>
      <c r="H7" s="82" t="s">
        <v>250</v>
      </c>
      <c r="I7" s="35" t="s">
        <v>251</v>
      </c>
    </row>
    <row r="8" ht="22.5" spans="1:9">
      <c r="A8" s="74"/>
      <c r="B8" s="81">
        <f t="shared" si="0"/>
        <v>5700</v>
      </c>
      <c r="C8" s="82" t="s">
        <v>9</v>
      </c>
      <c r="D8" s="82" t="s">
        <v>182</v>
      </c>
      <c r="E8" s="82" t="s">
        <v>89</v>
      </c>
      <c r="F8" s="122">
        <v>0.19</v>
      </c>
      <c r="G8" s="18">
        <v>30000</v>
      </c>
      <c r="H8" s="82" t="s">
        <v>250</v>
      </c>
      <c r="I8" s="35" t="s">
        <v>251</v>
      </c>
    </row>
    <row r="9" ht="22.5" spans="1:10">
      <c r="A9" s="74" t="s">
        <v>186</v>
      </c>
      <c r="B9" s="81">
        <f t="shared" si="0"/>
        <v>510</v>
      </c>
      <c r="C9" s="82" t="s">
        <v>9</v>
      </c>
      <c r="D9" s="82" t="s">
        <v>172</v>
      </c>
      <c r="E9" s="82" t="s">
        <v>89</v>
      </c>
      <c r="F9" s="122">
        <v>0.17</v>
      </c>
      <c r="G9" s="18">
        <v>3000</v>
      </c>
      <c r="H9" s="82" t="s">
        <v>250</v>
      </c>
      <c r="I9" s="35" t="s">
        <v>251</v>
      </c>
      <c r="J9" s="90" t="s">
        <v>252</v>
      </c>
    </row>
    <row r="10" ht="22.5" spans="1:9">
      <c r="A10" s="80" t="s">
        <v>123</v>
      </c>
      <c r="B10" s="13">
        <v>3000</v>
      </c>
      <c r="C10" s="120" t="s">
        <v>9</v>
      </c>
      <c r="D10" s="97" t="s">
        <v>160</v>
      </c>
      <c r="E10" s="120" t="s">
        <v>89</v>
      </c>
      <c r="F10" s="122">
        <v>0.1</v>
      </c>
      <c r="G10" s="122">
        <v>30000</v>
      </c>
      <c r="H10" s="120" t="s">
        <v>235</v>
      </c>
      <c r="I10" s="35" t="s">
        <v>251</v>
      </c>
    </row>
    <row r="11" ht="22.5" spans="1:9">
      <c r="A11" s="80"/>
      <c r="B11" s="13">
        <v>16200</v>
      </c>
      <c r="C11" s="120" t="s">
        <v>9</v>
      </c>
      <c r="D11" s="97" t="s">
        <v>173</v>
      </c>
      <c r="E11" s="120" t="s">
        <v>89</v>
      </c>
      <c r="F11" s="122">
        <v>0.09</v>
      </c>
      <c r="G11" s="122">
        <v>180000</v>
      </c>
      <c r="H11" s="120" t="s">
        <v>235</v>
      </c>
      <c r="I11" s="35" t="s">
        <v>251</v>
      </c>
    </row>
    <row r="12" ht="22.5" spans="1:9">
      <c r="A12" s="80"/>
      <c r="B12" s="13">
        <v>9200</v>
      </c>
      <c r="C12" s="120" t="s">
        <v>9</v>
      </c>
      <c r="D12" s="97" t="s">
        <v>79</v>
      </c>
      <c r="E12" s="120" t="s">
        <v>89</v>
      </c>
      <c r="F12" s="122">
        <v>0.23</v>
      </c>
      <c r="G12" s="122">
        <v>40000</v>
      </c>
      <c r="H12" s="120" t="s">
        <v>235</v>
      </c>
      <c r="I12" s="35" t="s">
        <v>251</v>
      </c>
    </row>
    <row r="13" ht="22.5" spans="1:9">
      <c r="A13" s="80"/>
      <c r="B13" s="13">
        <v>1560</v>
      </c>
      <c r="C13" s="120" t="s">
        <v>9</v>
      </c>
      <c r="D13" s="97" t="s">
        <v>146</v>
      </c>
      <c r="E13" s="120" t="s">
        <v>89</v>
      </c>
      <c r="F13" s="122">
        <v>0.195</v>
      </c>
      <c r="G13" s="122">
        <v>8000</v>
      </c>
      <c r="H13" s="120" t="s">
        <v>235</v>
      </c>
      <c r="I13" s="35" t="s">
        <v>251</v>
      </c>
    </row>
    <row r="14" ht="22.5" spans="1:9">
      <c r="A14" s="80"/>
      <c r="B14" s="13">
        <v>9000</v>
      </c>
      <c r="C14" s="120" t="s">
        <v>9</v>
      </c>
      <c r="D14" s="97" t="s">
        <v>161</v>
      </c>
      <c r="E14" s="120" t="s">
        <v>89</v>
      </c>
      <c r="F14" s="122">
        <v>0.15</v>
      </c>
      <c r="G14" s="122">
        <v>60000</v>
      </c>
      <c r="H14" s="120" t="s">
        <v>235</v>
      </c>
      <c r="I14" s="35" t="s">
        <v>251</v>
      </c>
    </row>
    <row r="15" ht="22.5" spans="1:9">
      <c r="A15" s="80"/>
      <c r="B15" s="13">
        <v>9600</v>
      </c>
      <c r="C15" s="120" t="s">
        <v>9</v>
      </c>
      <c r="D15" s="97" t="s">
        <v>162</v>
      </c>
      <c r="E15" s="120" t="s">
        <v>89</v>
      </c>
      <c r="F15" s="122">
        <v>0.16</v>
      </c>
      <c r="G15" s="122">
        <v>60000</v>
      </c>
      <c r="H15" s="120" t="s">
        <v>235</v>
      </c>
      <c r="I15" s="35" t="s">
        <v>251</v>
      </c>
    </row>
    <row r="16" ht="22.5" spans="1:9">
      <c r="A16" s="80"/>
      <c r="B16" s="13">
        <v>9600</v>
      </c>
      <c r="C16" s="120" t="s">
        <v>9</v>
      </c>
      <c r="D16" s="97" t="s">
        <v>148</v>
      </c>
      <c r="E16" s="120" t="s">
        <v>89</v>
      </c>
      <c r="F16" s="122">
        <v>0.16</v>
      </c>
      <c r="G16" s="122">
        <v>60000</v>
      </c>
      <c r="H16" s="120" t="s">
        <v>235</v>
      </c>
      <c r="I16" s="35" t="s">
        <v>251</v>
      </c>
    </row>
    <row r="17" spans="8:9">
      <c r="H17" s="40" t="s">
        <v>31</v>
      </c>
      <c r="I17" s="41">
        <v>111900</v>
      </c>
    </row>
    <row r="18" spans="8:9">
      <c r="H18" s="40" t="s">
        <v>32</v>
      </c>
      <c r="I18" s="41">
        <v>135939</v>
      </c>
    </row>
    <row r="19" spans="8:9">
      <c r="H19" s="40" t="s">
        <v>140</v>
      </c>
      <c r="I19" s="41">
        <v>186045</v>
      </c>
    </row>
    <row r="20" spans="8:9">
      <c r="H20" s="40" t="s">
        <v>142</v>
      </c>
      <c r="I20" s="41">
        <v>133782.6</v>
      </c>
    </row>
    <row r="21" spans="8:9">
      <c r="H21" s="42">
        <v>42736</v>
      </c>
      <c r="I21" s="41">
        <v>117630</v>
      </c>
    </row>
    <row r="22" spans="8:9">
      <c r="H22" s="40" t="s">
        <v>60</v>
      </c>
      <c r="I22" s="41">
        <v>56680</v>
      </c>
    </row>
    <row r="23" spans="8:9">
      <c r="H23" s="41" t="s">
        <v>58</v>
      </c>
      <c r="I23" s="43">
        <v>172605</v>
      </c>
    </row>
    <row r="24" spans="8:9">
      <c r="H24" s="41" t="s">
        <v>22</v>
      </c>
      <c r="I24" s="41">
        <v>224673</v>
      </c>
    </row>
    <row r="25" spans="8:9">
      <c r="H25" s="41" t="s">
        <v>24</v>
      </c>
      <c r="I25" s="41">
        <v>313761</v>
      </c>
    </row>
    <row r="26" spans="8:9">
      <c r="H26" s="41" t="s">
        <v>25</v>
      </c>
      <c r="I26" s="41">
        <v>561401.3</v>
      </c>
    </row>
    <row r="27" spans="8:9">
      <c r="H27" s="40" t="s">
        <v>28</v>
      </c>
      <c r="I27" s="41">
        <v>489075.24</v>
      </c>
    </row>
    <row r="28" spans="8:9">
      <c r="H28" s="40" t="s">
        <v>143</v>
      </c>
      <c r="I28" s="41">
        <v>1072775.15</v>
      </c>
    </row>
    <row r="29" spans="8:9">
      <c r="H29" s="41" t="s">
        <v>32</v>
      </c>
      <c r="I29" s="41">
        <v>1546532.63</v>
      </c>
    </row>
    <row r="30" spans="8:9">
      <c r="H30" s="41" t="s">
        <v>37</v>
      </c>
      <c r="I30" s="41">
        <v>1206965.46</v>
      </c>
    </row>
    <row r="31" spans="8:9">
      <c r="H31" s="41" t="s">
        <v>40</v>
      </c>
      <c r="I31" s="41">
        <v>1164153.55</v>
      </c>
    </row>
    <row r="32" spans="8:9">
      <c r="H32" s="41" t="s">
        <v>44</v>
      </c>
      <c r="I32" s="41">
        <v>1283006.2</v>
      </c>
    </row>
    <row r="33" spans="8:9">
      <c r="H33" s="42">
        <v>43101</v>
      </c>
      <c r="I33" s="41">
        <v>1552959</v>
      </c>
    </row>
    <row r="34" spans="8:9">
      <c r="H34" s="42">
        <v>43132</v>
      </c>
      <c r="I34" s="41">
        <v>573933.88</v>
      </c>
    </row>
    <row r="35" spans="8:9">
      <c r="H35" s="42">
        <v>43160</v>
      </c>
      <c r="I35" s="41">
        <v>725630.05</v>
      </c>
    </row>
    <row r="36" spans="8:9">
      <c r="H36" s="42">
        <v>43191</v>
      </c>
      <c r="I36" s="41">
        <v>998002.8</v>
      </c>
    </row>
    <row r="37" spans="8:9">
      <c r="H37" s="42">
        <v>43221</v>
      </c>
      <c r="I37" s="41">
        <v>1635478</v>
      </c>
    </row>
    <row r="38" spans="8:9">
      <c r="H38" s="42">
        <v>43252</v>
      </c>
      <c r="I38" s="43">
        <v>845035</v>
      </c>
    </row>
    <row r="39" spans="8:9">
      <c r="H39" s="42">
        <v>43282</v>
      </c>
      <c r="I39" s="43">
        <v>740330</v>
      </c>
    </row>
    <row r="40" spans="8:9">
      <c r="H40" s="42">
        <v>43313</v>
      </c>
      <c r="I40" s="43">
        <v>1048786.43</v>
      </c>
    </row>
    <row r="41" spans="8:9">
      <c r="H41" s="42">
        <v>43344</v>
      </c>
      <c r="I41" s="43">
        <v>900195</v>
      </c>
    </row>
    <row r="42" spans="8:9">
      <c r="H42" s="42">
        <v>43374</v>
      </c>
      <c r="I42" s="43">
        <v>443233</v>
      </c>
    </row>
    <row r="43" spans="8:9">
      <c r="H43" s="42">
        <v>43405</v>
      </c>
      <c r="I43" s="43">
        <v>889775</v>
      </c>
    </row>
    <row r="44" spans="8:9">
      <c r="H44" s="42">
        <v>43435</v>
      </c>
      <c r="I44" s="43">
        <v>339620</v>
      </c>
    </row>
  </sheetData>
  <mergeCells count="4">
    <mergeCell ref="A2:A3"/>
    <mergeCell ref="A4:A6"/>
    <mergeCell ref="A7:A8"/>
    <mergeCell ref="A10:A16"/>
  </mergeCells>
  <pageMargins left="0.7" right="0.7" top="0.75" bottom="0.75" header="0.3" footer="0.3"/>
  <pageSetup paperSize="9" orientation="portrait" verticalDpi="18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opLeftCell="A7" workbookViewId="0">
      <selection activeCell="G5" sqref="G5"/>
    </sheetView>
  </sheetViews>
  <sheetFormatPr defaultColWidth="9" defaultRowHeight="14.25"/>
  <cols>
    <col min="1" max="4" width="17.375" customWidth="1"/>
    <col min="5" max="5" width="10.875" customWidth="1"/>
    <col min="6" max="8" width="17.375" customWidth="1"/>
    <col min="9" max="9" width="22.5" customWidth="1"/>
    <col min="12" max="12" width="11.625" style="65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</row>
    <row r="2" ht="22.5" spans="1:9">
      <c r="A2" s="117" t="s">
        <v>165</v>
      </c>
      <c r="B2" s="81">
        <v>12240</v>
      </c>
      <c r="C2" s="82" t="s">
        <v>9</v>
      </c>
      <c r="D2" s="82" t="s">
        <v>253</v>
      </c>
      <c r="E2" s="82" t="s">
        <v>89</v>
      </c>
      <c r="F2" s="17">
        <v>0.24</v>
      </c>
      <c r="G2" s="18">
        <v>51000</v>
      </c>
      <c r="H2" s="82" t="s">
        <v>254</v>
      </c>
      <c r="I2" s="35" t="s">
        <v>255</v>
      </c>
    </row>
    <row r="3" ht="22.5" spans="1:9">
      <c r="A3" s="118"/>
      <c r="B3" s="81">
        <v>9180</v>
      </c>
      <c r="C3" s="82" t="s">
        <v>9</v>
      </c>
      <c r="D3" s="82" t="s">
        <v>172</v>
      </c>
      <c r="E3" s="82" t="s">
        <v>89</v>
      </c>
      <c r="F3" s="17">
        <v>0.18</v>
      </c>
      <c r="G3" s="18">
        <v>51000</v>
      </c>
      <c r="H3" s="82" t="s">
        <v>254</v>
      </c>
      <c r="I3" s="35" t="s">
        <v>255</v>
      </c>
    </row>
    <row r="4" ht="22.5" spans="1:9">
      <c r="A4" s="82" t="s">
        <v>72</v>
      </c>
      <c r="B4" s="81">
        <v>39000</v>
      </c>
      <c r="C4" s="82" t="s">
        <v>9</v>
      </c>
      <c r="D4" s="82" t="s">
        <v>73</v>
      </c>
      <c r="E4" s="82" t="s">
        <v>89</v>
      </c>
      <c r="F4" s="17">
        <v>0.195</v>
      </c>
      <c r="G4" s="18">
        <v>200000</v>
      </c>
      <c r="H4" s="82" t="s">
        <v>254</v>
      </c>
      <c r="I4" s="35" t="s">
        <v>256</v>
      </c>
    </row>
    <row r="5" ht="22.5" spans="1:9">
      <c r="A5" s="72" t="s">
        <v>42</v>
      </c>
      <c r="B5" s="81">
        <v>2080</v>
      </c>
      <c r="C5" s="82" t="s">
        <v>9</v>
      </c>
      <c r="D5" s="82" t="s">
        <v>217</v>
      </c>
      <c r="E5" s="82" t="s">
        <v>89</v>
      </c>
      <c r="F5" s="17">
        <v>0.52</v>
      </c>
      <c r="G5" s="18">
        <v>4000</v>
      </c>
      <c r="H5" s="82" t="s">
        <v>254</v>
      </c>
      <c r="I5" s="35" t="s">
        <v>255</v>
      </c>
    </row>
    <row r="6" ht="22.5" spans="1:9">
      <c r="A6" s="74"/>
      <c r="B6" s="81">
        <v>7440</v>
      </c>
      <c r="C6" s="82" t="s">
        <v>9</v>
      </c>
      <c r="D6" s="82" t="s">
        <v>91</v>
      </c>
      <c r="E6" s="82" t="s">
        <v>89</v>
      </c>
      <c r="F6" s="17">
        <v>0.31</v>
      </c>
      <c r="G6" s="18">
        <v>24000</v>
      </c>
      <c r="H6" s="82" t="s">
        <v>254</v>
      </c>
      <c r="I6" s="35" t="s">
        <v>255</v>
      </c>
    </row>
    <row r="7" ht="22.5" spans="1:9">
      <c r="A7" s="82" t="s">
        <v>246</v>
      </c>
      <c r="B7" s="81">
        <v>3360</v>
      </c>
      <c r="C7" s="82" t="s">
        <v>9</v>
      </c>
      <c r="D7" s="82" t="s">
        <v>162</v>
      </c>
      <c r="E7" s="82" t="s">
        <v>89</v>
      </c>
      <c r="F7" s="17">
        <v>0.16</v>
      </c>
      <c r="G7" s="18">
        <v>21000</v>
      </c>
      <c r="H7" s="82" t="s">
        <v>254</v>
      </c>
      <c r="I7" s="35" t="s">
        <v>255</v>
      </c>
    </row>
    <row r="8" ht="22.5" spans="1:9">
      <c r="A8" s="72" t="s">
        <v>14</v>
      </c>
      <c r="B8" s="81">
        <v>75180</v>
      </c>
      <c r="C8" s="82" t="s">
        <v>9</v>
      </c>
      <c r="D8" s="82" t="s">
        <v>79</v>
      </c>
      <c r="E8" s="82" t="s">
        <v>89</v>
      </c>
      <c r="F8" s="17">
        <v>0.21</v>
      </c>
      <c r="G8" s="18">
        <v>358000</v>
      </c>
      <c r="H8" s="82" t="s">
        <v>254</v>
      </c>
      <c r="I8" s="35" t="s">
        <v>257</v>
      </c>
    </row>
    <row r="9" ht="22.5" spans="1:9">
      <c r="A9" s="74"/>
      <c r="B9" s="81">
        <v>29440</v>
      </c>
      <c r="C9" s="82" t="s">
        <v>9</v>
      </c>
      <c r="D9" s="82" t="s">
        <v>73</v>
      </c>
      <c r="E9" s="82" t="s">
        <v>89</v>
      </c>
      <c r="F9" s="17">
        <v>0.16</v>
      </c>
      <c r="G9" s="18">
        <v>184000</v>
      </c>
      <c r="H9" s="82" t="s">
        <v>254</v>
      </c>
      <c r="I9" s="35" t="s">
        <v>255</v>
      </c>
    </row>
    <row r="10" ht="22.5" spans="1:9">
      <c r="A10" s="119" t="s">
        <v>123</v>
      </c>
      <c r="B10" s="81">
        <v>4680</v>
      </c>
      <c r="C10" s="16" t="s">
        <v>9</v>
      </c>
      <c r="D10" s="97" t="s">
        <v>146</v>
      </c>
      <c r="E10" s="82" t="s">
        <v>89</v>
      </c>
      <c r="F10" s="16">
        <v>0.195</v>
      </c>
      <c r="G10" s="18">
        <f>+B10/F10</f>
        <v>24000</v>
      </c>
      <c r="H10" s="120" t="s">
        <v>240</v>
      </c>
      <c r="I10" s="35" t="s">
        <v>255</v>
      </c>
    </row>
    <row r="11" ht="22.5" spans="1:9">
      <c r="A11" s="121"/>
      <c r="B11" s="81">
        <v>4500</v>
      </c>
      <c r="C11" s="16" t="s">
        <v>9</v>
      </c>
      <c r="D11" s="97" t="s">
        <v>161</v>
      </c>
      <c r="E11" s="82" t="s">
        <v>89</v>
      </c>
      <c r="F11" s="16">
        <v>0.15</v>
      </c>
      <c r="G11" s="18">
        <f>+B11/F11</f>
        <v>30000</v>
      </c>
      <c r="H11" s="120" t="s">
        <v>240</v>
      </c>
      <c r="I11" s="35" t="s">
        <v>255</v>
      </c>
    </row>
    <row r="12" ht="22.5" spans="1:9">
      <c r="A12" s="121"/>
      <c r="B12" s="81">
        <v>9600</v>
      </c>
      <c r="C12" s="16" t="s">
        <v>9</v>
      </c>
      <c r="D12" s="97" t="s">
        <v>162</v>
      </c>
      <c r="E12" s="82" t="s">
        <v>89</v>
      </c>
      <c r="F12" s="16">
        <v>0.16</v>
      </c>
      <c r="G12" s="18">
        <f>+B12/F12</f>
        <v>60000</v>
      </c>
      <c r="H12" s="120" t="s">
        <v>240</v>
      </c>
      <c r="I12" s="35" t="s">
        <v>255</v>
      </c>
    </row>
    <row r="13" ht="22.5" spans="1:9">
      <c r="A13" s="121"/>
      <c r="B13" s="81">
        <v>9600</v>
      </c>
      <c r="C13" s="16" t="s">
        <v>9</v>
      </c>
      <c r="D13" s="97" t="s">
        <v>148</v>
      </c>
      <c r="E13" s="82" t="s">
        <v>89</v>
      </c>
      <c r="F13" s="16">
        <v>0.16</v>
      </c>
      <c r="G13" s="18">
        <f>+B13/F13</f>
        <v>60000</v>
      </c>
      <c r="H13" s="120" t="s">
        <v>240</v>
      </c>
      <c r="I13" s="35" t="s">
        <v>255</v>
      </c>
    </row>
    <row r="14" ht="22.5" spans="1:9">
      <c r="A14" s="121"/>
      <c r="B14" s="81">
        <v>6240</v>
      </c>
      <c r="C14" s="16" t="s">
        <v>9</v>
      </c>
      <c r="D14" s="97" t="s">
        <v>258</v>
      </c>
      <c r="E14" s="82" t="s">
        <v>89</v>
      </c>
      <c r="F14" s="16">
        <v>0.16</v>
      </c>
      <c r="G14" s="18">
        <f>+B14/F14</f>
        <v>39000</v>
      </c>
      <c r="H14" s="120" t="s">
        <v>240</v>
      </c>
      <c r="I14" s="35" t="s">
        <v>255</v>
      </c>
    </row>
    <row r="15" ht="22.5" spans="1:9">
      <c r="A15" s="80" t="s">
        <v>8</v>
      </c>
      <c r="B15" s="81">
        <f>+G15*F15</f>
        <v>840</v>
      </c>
      <c r="C15" s="82" t="s">
        <v>9</v>
      </c>
      <c r="D15" s="82" t="s">
        <v>161</v>
      </c>
      <c r="E15" s="82" t="s">
        <v>89</v>
      </c>
      <c r="F15" s="16">
        <v>0.14</v>
      </c>
      <c r="G15" s="18">
        <v>6000</v>
      </c>
      <c r="H15" s="82" t="s">
        <v>250</v>
      </c>
      <c r="I15" s="35" t="s">
        <v>259</v>
      </c>
    </row>
    <row r="16" ht="22.5" spans="1:9">
      <c r="A16" s="80"/>
      <c r="B16" s="81">
        <f>+G16*F16</f>
        <v>5400</v>
      </c>
      <c r="C16" s="82" t="s">
        <v>9</v>
      </c>
      <c r="D16" s="82" t="s">
        <v>160</v>
      </c>
      <c r="E16" s="82" t="s">
        <v>89</v>
      </c>
      <c r="F16" s="16">
        <v>0.1</v>
      </c>
      <c r="G16" s="18">
        <v>54000</v>
      </c>
      <c r="H16" s="82" t="s">
        <v>250</v>
      </c>
      <c r="I16" s="35" t="s">
        <v>259</v>
      </c>
    </row>
    <row r="17" ht="22.5" spans="1:9">
      <c r="A17" s="80"/>
      <c r="B17" s="81">
        <f>+G17*F17</f>
        <v>7650</v>
      </c>
      <c r="C17" s="82" t="s">
        <v>9</v>
      </c>
      <c r="D17" s="82" t="s">
        <v>162</v>
      </c>
      <c r="E17" s="82" t="s">
        <v>89</v>
      </c>
      <c r="F17" s="16">
        <v>0.15</v>
      </c>
      <c r="G17" s="18">
        <v>51000</v>
      </c>
      <c r="H17" s="82" t="s">
        <v>250</v>
      </c>
      <c r="I17" s="35" t="s">
        <v>259</v>
      </c>
    </row>
    <row r="18" ht="22.5" spans="1:9">
      <c r="A18" s="48" t="s">
        <v>174</v>
      </c>
      <c r="B18" s="45">
        <f>+G18*F18</f>
        <v>23760</v>
      </c>
      <c r="C18" s="44" t="s">
        <v>9</v>
      </c>
      <c r="D18" s="44" t="s">
        <v>73</v>
      </c>
      <c r="E18" s="44" t="s">
        <v>89</v>
      </c>
      <c r="F18" s="16">
        <v>0.18</v>
      </c>
      <c r="G18" s="5">
        <v>132000</v>
      </c>
      <c r="H18" s="44" t="s">
        <v>250</v>
      </c>
      <c r="I18" s="35" t="s">
        <v>260</v>
      </c>
    </row>
    <row r="19" ht="22.5" spans="1:9">
      <c r="A19" s="74" t="s">
        <v>186</v>
      </c>
      <c r="B19" s="81">
        <f>+G19*F19</f>
        <v>510</v>
      </c>
      <c r="C19" s="82" t="s">
        <v>9</v>
      </c>
      <c r="D19" s="82" t="s">
        <v>172</v>
      </c>
      <c r="E19" s="82" t="s">
        <v>89</v>
      </c>
      <c r="F19" s="16">
        <v>0.17</v>
      </c>
      <c r="G19" s="18">
        <v>3000</v>
      </c>
      <c r="H19" s="82" t="s">
        <v>250</v>
      </c>
      <c r="I19" s="35" t="s">
        <v>261</v>
      </c>
    </row>
  </sheetData>
  <mergeCells count="5">
    <mergeCell ref="A2:A3"/>
    <mergeCell ref="A5:A6"/>
    <mergeCell ref="A8:A9"/>
    <mergeCell ref="A10:A14"/>
    <mergeCell ref="A15:A17"/>
  </mergeCells>
  <pageMargins left="0.7" right="0.7" top="0.75" bottom="0.75" header="0.3" footer="0.3"/>
  <pageSetup paperSize="9" orientation="portrait" verticalDpi="18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topLeftCell="A47" workbookViewId="0">
      <selection activeCell="G2" sqref="G2:G61"/>
    </sheetView>
  </sheetViews>
  <sheetFormatPr defaultColWidth="9" defaultRowHeight="14.25"/>
  <cols>
    <col min="1" max="1" width="14.125" customWidth="1"/>
    <col min="2" max="2" width="19.125" customWidth="1"/>
    <col min="3" max="3" width="14.125" customWidth="1"/>
    <col min="4" max="4" width="14.5" customWidth="1"/>
    <col min="5" max="5" width="7.75" customWidth="1"/>
    <col min="6" max="6" width="20.75" customWidth="1"/>
    <col min="7" max="7" width="14.125" style="77" customWidth="1"/>
    <col min="8" max="8" width="19.125" customWidth="1"/>
    <col min="9" max="9" width="22.5" customWidth="1"/>
    <col min="10" max="10" width="15" customWidth="1"/>
    <col min="11" max="11" width="18.125" customWidth="1"/>
    <col min="12" max="12" width="11.625" style="65" customWidth="1"/>
    <col min="13" max="19" width="15.375" customWidth="1"/>
  </cols>
  <sheetData>
    <row r="1" ht="22.5" spans="1:9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78" t="s">
        <v>6</v>
      </c>
      <c r="H1" s="44" t="s">
        <v>7</v>
      </c>
      <c r="I1" s="75"/>
    </row>
    <row r="2" ht="22.5" spans="1:9">
      <c r="A2" s="44" t="s">
        <v>262</v>
      </c>
      <c r="B2" s="13">
        <f>2560+1496.32</f>
        <v>4056.32</v>
      </c>
      <c r="C2" s="44" t="s">
        <v>9</v>
      </c>
      <c r="D2" s="44" t="s">
        <v>73</v>
      </c>
      <c r="E2" s="44" t="s">
        <v>89</v>
      </c>
      <c r="F2" s="4">
        <v>0.16</v>
      </c>
      <c r="G2" s="78">
        <v>25352</v>
      </c>
      <c r="H2" s="44" t="s">
        <v>263</v>
      </c>
      <c r="I2" s="35" t="s">
        <v>264</v>
      </c>
    </row>
    <row r="3" ht="22.5" spans="1:9">
      <c r="A3" s="46" t="s">
        <v>14</v>
      </c>
      <c r="B3" s="13">
        <v>10880</v>
      </c>
      <c r="C3" s="44" t="s">
        <v>9</v>
      </c>
      <c r="D3" s="44" t="s">
        <v>73</v>
      </c>
      <c r="E3" s="44" t="s">
        <v>89</v>
      </c>
      <c r="F3" s="4">
        <v>0.16</v>
      </c>
      <c r="G3" s="78">
        <v>68000</v>
      </c>
      <c r="H3" s="44" t="s">
        <v>265</v>
      </c>
      <c r="I3" s="35" t="s">
        <v>264</v>
      </c>
    </row>
    <row r="4" ht="22.5" spans="1:9">
      <c r="A4" s="48"/>
      <c r="B4" s="13">
        <v>16800</v>
      </c>
      <c r="C4" s="44" t="s">
        <v>9</v>
      </c>
      <c r="D4" s="44" t="s">
        <v>79</v>
      </c>
      <c r="E4" s="44" t="s">
        <v>89</v>
      </c>
      <c r="F4" s="4">
        <v>0.21</v>
      </c>
      <c r="G4" s="78">
        <v>80000</v>
      </c>
      <c r="H4" s="44" t="s">
        <v>265</v>
      </c>
      <c r="I4" s="35" t="s">
        <v>264</v>
      </c>
    </row>
    <row r="5" ht="22.5" spans="1:9">
      <c r="A5" s="46" t="s">
        <v>72</v>
      </c>
      <c r="B5" s="13">
        <v>35280</v>
      </c>
      <c r="C5" s="44" t="s">
        <v>9</v>
      </c>
      <c r="D5" s="44" t="s">
        <v>73</v>
      </c>
      <c r="E5" s="44" t="s">
        <v>89</v>
      </c>
      <c r="F5" s="4">
        <v>0.18</v>
      </c>
      <c r="G5" s="78">
        <v>196000</v>
      </c>
      <c r="H5" s="44" t="s">
        <v>265</v>
      </c>
      <c r="I5" s="35" t="s">
        <v>264</v>
      </c>
    </row>
    <row r="6" ht="22.5" spans="1:9">
      <c r="A6" s="47"/>
      <c r="B6" s="13">
        <v>54720</v>
      </c>
      <c r="C6" s="44" t="s">
        <v>9</v>
      </c>
      <c r="D6" s="44" t="s">
        <v>73</v>
      </c>
      <c r="E6" s="44" t="s">
        <v>89</v>
      </c>
      <c r="F6" s="4">
        <v>0.18</v>
      </c>
      <c r="G6" s="78">
        <v>304000</v>
      </c>
      <c r="H6" s="44" t="s">
        <v>265</v>
      </c>
      <c r="I6" s="35" t="s">
        <v>264</v>
      </c>
    </row>
    <row r="7" ht="22.5" spans="1:9">
      <c r="A7" s="48"/>
      <c r="B7" s="92">
        <v>54000</v>
      </c>
      <c r="C7" s="93" t="s">
        <v>9</v>
      </c>
      <c r="D7" s="93" t="s">
        <v>73</v>
      </c>
      <c r="E7" s="93" t="s">
        <v>89</v>
      </c>
      <c r="F7" s="94">
        <v>0.18</v>
      </c>
      <c r="G7" s="95">
        <v>300000</v>
      </c>
      <c r="H7" s="93" t="s">
        <v>266</v>
      </c>
      <c r="I7" s="105" t="s">
        <v>267</v>
      </c>
    </row>
    <row r="8" ht="22.5" spans="1:9">
      <c r="A8" s="44" t="s">
        <v>80</v>
      </c>
      <c r="B8" s="13">
        <v>59850</v>
      </c>
      <c r="C8" s="44" t="s">
        <v>9</v>
      </c>
      <c r="D8" s="44" t="s">
        <v>211</v>
      </c>
      <c r="E8" s="44" t="s">
        <v>89</v>
      </c>
      <c r="F8" s="4">
        <v>0.285</v>
      </c>
      <c r="G8" s="78">
        <v>210000</v>
      </c>
      <c r="H8" s="44" t="s">
        <v>265</v>
      </c>
      <c r="I8" s="35" t="s">
        <v>264</v>
      </c>
    </row>
    <row r="9" ht="22.5" spans="1:9">
      <c r="A9" s="44" t="s">
        <v>165</v>
      </c>
      <c r="B9" s="13">
        <v>11220</v>
      </c>
      <c r="C9" s="44" t="s">
        <v>9</v>
      </c>
      <c r="D9" s="44" t="s">
        <v>172</v>
      </c>
      <c r="E9" s="44" t="s">
        <v>89</v>
      </c>
      <c r="F9" s="4">
        <v>0.17</v>
      </c>
      <c r="G9" s="78">
        <v>66000</v>
      </c>
      <c r="H9" s="44" t="s">
        <v>265</v>
      </c>
      <c r="I9" s="35" t="s">
        <v>264</v>
      </c>
    </row>
    <row r="10" ht="22.5" spans="1:9">
      <c r="A10" s="44" t="s">
        <v>268</v>
      </c>
      <c r="B10" s="13">
        <v>1080</v>
      </c>
      <c r="C10" s="44" t="s">
        <v>9</v>
      </c>
      <c r="D10" s="44" t="s">
        <v>173</v>
      </c>
      <c r="E10" s="44" t="s">
        <v>89</v>
      </c>
      <c r="F10" s="4">
        <v>0.12</v>
      </c>
      <c r="G10" s="78">
        <v>9000</v>
      </c>
      <c r="H10" s="44" t="s">
        <v>265</v>
      </c>
      <c r="I10" s="35" t="s">
        <v>264</v>
      </c>
    </row>
    <row r="11" ht="22.5" spans="1:9">
      <c r="A11" s="46" t="s">
        <v>174</v>
      </c>
      <c r="B11" s="13">
        <v>9360</v>
      </c>
      <c r="C11" s="44" t="s">
        <v>9</v>
      </c>
      <c r="D11" s="44" t="s">
        <v>73</v>
      </c>
      <c r="E11" s="44" t="s">
        <v>89</v>
      </c>
      <c r="F11" s="4">
        <v>0.18</v>
      </c>
      <c r="G11" s="78">
        <v>52000</v>
      </c>
      <c r="H11" s="44" t="s">
        <v>265</v>
      </c>
      <c r="I11" s="35" t="s">
        <v>264</v>
      </c>
    </row>
    <row r="12" ht="22.5" spans="1:9">
      <c r="A12" s="47"/>
      <c r="B12" s="13">
        <v>2760</v>
      </c>
      <c r="C12" s="44" t="s">
        <v>9</v>
      </c>
      <c r="D12" s="44" t="s">
        <v>79</v>
      </c>
      <c r="E12" s="44" t="s">
        <v>89</v>
      </c>
      <c r="F12" s="4">
        <v>0.23</v>
      </c>
      <c r="G12" s="78">
        <v>12000</v>
      </c>
      <c r="H12" s="44" t="s">
        <v>265</v>
      </c>
      <c r="I12" s="35" t="s">
        <v>264</v>
      </c>
    </row>
    <row r="13" ht="22.5" spans="1:9">
      <c r="A13" s="48"/>
      <c r="B13" s="13">
        <v>11520</v>
      </c>
      <c r="C13" s="44" t="s">
        <v>9</v>
      </c>
      <c r="D13" s="44" t="s">
        <v>73</v>
      </c>
      <c r="E13" s="44" t="s">
        <v>89</v>
      </c>
      <c r="F13" s="4">
        <v>0.18</v>
      </c>
      <c r="G13" s="78">
        <v>64000</v>
      </c>
      <c r="H13" s="44" t="s">
        <v>254</v>
      </c>
      <c r="I13" s="35" t="s">
        <v>264</v>
      </c>
    </row>
    <row r="14" ht="22.5" spans="1:9">
      <c r="A14" s="46" t="s">
        <v>95</v>
      </c>
      <c r="B14" s="13">
        <v>10400</v>
      </c>
      <c r="C14" s="44" t="s">
        <v>9</v>
      </c>
      <c r="D14" s="44" t="s">
        <v>217</v>
      </c>
      <c r="E14" s="44" t="s">
        <v>89</v>
      </c>
      <c r="F14" s="4">
        <v>0.52</v>
      </c>
      <c r="G14" s="78">
        <v>20000</v>
      </c>
      <c r="H14" s="44" t="s">
        <v>254</v>
      </c>
      <c r="I14" s="35" t="s">
        <v>264</v>
      </c>
    </row>
    <row r="15" ht="22.5" spans="1:9">
      <c r="A15" s="47"/>
      <c r="B15" s="13">
        <v>17100</v>
      </c>
      <c r="C15" s="44" t="s">
        <v>9</v>
      </c>
      <c r="D15" s="44" t="s">
        <v>182</v>
      </c>
      <c r="E15" s="44" t="s">
        <v>89</v>
      </c>
      <c r="F15" s="4">
        <v>0.19</v>
      </c>
      <c r="G15" s="78">
        <v>90000</v>
      </c>
      <c r="H15" s="44" t="s">
        <v>254</v>
      </c>
      <c r="I15" s="35" t="s">
        <v>264</v>
      </c>
    </row>
    <row r="16" ht="22.5" spans="1:9">
      <c r="A16" s="47"/>
      <c r="B16" s="13">
        <v>2912</v>
      </c>
      <c r="C16" s="44" t="s">
        <v>9</v>
      </c>
      <c r="D16" s="44" t="s">
        <v>217</v>
      </c>
      <c r="E16" s="44" t="s">
        <v>89</v>
      </c>
      <c r="F16" s="4">
        <v>0.52</v>
      </c>
      <c r="G16" s="78">
        <v>5600</v>
      </c>
      <c r="H16" s="44" t="s">
        <v>254</v>
      </c>
      <c r="I16" s="35" t="s">
        <v>264</v>
      </c>
    </row>
    <row r="17" ht="22.5" spans="1:9">
      <c r="A17" s="48"/>
      <c r="B17" s="13">
        <v>24960</v>
      </c>
      <c r="C17" s="44" t="s">
        <v>9</v>
      </c>
      <c r="D17" s="44" t="s">
        <v>217</v>
      </c>
      <c r="E17" s="44" t="s">
        <v>89</v>
      </c>
      <c r="F17" s="4">
        <v>0.52</v>
      </c>
      <c r="G17" s="78">
        <v>48000</v>
      </c>
      <c r="H17" s="44" t="s">
        <v>254</v>
      </c>
      <c r="I17" s="35" t="s">
        <v>264</v>
      </c>
    </row>
    <row r="18" ht="22.5" spans="1:9">
      <c r="A18" s="96" t="s">
        <v>123</v>
      </c>
      <c r="B18" s="13">
        <f>+F18*G18</f>
        <v>3120</v>
      </c>
      <c r="C18" s="2" t="s">
        <v>9</v>
      </c>
      <c r="D18" s="97" t="s">
        <v>146</v>
      </c>
      <c r="E18" s="2" t="s">
        <v>89</v>
      </c>
      <c r="F18" s="16">
        <v>0.195</v>
      </c>
      <c r="G18" s="98">
        <v>16000</v>
      </c>
      <c r="H18" s="16" t="s">
        <v>250</v>
      </c>
      <c r="I18" s="35" t="s">
        <v>264</v>
      </c>
    </row>
    <row r="19" ht="22.5" spans="1:9">
      <c r="A19" s="99"/>
      <c r="B19" s="13">
        <f>+F19*G19</f>
        <v>1305</v>
      </c>
      <c r="C19" s="2" t="s">
        <v>9</v>
      </c>
      <c r="D19" s="97" t="s">
        <v>161</v>
      </c>
      <c r="E19" s="2" t="s">
        <v>89</v>
      </c>
      <c r="F19" s="16">
        <v>0.145</v>
      </c>
      <c r="G19" s="98">
        <v>9000</v>
      </c>
      <c r="H19" s="16" t="s">
        <v>250</v>
      </c>
      <c r="I19" s="35" t="s">
        <v>264</v>
      </c>
    </row>
    <row r="20" ht="22.5" spans="1:9">
      <c r="A20" s="99"/>
      <c r="B20" s="13">
        <f>+F20*G20</f>
        <v>2520</v>
      </c>
      <c r="C20" s="2" t="s">
        <v>9</v>
      </c>
      <c r="D20" s="97" t="s">
        <v>161</v>
      </c>
      <c r="E20" s="2" t="s">
        <v>89</v>
      </c>
      <c r="F20" s="16">
        <v>0.14</v>
      </c>
      <c r="G20" s="98">
        <v>18000</v>
      </c>
      <c r="H20" s="16" t="s">
        <v>250</v>
      </c>
      <c r="I20" s="35" t="s">
        <v>264</v>
      </c>
    </row>
    <row r="21" ht="22.5" spans="1:9">
      <c r="A21" s="99"/>
      <c r="B21" s="13">
        <f>+F21*G21</f>
        <v>1395</v>
      </c>
      <c r="C21" s="2" t="s">
        <v>9</v>
      </c>
      <c r="D21" s="97" t="s">
        <v>162</v>
      </c>
      <c r="E21" s="2" t="s">
        <v>89</v>
      </c>
      <c r="F21" s="16">
        <v>0.155</v>
      </c>
      <c r="G21" s="98">
        <v>9000</v>
      </c>
      <c r="H21" s="16" t="s">
        <v>250</v>
      </c>
      <c r="I21" s="35" t="s">
        <v>264</v>
      </c>
    </row>
    <row r="22" ht="22.5" spans="1:9">
      <c r="A22" s="99"/>
      <c r="B22" s="13">
        <f>+F22*G22</f>
        <v>3680</v>
      </c>
      <c r="C22" s="2" t="s">
        <v>9</v>
      </c>
      <c r="D22" s="97" t="s">
        <v>79</v>
      </c>
      <c r="E22" s="2" t="s">
        <v>89</v>
      </c>
      <c r="F22" s="16">
        <v>0.23</v>
      </c>
      <c r="G22" s="98">
        <v>16000</v>
      </c>
      <c r="H22" s="16" t="s">
        <v>250</v>
      </c>
      <c r="I22" s="35" t="s">
        <v>264</v>
      </c>
    </row>
    <row r="23" ht="22.5" spans="1:19">
      <c r="A23" s="99"/>
      <c r="B23" s="7">
        <v>393.12</v>
      </c>
      <c r="C23" s="20" t="s">
        <v>9</v>
      </c>
      <c r="D23" s="20" t="s">
        <v>161</v>
      </c>
      <c r="E23" s="20" t="s">
        <v>89</v>
      </c>
      <c r="F23" s="8">
        <v>0.14</v>
      </c>
      <c r="G23" s="100">
        <v>2808</v>
      </c>
      <c r="H23" s="20" t="s">
        <v>254</v>
      </c>
      <c r="I23" s="105" t="s">
        <v>267</v>
      </c>
      <c r="J23" s="106" t="s">
        <v>269</v>
      </c>
      <c r="K23" s="7">
        <v>4200</v>
      </c>
      <c r="M23" s="20" t="s">
        <v>9</v>
      </c>
      <c r="N23" s="20" t="s">
        <v>161</v>
      </c>
      <c r="O23" s="20" t="s">
        <v>89</v>
      </c>
      <c r="P23" s="8">
        <v>0.14</v>
      </c>
      <c r="Q23" s="8">
        <v>30000</v>
      </c>
      <c r="R23" s="20" t="s">
        <v>254</v>
      </c>
      <c r="S23" s="105" t="s">
        <v>270</v>
      </c>
    </row>
    <row r="24" ht="22.5" spans="1:19">
      <c r="A24" s="99"/>
      <c r="B24" s="7">
        <v>1260</v>
      </c>
      <c r="C24" s="20" t="s">
        <v>9</v>
      </c>
      <c r="D24" s="20" t="s">
        <v>161</v>
      </c>
      <c r="E24" s="20" t="s">
        <v>89</v>
      </c>
      <c r="F24" s="8">
        <v>0.14</v>
      </c>
      <c r="G24" s="100">
        <v>9000</v>
      </c>
      <c r="H24" s="20" t="s">
        <v>265</v>
      </c>
      <c r="I24" s="105" t="s">
        <v>267</v>
      </c>
      <c r="K24" s="7">
        <v>-4586.88</v>
      </c>
      <c r="M24" s="20" t="s">
        <v>9</v>
      </c>
      <c r="N24" s="20" t="s">
        <v>258</v>
      </c>
      <c r="O24" s="20" t="s">
        <v>89</v>
      </c>
      <c r="P24" s="8">
        <v>0.16</v>
      </c>
      <c r="Q24" s="8">
        <v>-28668</v>
      </c>
      <c r="R24" s="20" t="s">
        <v>254</v>
      </c>
      <c r="S24" s="105" t="s">
        <v>270</v>
      </c>
    </row>
    <row r="25" ht="22.5" spans="1:19">
      <c r="A25" s="99"/>
      <c r="B25" s="7">
        <v>5700</v>
      </c>
      <c r="C25" s="20" t="s">
        <v>9</v>
      </c>
      <c r="D25" s="20" t="s">
        <v>160</v>
      </c>
      <c r="E25" s="20" t="s">
        <v>89</v>
      </c>
      <c r="F25" s="8">
        <v>0.095</v>
      </c>
      <c r="G25" s="100">
        <v>60000</v>
      </c>
      <c r="H25" s="20" t="s">
        <v>265</v>
      </c>
      <c r="I25" s="105" t="s">
        <v>267</v>
      </c>
      <c r="K25" s="7">
        <v>780</v>
      </c>
      <c r="M25" s="20" t="s">
        <v>9</v>
      </c>
      <c r="N25" s="20" t="s">
        <v>146</v>
      </c>
      <c r="O25" s="20" t="s">
        <v>89</v>
      </c>
      <c r="P25" s="8">
        <v>0.195</v>
      </c>
      <c r="Q25" s="8">
        <v>4000</v>
      </c>
      <c r="R25" s="20" t="s">
        <v>254</v>
      </c>
      <c r="S25" s="105" t="s">
        <v>270</v>
      </c>
    </row>
    <row r="26" ht="22.5" spans="1:9">
      <c r="A26" s="99"/>
      <c r="B26" s="7">
        <v>2100</v>
      </c>
      <c r="C26" s="20" t="s">
        <v>9</v>
      </c>
      <c r="D26" s="20" t="s">
        <v>161</v>
      </c>
      <c r="E26" s="20" t="s">
        <v>89</v>
      </c>
      <c r="F26" s="8">
        <v>0.14</v>
      </c>
      <c r="G26" s="100">
        <v>15000</v>
      </c>
      <c r="H26" s="20" t="s">
        <v>265</v>
      </c>
      <c r="I26" s="105" t="s">
        <v>267</v>
      </c>
    </row>
    <row r="27" ht="22.5" spans="1:9">
      <c r="A27" s="101"/>
      <c r="B27" s="7">
        <v>4800</v>
      </c>
      <c r="C27" s="20" t="s">
        <v>9</v>
      </c>
      <c r="D27" s="20" t="s">
        <v>148</v>
      </c>
      <c r="E27" s="20" t="s">
        <v>89</v>
      </c>
      <c r="F27" s="8">
        <v>0.16</v>
      </c>
      <c r="G27" s="100">
        <v>30000</v>
      </c>
      <c r="H27" s="20" t="s">
        <v>265</v>
      </c>
      <c r="I27" s="105" t="s">
        <v>267</v>
      </c>
    </row>
    <row r="28" ht="22.5" spans="1:10">
      <c r="A28" s="72" t="s">
        <v>75</v>
      </c>
      <c r="B28" s="13">
        <f t="shared" ref="B28:B33" si="0">+G28*F28</f>
        <v>23400</v>
      </c>
      <c r="C28" s="2" t="s">
        <v>9</v>
      </c>
      <c r="D28" s="2" t="s">
        <v>161</v>
      </c>
      <c r="E28" s="2" t="s">
        <v>89</v>
      </c>
      <c r="F28" s="16">
        <v>0.13</v>
      </c>
      <c r="G28" s="78">
        <v>180000</v>
      </c>
      <c r="H28" s="2" t="s">
        <v>250</v>
      </c>
      <c r="I28" s="35" t="s">
        <v>264</v>
      </c>
      <c r="J28" t="s">
        <v>271</v>
      </c>
    </row>
    <row r="29" ht="22.5" spans="1:10">
      <c r="A29" s="73"/>
      <c r="B29" s="13">
        <f t="shared" si="0"/>
        <v>7200</v>
      </c>
      <c r="C29" s="2" t="s">
        <v>9</v>
      </c>
      <c r="D29" s="2" t="s">
        <v>173</v>
      </c>
      <c r="E29" s="2" t="s">
        <v>89</v>
      </c>
      <c r="F29" s="16">
        <v>0.1</v>
      </c>
      <c r="G29" s="78">
        <v>72000</v>
      </c>
      <c r="H29" s="2" t="s">
        <v>250</v>
      </c>
      <c r="I29" s="35" t="s">
        <v>264</v>
      </c>
      <c r="J29" t="s">
        <v>271</v>
      </c>
    </row>
    <row r="30" ht="22.5" spans="1:10">
      <c r="A30" s="73"/>
      <c r="B30" s="13">
        <f t="shared" si="0"/>
        <v>2850</v>
      </c>
      <c r="C30" s="2" t="s">
        <v>9</v>
      </c>
      <c r="D30" s="2" t="s">
        <v>160</v>
      </c>
      <c r="E30" s="2" t="s">
        <v>89</v>
      </c>
      <c r="F30" s="16">
        <v>0.095</v>
      </c>
      <c r="G30" s="78">
        <v>30000</v>
      </c>
      <c r="H30" s="2" t="s">
        <v>250</v>
      </c>
      <c r="I30" s="35" t="s">
        <v>264</v>
      </c>
      <c r="J30" t="s">
        <v>271</v>
      </c>
    </row>
    <row r="31" ht="22.5" spans="1:10">
      <c r="A31" s="73"/>
      <c r="B31" s="13">
        <f t="shared" si="0"/>
        <v>14280</v>
      </c>
      <c r="C31" s="2" t="s">
        <v>9</v>
      </c>
      <c r="D31" s="2" t="s">
        <v>162</v>
      </c>
      <c r="E31" s="2" t="s">
        <v>89</v>
      </c>
      <c r="F31" s="16">
        <v>0.14</v>
      </c>
      <c r="G31" s="78">
        <v>102000</v>
      </c>
      <c r="H31" s="2" t="s">
        <v>250</v>
      </c>
      <c r="I31" s="35" t="s">
        <v>264</v>
      </c>
      <c r="J31" t="s">
        <v>271</v>
      </c>
    </row>
    <row r="32" ht="22.5" spans="1:10">
      <c r="A32" s="73"/>
      <c r="B32" s="13">
        <f t="shared" si="0"/>
        <v>3360</v>
      </c>
      <c r="C32" s="2" t="s">
        <v>9</v>
      </c>
      <c r="D32" s="2" t="s">
        <v>79</v>
      </c>
      <c r="E32" s="2" t="s">
        <v>89</v>
      </c>
      <c r="F32" s="16">
        <v>0.21</v>
      </c>
      <c r="G32" s="78">
        <v>16000</v>
      </c>
      <c r="H32" s="2" t="s">
        <v>250</v>
      </c>
      <c r="I32" s="35" t="s">
        <v>264</v>
      </c>
      <c r="J32" t="s">
        <v>271</v>
      </c>
    </row>
    <row r="33" ht="22.5" spans="1:10">
      <c r="A33" s="73"/>
      <c r="B33" s="13">
        <f t="shared" si="0"/>
        <v>62595</v>
      </c>
      <c r="C33" s="2" t="s">
        <v>9</v>
      </c>
      <c r="D33" s="2" t="s">
        <v>182</v>
      </c>
      <c r="E33" s="2" t="s">
        <v>89</v>
      </c>
      <c r="F33" s="16">
        <v>0.195</v>
      </c>
      <c r="G33" s="78">
        <v>321000</v>
      </c>
      <c r="H33" s="2" t="s">
        <v>250</v>
      </c>
      <c r="I33" s="35" t="s">
        <v>264</v>
      </c>
      <c r="J33" t="s">
        <v>271</v>
      </c>
    </row>
    <row r="34" ht="22.5" spans="1:10">
      <c r="A34" s="73"/>
      <c r="B34" s="13">
        <v>16800</v>
      </c>
      <c r="C34" s="2" t="s">
        <v>9</v>
      </c>
      <c r="D34" s="2" t="s">
        <v>162</v>
      </c>
      <c r="E34" s="2" t="s">
        <v>89</v>
      </c>
      <c r="F34" s="16">
        <v>0.14</v>
      </c>
      <c r="G34" s="78">
        <v>120000</v>
      </c>
      <c r="H34" s="2" t="s">
        <v>254</v>
      </c>
      <c r="I34" s="35" t="s">
        <v>264</v>
      </c>
      <c r="J34" t="s">
        <v>271</v>
      </c>
    </row>
    <row r="35" ht="22.5" spans="1:19">
      <c r="A35" s="73"/>
      <c r="B35" s="13">
        <v>2850</v>
      </c>
      <c r="C35" s="2" t="s">
        <v>9</v>
      </c>
      <c r="D35" s="2" t="s">
        <v>160</v>
      </c>
      <c r="E35" s="2" t="s">
        <v>89</v>
      </c>
      <c r="F35" s="16">
        <v>0.095</v>
      </c>
      <c r="G35" s="78">
        <v>30000</v>
      </c>
      <c r="H35" s="2" t="s">
        <v>254</v>
      </c>
      <c r="I35" s="35" t="s">
        <v>264</v>
      </c>
      <c r="J35" t="s">
        <v>271</v>
      </c>
      <c r="K35" s="107">
        <v>1800</v>
      </c>
      <c r="M35" s="108" t="s">
        <v>9</v>
      </c>
      <c r="N35" s="108" t="s">
        <v>243</v>
      </c>
      <c r="O35" s="108" t="s">
        <v>89</v>
      </c>
      <c r="P35" s="109">
        <v>0.3</v>
      </c>
      <c r="Q35" s="114">
        <v>6000</v>
      </c>
      <c r="R35" s="108" t="s">
        <v>265</v>
      </c>
      <c r="S35" s="115"/>
    </row>
    <row r="36" ht="22.5" customHeight="1" spans="1:19">
      <c r="A36" s="73"/>
      <c r="B36" s="7">
        <v>315</v>
      </c>
      <c r="C36" s="20" t="s">
        <v>9</v>
      </c>
      <c r="D36" s="20" t="s">
        <v>243</v>
      </c>
      <c r="E36" s="20" t="s">
        <v>89</v>
      </c>
      <c r="F36" s="8">
        <v>0.3</v>
      </c>
      <c r="G36" s="83">
        <v>1050</v>
      </c>
      <c r="H36" s="20" t="s">
        <v>265</v>
      </c>
      <c r="I36" s="35" t="s">
        <v>264</v>
      </c>
      <c r="J36" t="s">
        <v>271</v>
      </c>
      <c r="K36" s="110">
        <v>-1485</v>
      </c>
      <c r="M36" s="111" t="s">
        <v>9</v>
      </c>
      <c r="N36" s="111" t="s">
        <v>148</v>
      </c>
      <c r="O36" s="111" t="s">
        <v>89</v>
      </c>
      <c r="P36" s="112">
        <v>0.165</v>
      </c>
      <c r="Q36" s="116">
        <v>-9000</v>
      </c>
      <c r="R36" s="111" t="s">
        <v>265</v>
      </c>
      <c r="S36" s="105"/>
    </row>
    <row r="37" ht="22.5" spans="1:18">
      <c r="A37" s="74"/>
      <c r="B37" s="13">
        <v>585</v>
      </c>
      <c r="C37" s="2" t="s">
        <v>9</v>
      </c>
      <c r="D37" s="2" t="s">
        <v>272</v>
      </c>
      <c r="E37" s="2" t="s">
        <v>89</v>
      </c>
      <c r="F37" s="16">
        <v>0.195</v>
      </c>
      <c r="G37" s="78">
        <v>3000</v>
      </c>
      <c r="H37" s="2" t="s">
        <v>265</v>
      </c>
      <c r="I37" s="35" t="s">
        <v>264</v>
      </c>
      <c r="J37" t="s">
        <v>271</v>
      </c>
      <c r="K37" s="87"/>
      <c r="M37" s="87"/>
      <c r="N37" s="87"/>
      <c r="O37" s="113"/>
      <c r="P37" s="89"/>
      <c r="Q37" s="87"/>
      <c r="R37" s="91"/>
    </row>
    <row r="38" ht="22.5" spans="1:18">
      <c r="A38" s="102" t="s">
        <v>8</v>
      </c>
      <c r="B38" s="13">
        <v>6000</v>
      </c>
      <c r="C38" s="44" t="s">
        <v>9</v>
      </c>
      <c r="D38" s="44" t="s">
        <v>160</v>
      </c>
      <c r="E38" s="44" t="s">
        <v>89</v>
      </c>
      <c r="F38" s="4">
        <v>0.1</v>
      </c>
      <c r="G38" s="78">
        <v>60000</v>
      </c>
      <c r="H38" s="44" t="s">
        <v>254</v>
      </c>
      <c r="I38" s="35" t="s">
        <v>264</v>
      </c>
      <c r="J38" s="86"/>
      <c r="K38" s="87"/>
      <c r="M38" s="87"/>
      <c r="N38" s="87"/>
      <c r="O38" s="113"/>
      <c r="P38" s="89"/>
      <c r="Q38" s="87"/>
      <c r="R38" s="91"/>
    </row>
    <row r="39" ht="22.5" spans="1:9">
      <c r="A39" s="103"/>
      <c r="B39" s="13">
        <v>9450</v>
      </c>
      <c r="C39" s="44" t="s">
        <v>9</v>
      </c>
      <c r="D39" s="44" t="s">
        <v>162</v>
      </c>
      <c r="E39" s="44" t="s">
        <v>89</v>
      </c>
      <c r="F39" s="4">
        <v>0.15</v>
      </c>
      <c r="G39" s="78">
        <v>63000</v>
      </c>
      <c r="H39" s="44" t="s">
        <v>254</v>
      </c>
      <c r="I39" s="35" t="s">
        <v>264</v>
      </c>
    </row>
    <row r="40" ht="22.5" spans="1:9">
      <c r="A40" s="103"/>
      <c r="B40" s="13">
        <v>300</v>
      </c>
      <c r="C40" s="44" t="s">
        <v>9</v>
      </c>
      <c r="D40" s="44" t="s">
        <v>173</v>
      </c>
      <c r="E40" s="44" t="s">
        <v>89</v>
      </c>
      <c r="F40" s="4">
        <v>0.1</v>
      </c>
      <c r="G40" s="78">
        <v>3000</v>
      </c>
      <c r="H40" s="44" t="s">
        <v>254</v>
      </c>
      <c r="I40" s="35" t="s">
        <v>264</v>
      </c>
    </row>
    <row r="41" ht="22.5" spans="1:9">
      <c r="A41" s="103"/>
      <c r="B41" s="13">
        <v>5040</v>
      </c>
      <c r="C41" s="44" t="s">
        <v>9</v>
      </c>
      <c r="D41" s="44" t="s">
        <v>161</v>
      </c>
      <c r="E41" s="44" t="s">
        <v>89</v>
      </c>
      <c r="F41" s="4">
        <v>0.14</v>
      </c>
      <c r="G41" s="78">
        <v>36000</v>
      </c>
      <c r="H41" s="44" t="s">
        <v>254</v>
      </c>
      <c r="I41" s="35" t="s">
        <v>264</v>
      </c>
    </row>
    <row r="42" ht="22.5" spans="1:9">
      <c r="A42" s="103"/>
      <c r="B42" s="13">
        <v>1218</v>
      </c>
      <c r="C42" s="44" t="s">
        <v>9</v>
      </c>
      <c r="D42" s="44" t="s">
        <v>244</v>
      </c>
      <c r="E42" s="44" t="s">
        <v>89</v>
      </c>
      <c r="F42" s="4">
        <v>0.058</v>
      </c>
      <c r="G42" s="78">
        <v>21000</v>
      </c>
      <c r="H42" s="44" t="s">
        <v>254</v>
      </c>
      <c r="I42" s="35" t="s">
        <v>264</v>
      </c>
    </row>
    <row r="43" ht="22.5" spans="1:9">
      <c r="A43" s="103"/>
      <c r="B43" s="13">
        <v>195</v>
      </c>
      <c r="C43" s="44" t="s">
        <v>9</v>
      </c>
      <c r="D43" s="44" t="s">
        <v>273</v>
      </c>
      <c r="E43" s="44" t="s">
        <v>89</v>
      </c>
      <c r="F43" s="4">
        <v>0.065</v>
      </c>
      <c r="G43" s="78">
        <v>3000</v>
      </c>
      <c r="H43" s="44" t="s">
        <v>265</v>
      </c>
      <c r="I43" s="35" t="s">
        <v>264</v>
      </c>
    </row>
    <row r="44" ht="22.5" spans="1:9">
      <c r="A44" s="103"/>
      <c r="B44" s="13">
        <v>13200</v>
      </c>
      <c r="C44" s="44" t="s">
        <v>9</v>
      </c>
      <c r="D44" s="44" t="s">
        <v>160</v>
      </c>
      <c r="E44" s="44" t="s">
        <v>89</v>
      </c>
      <c r="F44" s="4">
        <v>0.1</v>
      </c>
      <c r="G44" s="78">
        <v>132000</v>
      </c>
      <c r="H44" s="44" t="s">
        <v>265</v>
      </c>
      <c r="I44" s="35" t="s">
        <v>264</v>
      </c>
    </row>
    <row r="45" ht="22.5" spans="1:9">
      <c r="A45" s="103"/>
      <c r="B45" s="13">
        <v>9000</v>
      </c>
      <c r="C45" s="44" t="s">
        <v>9</v>
      </c>
      <c r="D45" s="44" t="s">
        <v>162</v>
      </c>
      <c r="E45" s="44" t="s">
        <v>89</v>
      </c>
      <c r="F45" s="4">
        <v>0.15</v>
      </c>
      <c r="G45" s="78">
        <v>60000</v>
      </c>
      <c r="H45" s="44" t="s">
        <v>265</v>
      </c>
      <c r="I45" s="35" t="s">
        <v>264</v>
      </c>
    </row>
    <row r="46" ht="22.5" spans="1:9">
      <c r="A46" s="104"/>
      <c r="B46" s="13">
        <v>1170</v>
      </c>
      <c r="C46" s="44" t="s">
        <v>9</v>
      </c>
      <c r="D46" s="44" t="s">
        <v>273</v>
      </c>
      <c r="E46" s="44" t="s">
        <v>89</v>
      </c>
      <c r="F46" s="4">
        <v>0.065</v>
      </c>
      <c r="G46" s="78">
        <v>18000</v>
      </c>
      <c r="H46" s="44" t="s">
        <v>265</v>
      </c>
      <c r="I46" s="35" t="s">
        <v>264</v>
      </c>
    </row>
    <row r="47" ht="22.5" spans="1:9">
      <c r="A47" s="46" t="s">
        <v>45</v>
      </c>
      <c r="B47" s="13">
        <f>+G47*F47</f>
        <v>16500</v>
      </c>
      <c r="C47" s="44" t="s">
        <v>9</v>
      </c>
      <c r="D47" s="44" t="s">
        <v>73</v>
      </c>
      <c r="E47" s="44" t="s">
        <v>89</v>
      </c>
      <c r="F47" s="16">
        <v>0.165</v>
      </c>
      <c r="G47" s="78">
        <v>100000</v>
      </c>
      <c r="H47" s="44" t="s">
        <v>250</v>
      </c>
      <c r="I47" s="35" t="s">
        <v>264</v>
      </c>
    </row>
    <row r="48" ht="22.5" spans="1:9">
      <c r="A48" s="48"/>
      <c r="B48" s="92">
        <v>25740</v>
      </c>
      <c r="C48" s="93" t="s">
        <v>9</v>
      </c>
      <c r="D48" s="93" t="s">
        <v>73</v>
      </c>
      <c r="E48" s="93" t="s">
        <v>89</v>
      </c>
      <c r="F48" s="93">
        <v>0.165</v>
      </c>
      <c r="G48" s="95">
        <v>156000</v>
      </c>
      <c r="H48" s="93" t="s">
        <v>266</v>
      </c>
      <c r="I48" s="105" t="s">
        <v>267</v>
      </c>
    </row>
    <row r="49" ht="22.5" spans="1:9">
      <c r="A49" s="67" t="s">
        <v>176</v>
      </c>
      <c r="B49" s="7">
        <f>+G49*F49</f>
        <v>990</v>
      </c>
      <c r="C49" s="20" t="s">
        <v>9</v>
      </c>
      <c r="D49" s="20" t="s">
        <v>160</v>
      </c>
      <c r="E49" s="20" t="s">
        <v>89</v>
      </c>
      <c r="F49" s="8">
        <v>0.11</v>
      </c>
      <c r="G49" s="83">
        <v>9000</v>
      </c>
      <c r="H49" s="20" t="s">
        <v>250</v>
      </c>
      <c r="I49" s="105" t="s">
        <v>267</v>
      </c>
    </row>
    <row r="50" ht="22.5" spans="1:9">
      <c r="A50" s="68"/>
      <c r="B50" s="7">
        <v>3840</v>
      </c>
      <c r="C50" s="20" t="s">
        <v>9</v>
      </c>
      <c r="D50" s="20" t="s">
        <v>162</v>
      </c>
      <c r="E50" s="20" t="s">
        <v>89</v>
      </c>
      <c r="F50" s="8">
        <v>0.16</v>
      </c>
      <c r="G50" s="83">
        <v>24000</v>
      </c>
      <c r="H50" s="20" t="s">
        <v>254</v>
      </c>
      <c r="I50" s="105" t="s">
        <v>267</v>
      </c>
    </row>
    <row r="51" ht="22.5" spans="1:9">
      <c r="A51" s="68"/>
      <c r="B51" s="7">
        <v>480</v>
      </c>
      <c r="C51" s="20" t="s">
        <v>9</v>
      </c>
      <c r="D51" s="20" t="s">
        <v>162</v>
      </c>
      <c r="E51" s="20" t="s">
        <v>89</v>
      </c>
      <c r="F51" s="8">
        <v>0.16</v>
      </c>
      <c r="G51" s="83">
        <v>3000</v>
      </c>
      <c r="H51" s="20" t="s">
        <v>265</v>
      </c>
      <c r="I51" s="105" t="s">
        <v>267</v>
      </c>
    </row>
    <row r="52" ht="22.5" spans="1:9">
      <c r="A52" s="68"/>
      <c r="B52" s="7">
        <v>480</v>
      </c>
      <c r="C52" s="20" t="s">
        <v>9</v>
      </c>
      <c r="D52" s="20" t="s">
        <v>162</v>
      </c>
      <c r="E52" s="20" t="s">
        <v>89</v>
      </c>
      <c r="F52" s="8">
        <v>0.16</v>
      </c>
      <c r="G52" s="83">
        <v>3000</v>
      </c>
      <c r="H52" s="20" t="s">
        <v>265</v>
      </c>
      <c r="I52" s="105" t="s">
        <v>267</v>
      </c>
    </row>
    <row r="53" ht="22.5" spans="1:9">
      <c r="A53" s="69"/>
      <c r="B53" s="7">
        <v>990</v>
      </c>
      <c r="C53" s="20" t="s">
        <v>9</v>
      </c>
      <c r="D53" s="20" t="s">
        <v>160</v>
      </c>
      <c r="E53" s="20" t="s">
        <v>89</v>
      </c>
      <c r="F53" s="8">
        <v>0.11</v>
      </c>
      <c r="G53" s="83">
        <v>9000</v>
      </c>
      <c r="H53" s="20" t="s">
        <v>265</v>
      </c>
      <c r="I53" s="105" t="s">
        <v>267</v>
      </c>
    </row>
    <row r="54" ht="22.5" spans="1:9">
      <c r="A54" s="6" t="s">
        <v>207</v>
      </c>
      <c r="B54" s="7">
        <f>+G54*F54</f>
        <v>840</v>
      </c>
      <c r="C54" s="20" t="s">
        <v>9</v>
      </c>
      <c r="D54" s="20" t="s">
        <v>146</v>
      </c>
      <c r="E54" s="20" t="s">
        <v>89</v>
      </c>
      <c r="F54" s="8">
        <v>0.21</v>
      </c>
      <c r="G54" s="83">
        <v>4000</v>
      </c>
      <c r="H54" s="20" t="s">
        <v>250</v>
      </c>
      <c r="I54" s="105" t="s">
        <v>267</v>
      </c>
    </row>
    <row r="55" ht="22.5" spans="1:9">
      <c r="A55" s="11"/>
      <c r="B55" s="7">
        <v>840</v>
      </c>
      <c r="C55" s="20" t="s">
        <v>9</v>
      </c>
      <c r="D55" s="20" t="s">
        <v>146</v>
      </c>
      <c r="E55" s="20" t="s">
        <v>89</v>
      </c>
      <c r="F55" s="8">
        <v>0.21</v>
      </c>
      <c r="G55" s="83">
        <v>4000</v>
      </c>
      <c r="H55" s="20" t="s">
        <v>254</v>
      </c>
      <c r="I55" s="105" t="s">
        <v>267</v>
      </c>
    </row>
    <row r="56" ht="22.5" spans="1:9">
      <c r="A56" s="69" t="s">
        <v>34</v>
      </c>
      <c r="B56" s="7">
        <f>+G56*F56</f>
        <v>2880</v>
      </c>
      <c r="C56" s="20" t="s">
        <v>9</v>
      </c>
      <c r="D56" s="20" t="s">
        <v>73</v>
      </c>
      <c r="E56" s="20" t="s">
        <v>89</v>
      </c>
      <c r="F56" s="8">
        <v>0.18</v>
      </c>
      <c r="G56" s="83">
        <v>16000</v>
      </c>
      <c r="H56" s="20" t="s">
        <v>250</v>
      </c>
      <c r="I56" s="105" t="s">
        <v>267</v>
      </c>
    </row>
    <row r="57" ht="22.5" spans="1:9">
      <c r="A57" s="67" t="s">
        <v>245</v>
      </c>
      <c r="B57" s="7">
        <f>+G57*F57</f>
        <v>4200</v>
      </c>
      <c r="C57" s="20" t="s">
        <v>9</v>
      </c>
      <c r="D57" s="20" t="s">
        <v>146</v>
      </c>
      <c r="E57" s="20" t="s">
        <v>89</v>
      </c>
      <c r="F57" s="8">
        <v>0.21</v>
      </c>
      <c r="G57" s="83">
        <v>20000</v>
      </c>
      <c r="H57" s="20" t="s">
        <v>250</v>
      </c>
      <c r="I57" s="105" t="s">
        <v>267</v>
      </c>
    </row>
    <row r="58" ht="22.5" spans="1:9">
      <c r="A58" s="69"/>
      <c r="B58" s="92">
        <v>2520</v>
      </c>
      <c r="C58" s="93" t="s">
        <v>9</v>
      </c>
      <c r="D58" s="93" t="s">
        <v>146</v>
      </c>
      <c r="E58" s="93" t="s">
        <v>89</v>
      </c>
      <c r="F58" s="93">
        <v>0.21</v>
      </c>
      <c r="G58" s="95">
        <v>12000</v>
      </c>
      <c r="H58" s="93" t="s">
        <v>266</v>
      </c>
      <c r="I58" s="105" t="s">
        <v>267</v>
      </c>
    </row>
    <row r="59" ht="22.5" spans="1:9">
      <c r="A59" s="67" t="s">
        <v>77</v>
      </c>
      <c r="B59" s="7">
        <f>+G59*F59</f>
        <v>2280</v>
      </c>
      <c r="C59" s="20" t="s">
        <v>9</v>
      </c>
      <c r="D59" s="20" t="s">
        <v>91</v>
      </c>
      <c r="E59" s="20" t="s">
        <v>89</v>
      </c>
      <c r="F59" s="8">
        <v>0.285</v>
      </c>
      <c r="G59" s="83">
        <v>8000</v>
      </c>
      <c r="H59" s="20" t="s">
        <v>250</v>
      </c>
      <c r="I59" s="105" t="s">
        <v>267</v>
      </c>
    </row>
    <row r="60" ht="22.5" spans="1:9">
      <c r="A60" s="68"/>
      <c r="B60" s="7">
        <v>2280</v>
      </c>
      <c r="C60" s="20" t="s">
        <v>9</v>
      </c>
      <c r="D60" s="20" t="s">
        <v>91</v>
      </c>
      <c r="E60" s="20" t="s">
        <v>89</v>
      </c>
      <c r="F60" s="21">
        <v>0.285</v>
      </c>
      <c r="G60" s="83">
        <v>8000</v>
      </c>
      <c r="H60" s="20" t="s">
        <v>254</v>
      </c>
      <c r="I60" s="105" t="s">
        <v>267</v>
      </c>
    </row>
    <row r="61" ht="22.5" spans="1:10">
      <c r="A61" s="69"/>
      <c r="B61" s="7">
        <v>3420</v>
      </c>
      <c r="C61" s="20" t="s">
        <v>9</v>
      </c>
      <c r="D61" s="20" t="s">
        <v>91</v>
      </c>
      <c r="E61" s="20" t="s">
        <v>89</v>
      </c>
      <c r="F61" s="21">
        <v>0.285</v>
      </c>
      <c r="G61" s="83">
        <v>12000</v>
      </c>
      <c r="H61" s="20" t="s">
        <v>265</v>
      </c>
      <c r="I61" s="105" t="s">
        <v>267</v>
      </c>
      <c r="J61" s="90"/>
    </row>
  </sheetData>
  <mergeCells count="12">
    <mergeCell ref="A3:A4"/>
    <mergeCell ref="A5:A7"/>
    <mergeCell ref="A11:A13"/>
    <mergeCell ref="A14:A17"/>
    <mergeCell ref="A18:A27"/>
    <mergeCell ref="A28:A37"/>
    <mergeCell ref="A38:A46"/>
    <mergeCell ref="A47:A48"/>
    <mergeCell ref="A49:A53"/>
    <mergeCell ref="A54:A55"/>
    <mergeCell ref="A57:A58"/>
    <mergeCell ref="A59:A61"/>
  </mergeCells>
  <pageMargins left="0.7" right="0.7" top="0.75" bottom="0.75" header="0.3" footer="0.3"/>
  <pageSetup paperSize="9" orientation="portrait" verticalDpi="18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.25"/>
  <cols>
    <col min="1" max="1" width="14.125" customWidth="1"/>
    <col min="2" max="2" width="19.125" customWidth="1"/>
    <col min="3" max="3" width="17.875" customWidth="1"/>
    <col min="4" max="4" width="14.125" customWidth="1"/>
    <col min="5" max="5" width="7.75" customWidth="1"/>
    <col min="6" max="6" width="20.75" customWidth="1"/>
    <col min="7" max="7" width="14.75" customWidth="1"/>
    <col min="8" max="8" width="26.25" customWidth="1"/>
    <col min="9" max="9" width="62.25" customWidth="1"/>
    <col min="10" max="10" width="15.75" customWidth="1"/>
    <col min="11" max="11" width="18" customWidth="1"/>
    <col min="12" max="13" width="14.5" customWidth="1"/>
    <col min="16" max="16" width="14.75" customWidth="1"/>
    <col min="17" max="17" width="16" customWidth="1"/>
    <col min="18" max="18" width="20" customWidth="1"/>
  </cols>
  <sheetData>
    <row r="1" ht="22.5" spans="1:12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  <c r="L1" s="65"/>
    </row>
    <row r="2" ht="22.5" spans="1:11">
      <c r="A2" s="24" t="s">
        <v>14</v>
      </c>
      <c r="B2" s="13">
        <f>15500*2</f>
        <v>31000</v>
      </c>
      <c r="C2" s="2" t="s">
        <v>9</v>
      </c>
      <c r="D2" s="2" t="s">
        <v>73</v>
      </c>
      <c r="E2" s="2" t="s">
        <v>89</v>
      </c>
      <c r="F2" s="4">
        <v>0.155</v>
      </c>
      <c r="G2" s="5">
        <v>200000</v>
      </c>
      <c r="H2" s="2" t="s">
        <v>266</v>
      </c>
      <c r="I2" s="35" t="s">
        <v>274</v>
      </c>
      <c r="K2" s="37"/>
    </row>
    <row r="3" ht="22.5" spans="1:11">
      <c r="A3" s="25"/>
      <c r="B3" s="13">
        <f>48720+1680+51240+4200+7560</f>
        <v>113400</v>
      </c>
      <c r="C3" s="2" t="s">
        <v>9</v>
      </c>
      <c r="D3" s="2" t="s">
        <v>79</v>
      </c>
      <c r="E3" s="2" t="s">
        <v>89</v>
      </c>
      <c r="F3" s="4">
        <v>0.21</v>
      </c>
      <c r="G3" s="5">
        <f>232000+8000+244000+20000+36000</f>
        <v>540000</v>
      </c>
      <c r="H3" s="2" t="s">
        <v>266</v>
      </c>
      <c r="I3" s="35" t="s">
        <v>274</v>
      </c>
      <c r="K3" s="37"/>
    </row>
    <row r="4" ht="22.5" spans="1:11">
      <c r="A4" s="26"/>
      <c r="B4" s="13">
        <f>43740+1080+45360</f>
        <v>90180</v>
      </c>
      <c r="C4" s="2" t="s">
        <v>9</v>
      </c>
      <c r="D4" s="2" t="s">
        <v>53</v>
      </c>
      <c r="E4" s="2" t="s">
        <v>89</v>
      </c>
      <c r="F4" s="4">
        <v>0.18</v>
      </c>
      <c r="G4" s="5">
        <f>243000+6000+252000</f>
        <v>501000</v>
      </c>
      <c r="H4" s="2" t="s">
        <v>266</v>
      </c>
      <c r="I4" s="35" t="s">
        <v>274</v>
      </c>
      <c r="K4" s="37"/>
    </row>
    <row r="5" ht="22.5" spans="1:18">
      <c r="A5" s="24" t="s">
        <v>165</v>
      </c>
      <c r="B5" s="13">
        <f>8670+8670+10200</f>
        <v>27540</v>
      </c>
      <c r="C5" s="2" t="s">
        <v>9</v>
      </c>
      <c r="D5" s="13" t="s">
        <v>172</v>
      </c>
      <c r="E5" s="2" t="s">
        <v>89</v>
      </c>
      <c r="F5" s="4">
        <v>0.17</v>
      </c>
      <c r="G5" s="5">
        <v>162000</v>
      </c>
      <c r="H5" s="2" t="s">
        <v>266</v>
      </c>
      <c r="I5" s="35" t="s">
        <v>275</v>
      </c>
      <c r="J5" s="24" t="s">
        <v>165</v>
      </c>
      <c r="K5" s="13">
        <f>8670+8670+10200</f>
        <v>27540</v>
      </c>
      <c r="L5" s="2" t="s">
        <v>9</v>
      </c>
      <c r="M5" s="13" t="s">
        <v>172</v>
      </c>
      <c r="N5" s="2" t="s">
        <v>89</v>
      </c>
      <c r="O5" s="4">
        <v>0.17</v>
      </c>
      <c r="P5" s="5">
        <v>162000</v>
      </c>
      <c r="Q5" s="2" t="s">
        <v>266</v>
      </c>
      <c r="R5" s="35" t="s">
        <v>275</v>
      </c>
    </row>
    <row r="6" ht="22.5" spans="1:18">
      <c r="A6" s="25"/>
      <c r="B6" s="13">
        <v>22500</v>
      </c>
      <c r="C6" s="2" t="s">
        <v>9</v>
      </c>
      <c r="D6" s="2" t="s">
        <v>92</v>
      </c>
      <c r="E6" s="2" t="s">
        <v>89</v>
      </c>
      <c r="F6" s="4">
        <v>0.225</v>
      </c>
      <c r="G6" s="5">
        <v>100000</v>
      </c>
      <c r="H6" s="2" t="s">
        <v>266</v>
      </c>
      <c r="I6" s="35" t="s">
        <v>275</v>
      </c>
      <c r="J6" s="25"/>
      <c r="K6" s="13">
        <v>22500</v>
      </c>
      <c r="L6" s="2" t="s">
        <v>9</v>
      </c>
      <c r="M6" s="2" t="s">
        <v>92</v>
      </c>
      <c r="N6" s="2" t="s">
        <v>89</v>
      </c>
      <c r="O6" s="4">
        <v>0.225</v>
      </c>
      <c r="P6" s="5">
        <v>100000</v>
      </c>
      <c r="Q6" s="2" t="s">
        <v>266</v>
      </c>
      <c r="R6" s="35" t="s">
        <v>275</v>
      </c>
    </row>
    <row r="7" ht="22.5" spans="1:18">
      <c r="A7" s="25"/>
      <c r="B7" s="13">
        <v>19200</v>
      </c>
      <c r="C7" s="2" t="s">
        <v>9</v>
      </c>
      <c r="D7" s="2" t="s">
        <v>199</v>
      </c>
      <c r="E7" s="2" t="s">
        <v>89</v>
      </c>
      <c r="F7" s="4">
        <v>0.24</v>
      </c>
      <c r="G7" s="5">
        <f>+B7/F7</f>
        <v>80000</v>
      </c>
      <c r="H7" s="2" t="s">
        <v>266</v>
      </c>
      <c r="I7" s="35" t="s">
        <v>276</v>
      </c>
      <c r="J7" s="26"/>
      <c r="K7" s="13">
        <v>28800</v>
      </c>
      <c r="L7" s="2" t="s">
        <v>9</v>
      </c>
      <c r="M7" s="2" t="s">
        <v>199</v>
      </c>
      <c r="N7" s="2" t="s">
        <v>89</v>
      </c>
      <c r="O7" s="4">
        <v>0.24</v>
      </c>
      <c r="P7" s="5">
        <v>120000</v>
      </c>
      <c r="Q7" s="2" t="s">
        <v>266</v>
      </c>
      <c r="R7" s="35" t="s">
        <v>277</v>
      </c>
    </row>
    <row r="8" ht="22.5" spans="1:18">
      <c r="A8" s="26"/>
      <c r="B8" s="58">
        <v>7560.96</v>
      </c>
      <c r="C8" s="59" t="s">
        <v>9</v>
      </c>
      <c r="D8" s="59" t="s">
        <v>199</v>
      </c>
      <c r="E8" s="59" t="s">
        <v>89</v>
      </c>
      <c r="F8" s="60">
        <v>0.24</v>
      </c>
      <c r="G8" s="61">
        <v>31504</v>
      </c>
      <c r="H8" s="59" t="s">
        <v>266</v>
      </c>
      <c r="I8" s="84" t="s">
        <v>278</v>
      </c>
      <c r="J8" s="85"/>
      <c r="K8" s="86"/>
      <c r="L8" s="87"/>
      <c r="M8" s="87"/>
      <c r="N8" s="87"/>
      <c r="O8" s="88"/>
      <c r="P8" s="89"/>
      <c r="Q8" s="87"/>
      <c r="R8" s="91"/>
    </row>
    <row r="9" ht="22.5" spans="1:11">
      <c r="A9" s="2" t="s">
        <v>62</v>
      </c>
      <c r="B9" s="13">
        <v>5040</v>
      </c>
      <c r="C9" s="2" t="s">
        <v>9</v>
      </c>
      <c r="D9" s="2" t="s">
        <v>73</v>
      </c>
      <c r="E9" s="2" t="s">
        <v>89</v>
      </c>
      <c r="F9" s="4">
        <v>0.18</v>
      </c>
      <c r="G9" s="5">
        <v>28000</v>
      </c>
      <c r="H9" s="2" t="s">
        <v>266</v>
      </c>
      <c r="I9" s="35" t="s">
        <v>275</v>
      </c>
      <c r="K9" s="37"/>
    </row>
    <row r="10" ht="22.5" spans="1:10">
      <c r="A10" s="24" t="s">
        <v>279</v>
      </c>
      <c r="B10" s="13">
        <f>+G10*F10</f>
        <v>450</v>
      </c>
      <c r="C10" s="2" t="s">
        <v>9</v>
      </c>
      <c r="D10" s="2" t="s">
        <v>148</v>
      </c>
      <c r="E10" s="2" t="s">
        <v>89</v>
      </c>
      <c r="F10" s="16">
        <v>0.15</v>
      </c>
      <c r="G10" s="5">
        <v>3000</v>
      </c>
      <c r="H10" s="2" t="s">
        <v>250</v>
      </c>
      <c r="I10" s="35" t="s">
        <v>280</v>
      </c>
      <c r="J10" s="90"/>
    </row>
    <row r="11" ht="22.5" spans="1:10">
      <c r="A11" s="25"/>
      <c r="B11" s="13">
        <f>+G11*F11</f>
        <v>95</v>
      </c>
      <c r="C11" s="2" t="s">
        <v>9</v>
      </c>
      <c r="D11" s="2" t="s">
        <v>208</v>
      </c>
      <c r="E11" s="2" t="s">
        <v>89</v>
      </c>
      <c r="F11" s="16">
        <v>0.19</v>
      </c>
      <c r="G11" s="5">
        <v>500</v>
      </c>
      <c r="H11" s="2" t="s">
        <v>250</v>
      </c>
      <c r="I11" s="35" t="s">
        <v>280</v>
      </c>
      <c r="J11" s="90"/>
    </row>
    <row r="12" ht="22.5" spans="1:10">
      <c r="A12" s="26"/>
      <c r="B12" s="13">
        <v>760</v>
      </c>
      <c r="C12" s="2" t="s">
        <v>9</v>
      </c>
      <c r="D12" s="2" t="s">
        <v>208</v>
      </c>
      <c r="E12" s="2" t="s">
        <v>89</v>
      </c>
      <c r="F12" s="16">
        <v>0.19</v>
      </c>
      <c r="G12" s="5">
        <v>4000</v>
      </c>
      <c r="H12" s="2" t="s">
        <v>265</v>
      </c>
      <c r="I12" s="35" t="s">
        <v>280</v>
      </c>
      <c r="J12" s="90"/>
    </row>
  </sheetData>
  <mergeCells count="4">
    <mergeCell ref="A2:A4"/>
    <mergeCell ref="A5:A8"/>
    <mergeCell ref="A10:A12"/>
    <mergeCell ref="J5:J7"/>
  </mergeCells>
  <pageMargins left="0.7" right="0.7" top="0.75" bottom="0.75" header="0.3" footer="0.3"/>
  <pageSetup paperSize="9" orientation="portrait" verticalDpi="18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2" ySplit="1" topLeftCell="C24" activePane="bottomRight" state="frozen"/>
      <selection/>
      <selection pane="topRight"/>
      <selection pane="bottomLeft"/>
      <selection pane="bottomRight" activeCell="E36" sqref="E36"/>
    </sheetView>
  </sheetViews>
  <sheetFormatPr defaultColWidth="9" defaultRowHeight="14.25"/>
  <cols>
    <col min="1" max="1" width="14.125" customWidth="1"/>
    <col min="2" max="2" width="18.25" customWidth="1"/>
    <col min="3" max="4" width="14.125" customWidth="1"/>
    <col min="5" max="5" width="7.75" customWidth="1"/>
    <col min="6" max="6" width="19.375" customWidth="1"/>
    <col min="7" max="7" width="14.125" style="77" customWidth="1"/>
    <col min="8" max="8" width="15.75" customWidth="1"/>
    <col min="9" max="9" width="24.125" customWidth="1"/>
    <col min="11" max="11" width="13" customWidth="1"/>
    <col min="12" max="12" width="11.375" customWidth="1"/>
  </cols>
  <sheetData>
    <row r="1" ht="22.5" spans="1:12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78" t="s">
        <v>6</v>
      </c>
      <c r="H1" s="44" t="s">
        <v>7</v>
      </c>
      <c r="I1" s="75"/>
      <c r="L1" s="65"/>
    </row>
    <row r="2" ht="22.5" spans="1:9">
      <c r="A2" s="24" t="s">
        <v>8</v>
      </c>
      <c r="B2" s="3">
        <v>12300</v>
      </c>
      <c r="C2" s="2" t="s">
        <v>9</v>
      </c>
      <c r="D2" s="2" t="s">
        <v>160</v>
      </c>
      <c r="E2" s="2" t="s">
        <v>89</v>
      </c>
      <c r="F2" s="4">
        <v>0.1</v>
      </c>
      <c r="G2" s="78">
        <v>123000</v>
      </c>
      <c r="H2" s="2" t="s">
        <v>226</v>
      </c>
      <c r="I2" s="2" t="s">
        <v>281</v>
      </c>
    </row>
    <row r="3" ht="22.5" spans="1:9">
      <c r="A3" s="25"/>
      <c r="B3" s="3">
        <v>2940</v>
      </c>
      <c r="C3" s="2" t="s">
        <v>9</v>
      </c>
      <c r="D3" s="2" t="s">
        <v>161</v>
      </c>
      <c r="E3" s="2" t="s">
        <v>89</v>
      </c>
      <c r="F3" s="4">
        <v>0.14</v>
      </c>
      <c r="G3" s="78">
        <v>21000</v>
      </c>
      <c r="H3" s="2" t="s">
        <v>226</v>
      </c>
      <c r="I3" s="2" t="s">
        <v>281</v>
      </c>
    </row>
    <row r="4" ht="22.5" spans="1:9">
      <c r="A4" s="25"/>
      <c r="B4" s="3">
        <v>2340</v>
      </c>
      <c r="C4" s="2" t="s">
        <v>9</v>
      </c>
      <c r="D4" s="2" t="s">
        <v>273</v>
      </c>
      <c r="E4" s="2" t="s">
        <v>89</v>
      </c>
      <c r="F4" s="4">
        <v>0.065</v>
      </c>
      <c r="G4" s="78">
        <v>36000</v>
      </c>
      <c r="H4" s="2" t="s">
        <v>226</v>
      </c>
      <c r="I4" s="2" t="s">
        <v>281</v>
      </c>
    </row>
    <row r="5" ht="22.5" spans="1:11">
      <c r="A5" s="25"/>
      <c r="B5" s="13">
        <v>780</v>
      </c>
      <c r="C5" s="2" t="s">
        <v>9</v>
      </c>
      <c r="D5" s="2" t="s">
        <v>273</v>
      </c>
      <c r="E5" s="2" t="s">
        <v>89</v>
      </c>
      <c r="F5" s="4">
        <v>0.065</v>
      </c>
      <c r="G5" s="78">
        <v>12000</v>
      </c>
      <c r="H5" s="2" t="s">
        <v>266</v>
      </c>
      <c r="I5" s="2" t="s">
        <v>281</v>
      </c>
      <c r="K5" s="37"/>
    </row>
    <row r="6" ht="22.5" spans="1:11">
      <c r="A6" s="25"/>
      <c r="B6" s="13">
        <v>12900</v>
      </c>
      <c r="C6" s="2" t="s">
        <v>9</v>
      </c>
      <c r="D6" s="2" t="s">
        <v>160</v>
      </c>
      <c r="E6" s="2" t="s">
        <v>89</v>
      </c>
      <c r="F6" s="4">
        <v>0.1</v>
      </c>
      <c r="G6" s="78">
        <v>129000</v>
      </c>
      <c r="H6" s="2" t="s">
        <v>266</v>
      </c>
      <c r="I6" s="2" t="s">
        <v>281</v>
      </c>
      <c r="K6" s="37"/>
    </row>
    <row r="7" ht="22.5" spans="1:11">
      <c r="A7" s="25"/>
      <c r="B7" s="13">
        <v>900</v>
      </c>
      <c r="C7" s="2" t="s">
        <v>9</v>
      </c>
      <c r="D7" s="2" t="s">
        <v>173</v>
      </c>
      <c r="E7" s="2" t="s">
        <v>89</v>
      </c>
      <c r="F7" s="4">
        <v>0.1</v>
      </c>
      <c r="G7" s="78">
        <v>9000</v>
      </c>
      <c r="H7" s="2" t="s">
        <v>266</v>
      </c>
      <c r="I7" s="2" t="s">
        <v>281</v>
      </c>
      <c r="K7" s="37"/>
    </row>
    <row r="8" ht="22.5" spans="1:11">
      <c r="A8" s="25"/>
      <c r="B8" s="13">
        <v>24780</v>
      </c>
      <c r="C8" s="2" t="s">
        <v>9</v>
      </c>
      <c r="D8" s="2" t="s">
        <v>161</v>
      </c>
      <c r="E8" s="2" t="s">
        <v>89</v>
      </c>
      <c r="F8" s="4">
        <v>0.14</v>
      </c>
      <c r="G8" s="78">
        <v>177000</v>
      </c>
      <c r="H8" s="2" t="s">
        <v>266</v>
      </c>
      <c r="I8" s="2" t="s">
        <v>281</v>
      </c>
      <c r="K8" s="37"/>
    </row>
    <row r="9" ht="22.5" spans="1:11">
      <c r="A9" s="26"/>
      <c r="B9" s="13">
        <v>31050</v>
      </c>
      <c r="C9" s="2" t="s">
        <v>9</v>
      </c>
      <c r="D9" s="2" t="s">
        <v>162</v>
      </c>
      <c r="E9" s="2" t="s">
        <v>89</v>
      </c>
      <c r="F9" s="4">
        <v>0.15</v>
      </c>
      <c r="G9" s="78">
        <v>207000</v>
      </c>
      <c r="H9" s="2" t="s">
        <v>266</v>
      </c>
      <c r="I9" s="2" t="s">
        <v>281</v>
      </c>
      <c r="K9" s="37"/>
    </row>
    <row r="10" ht="22.5" spans="1:9">
      <c r="A10" s="46" t="s">
        <v>165</v>
      </c>
      <c r="B10" s="45">
        <v>3570</v>
      </c>
      <c r="C10" s="44" t="s">
        <v>9</v>
      </c>
      <c r="D10" s="44" t="s">
        <v>172</v>
      </c>
      <c r="E10" s="44" t="s">
        <v>89</v>
      </c>
      <c r="F10" s="4">
        <v>0.17</v>
      </c>
      <c r="G10" s="78">
        <v>21000</v>
      </c>
      <c r="H10" s="2" t="s">
        <v>226</v>
      </c>
      <c r="I10" s="2" t="s">
        <v>281</v>
      </c>
    </row>
    <row r="11" ht="22.5" spans="1:9">
      <c r="A11" s="47"/>
      <c r="B11" s="45">
        <f>2505+16533+8517</f>
        <v>27555</v>
      </c>
      <c r="C11" s="44" t="s">
        <v>9</v>
      </c>
      <c r="D11" s="44" t="s">
        <v>172</v>
      </c>
      <c r="E11" s="44" t="s">
        <v>89</v>
      </c>
      <c r="F11" s="4">
        <v>0.167</v>
      </c>
      <c r="G11" s="78">
        <v>165000</v>
      </c>
      <c r="H11" s="2" t="s">
        <v>226</v>
      </c>
      <c r="I11" s="2" t="s">
        <v>281</v>
      </c>
    </row>
    <row r="12" ht="22.5" spans="1:9">
      <c r="A12" s="47"/>
      <c r="B12" s="45">
        <f>11100+6660+26640</f>
        <v>44400</v>
      </c>
      <c r="C12" s="44" t="s">
        <v>9</v>
      </c>
      <c r="D12" s="44" t="s">
        <v>92</v>
      </c>
      <c r="E12" s="44" t="s">
        <v>89</v>
      </c>
      <c r="F12" s="4">
        <v>0.222</v>
      </c>
      <c r="G12" s="78">
        <v>200000</v>
      </c>
      <c r="H12" s="2" t="s">
        <v>226</v>
      </c>
      <c r="I12" s="2" t="s">
        <v>281</v>
      </c>
    </row>
    <row r="13" ht="22.5" spans="1:9">
      <c r="A13" s="47"/>
      <c r="B13" s="45">
        <v>41400</v>
      </c>
      <c r="C13" s="44" t="s">
        <v>9</v>
      </c>
      <c r="D13" s="44" t="s">
        <v>199</v>
      </c>
      <c r="E13" s="44" t="s">
        <v>89</v>
      </c>
      <c r="F13" s="4">
        <v>0.23</v>
      </c>
      <c r="G13" s="78">
        <v>180000</v>
      </c>
      <c r="H13" s="2" t="s">
        <v>226</v>
      </c>
      <c r="I13" s="2" t="s">
        <v>281</v>
      </c>
    </row>
    <row r="14" ht="22.5" spans="1:9">
      <c r="A14" s="48"/>
      <c r="B14" s="45">
        <v>57750</v>
      </c>
      <c r="C14" s="44" t="s">
        <v>9</v>
      </c>
      <c r="D14" s="44" t="s">
        <v>211</v>
      </c>
      <c r="E14" s="44" t="s">
        <v>89</v>
      </c>
      <c r="F14" s="4">
        <v>0.275</v>
      </c>
      <c r="G14" s="78">
        <v>210000</v>
      </c>
      <c r="H14" s="2" t="s">
        <v>226</v>
      </c>
      <c r="I14" s="2" t="s">
        <v>281</v>
      </c>
    </row>
    <row r="15" ht="22.5" spans="1:11">
      <c r="A15" s="72" t="s">
        <v>268</v>
      </c>
      <c r="B15" s="13">
        <v>1800</v>
      </c>
      <c r="C15" s="16" t="s">
        <v>9</v>
      </c>
      <c r="D15" s="16" t="s">
        <v>173</v>
      </c>
      <c r="E15" s="16" t="s">
        <v>89</v>
      </c>
      <c r="F15" s="17">
        <v>0.12</v>
      </c>
      <c r="G15" s="79">
        <v>15000</v>
      </c>
      <c r="H15" s="16" t="s">
        <v>266</v>
      </c>
      <c r="I15" s="66" t="s">
        <v>282</v>
      </c>
      <c r="K15" s="37"/>
    </row>
    <row r="16" ht="22.5" spans="1:11">
      <c r="A16" s="73"/>
      <c r="B16" s="13">
        <v>16320</v>
      </c>
      <c r="C16" s="16" t="s">
        <v>9</v>
      </c>
      <c r="D16" s="16" t="s">
        <v>161</v>
      </c>
      <c r="E16" s="16" t="s">
        <v>89</v>
      </c>
      <c r="F16" s="17">
        <v>0.16</v>
      </c>
      <c r="G16" s="79">
        <v>102000</v>
      </c>
      <c r="H16" s="16" t="s">
        <v>266</v>
      </c>
      <c r="I16" s="66" t="s">
        <v>282</v>
      </c>
      <c r="K16" s="37"/>
    </row>
    <row r="17" ht="22.5" spans="1:11">
      <c r="A17" s="74"/>
      <c r="B17" s="13">
        <v>23760</v>
      </c>
      <c r="C17" s="16" t="s">
        <v>9</v>
      </c>
      <c r="D17" s="16" t="s">
        <v>162</v>
      </c>
      <c r="E17" s="16" t="s">
        <v>89</v>
      </c>
      <c r="F17" s="17">
        <v>0.165</v>
      </c>
      <c r="G17" s="79">
        <v>144000</v>
      </c>
      <c r="H17" s="16" t="s">
        <v>266</v>
      </c>
      <c r="I17" s="66" t="s">
        <v>282</v>
      </c>
      <c r="K17" s="37"/>
    </row>
    <row r="18" ht="22.5" spans="1:9">
      <c r="A18" s="44" t="s">
        <v>174</v>
      </c>
      <c r="B18" s="45">
        <v>37440</v>
      </c>
      <c r="C18" s="44" t="s">
        <v>9</v>
      </c>
      <c r="D18" s="44" t="s">
        <v>73</v>
      </c>
      <c r="E18" s="44" t="s">
        <v>89</v>
      </c>
      <c r="F18" s="4">
        <v>0.18</v>
      </c>
      <c r="G18" s="78">
        <v>208000</v>
      </c>
      <c r="H18" s="2" t="s">
        <v>226</v>
      </c>
      <c r="I18" s="2" t="s">
        <v>281</v>
      </c>
    </row>
    <row r="19" ht="22.5" spans="1:9">
      <c r="A19" s="80" t="s">
        <v>75</v>
      </c>
      <c r="B19" s="81">
        <v>1120</v>
      </c>
      <c r="C19" s="82" t="s">
        <v>9</v>
      </c>
      <c r="D19" s="82" t="s">
        <v>283</v>
      </c>
      <c r="E19" s="82" t="s">
        <v>89</v>
      </c>
      <c r="F19" s="17">
        <v>0.32</v>
      </c>
      <c r="G19" s="79">
        <v>3500</v>
      </c>
      <c r="H19" s="16" t="s">
        <v>226</v>
      </c>
      <c r="I19" s="2" t="s">
        <v>284</v>
      </c>
    </row>
    <row r="20" ht="22.5" spans="1:9">
      <c r="A20" s="46" t="s">
        <v>14</v>
      </c>
      <c r="B20" s="45">
        <v>35175</v>
      </c>
      <c r="C20" s="44" t="s">
        <v>9</v>
      </c>
      <c r="D20" s="44" t="s">
        <v>53</v>
      </c>
      <c r="E20" s="44" t="s">
        <v>89</v>
      </c>
      <c r="F20" s="4">
        <v>0.175</v>
      </c>
      <c r="G20" s="78">
        <v>201000</v>
      </c>
      <c r="H20" s="2" t="s">
        <v>226</v>
      </c>
      <c r="I20" s="2" t="s">
        <v>281</v>
      </c>
    </row>
    <row r="21" ht="22.5" spans="1:9">
      <c r="A21" s="48"/>
      <c r="B21" s="45">
        <v>15000</v>
      </c>
      <c r="C21" s="44" t="s">
        <v>9</v>
      </c>
      <c r="D21" s="44" t="s">
        <v>73</v>
      </c>
      <c r="E21" s="44" t="s">
        <v>89</v>
      </c>
      <c r="F21" s="4">
        <v>0.15</v>
      </c>
      <c r="G21" s="78">
        <v>100000</v>
      </c>
      <c r="H21" s="2" t="s">
        <v>226</v>
      </c>
      <c r="I21" s="2" t="s">
        <v>281</v>
      </c>
    </row>
    <row r="22" ht="22.5" spans="1:9">
      <c r="A22" s="44" t="s">
        <v>80</v>
      </c>
      <c r="B22" s="45">
        <v>59850</v>
      </c>
      <c r="C22" s="44" t="s">
        <v>9</v>
      </c>
      <c r="D22" s="44" t="s">
        <v>211</v>
      </c>
      <c r="E22" s="44" t="s">
        <v>89</v>
      </c>
      <c r="F22" s="4">
        <v>0.285</v>
      </c>
      <c r="G22" s="78">
        <v>210000</v>
      </c>
      <c r="H22" s="2" t="s">
        <v>226</v>
      </c>
      <c r="I22" s="2" t="s">
        <v>281</v>
      </c>
    </row>
    <row r="23" ht="22.5" spans="1:9">
      <c r="A23" s="46" t="s">
        <v>207</v>
      </c>
      <c r="B23" s="45">
        <v>840</v>
      </c>
      <c r="C23" s="44" t="s">
        <v>9</v>
      </c>
      <c r="D23" s="44" t="s">
        <v>146</v>
      </c>
      <c r="E23" s="44" t="s">
        <v>89</v>
      </c>
      <c r="F23" s="4">
        <v>0.21</v>
      </c>
      <c r="G23" s="78">
        <v>4000</v>
      </c>
      <c r="H23" s="2" t="s">
        <v>226</v>
      </c>
      <c r="I23" s="2" t="s">
        <v>281</v>
      </c>
    </row>
    <row r="24" ht="22.5" spans="1:11">
      <c r="A24" s="48"/>
      <c r="B24" s="7">
        <v>840</v>
      </c>
      <c r="C24" s="20" t="s">
        <v>9</v>
      </c>
      <c r="D24" s="20" t="s">
        <v>146</v>
      </c>
      <c r="E24" s="20" t="s">
        <v>89</v>
      </c>
      <c r="F24" s="21">
        <v>0.21</v>
      </c>
      <c r="G24" s="83">
        <v>4000</v>
      </c>
      <c r="H24" s="20" t="s">
        <v>266</v>
      </c>
      <c r="I24" s="2" t="s">
        <v>281</v>
      </c>
      <c r="K24" s="37"/>
    </row>
    <row r="25" s="1" customFormat="1" ht="22.5" spans="1:11">
      <c r="A25" s="26" t="s">
        <v>72</v>
      </c>
      <c r="B25" s="13">
        <v>36000</v>
      </c>
      <c r="C25" s="2" t="s">
        <v>9</v>
      </c>
      <c r="D25" s="2" t="s">
        <v>73</v>
      </c>
      <c r="E25" s="2" t="s">
        <v>89</v>
      </c>
      <c r="F25" s="4">
        <v>0.18</v>
      </c>
      <c r="G25" s="78">
        <v>200000</v>
      </c>
      <c r="H25" s="2" t="s">
        <v>226</v>
      </c>
      <c r="I25" s="2" t="s">
        <v>281</v>
      </c>
      <c r="K25" s="28"/>
    </row>
  </sheetData>
  <mergeCells count="5">
    <mergeCell ref="A2:A9"/>
    <mergeCell ref="A10:A14"/>
    <mergeCell ref="A15:A17"/>
    <mergeCell ref="A20:A21"/>
    <mergeCell ref="A23:A24"/>
  </mergeCells>
  <pageMargins left="0.7" right="0.7" top="0.75" bottom="0.75" header="0.3" footer="0.3"/>
  <pageSetup paperSize="9" orientation="portrait" verticalDpi="18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opLeftCell="A7" workbookViewId="0">
      <selection activeCell="A1" sqref="A1:I1"/>
    </sheetView>
  </sheetViews>
  <sheetFormatPr defaultColWidth="9" defaultRowHeight="14.25"/>
  <cols>
    <col min="1" max="1" width="16.75" customWidth="1"/>
    <col min="2" max="2" width="20.125" customWidth="1"/>
    <col min="3" max="3" width="14.125" customWidth="1"/>
    <col min="4" max="6" width="12.5" customWidth="1"/>
    <col min="7" max="7" width="17.375" customWidth="1"/>
    <col min="8" max="8" width="15.75" customWidth="1"/>
    <col min="9" max="9" width="27.75" customWidth="1"/>
    <col min="12" max="12" width="11" customWidth="1"/>
  </cols>
  <sheetData>
    <row r="1" ht="22.5" spans="1:12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I1" s="75"/>
      <c r="L1" s="65"/>
    </row>
    <row r="2" ht="22.5" spans="1:9">
      <c r="A2" s="20" t="s">
        <v>285</v>
      </c>
      <c r="B2" s="7">
        <v>1184</v>
      </c>
      <c r="C2" s="20" t="s">
        <v>9</v>
      </c>
      <c r="D2" s="20" t="s">
        <v>73</v>
      </c>
      <c r="E2" s="20" t="s">
        <v>89</v>
      </c>
      <c r="F2" s="21">
        <v>0.148</v>
      </c>
      <c r="G2" s="22">
        <v>8000</v>
      </c>
      <c r="H2" s="20" t="s">
        <v>215</v>
      </c>
      <c r="I2" s="20" t="s">
        <v>286</v>
      </c>
    </row>
    <row r="3" ht="22.5" spans="1:9">
      <c r="A3" s="20" t="s">
        <v>245</v>
      </c>
      <c r="B3" s="7">
        <v>5670</v>
      </c>
      <c r="C3" s="20" t="s">
        <v>9</v>
      </c>
      <c r="D3" s="20" t="s">
        <v>146</v>
      </c>
      <c r="E3" s="20" t="s">
        <v>89</v>
      </c>
      <c r="F3" s="21">
        <v>0.21</v>
      </c>
      <c r="G3" s="22">
        <v>27000</v>
      </c>
      <c r="H3" s="20" t="s">
        <v>215</v>
      </c>
      <c r="I3" s="20" t="s">
        <v>287</v>
      </c>
    </row>
    <row r="4" ht="22.5" spans="1:9">
      <c r="A4" s="67" t="s">
        <v>165</v>
      </c>
      <c r="B4" s="7">
        <v>11100</v>
      </c>
      <c r="C4" s="20" t="s">
        <v>9</v>
      </c>
      <c r="D4" s="20" t="s">
        <v>92</v>
      </c>
      <c r="E4" s="20" t="s">
        <v>89</v>
      </c>
      <c r="F4" s="21">
        <v>0.222</v>
      </c>
      <c r="G4" s="22">
        <v>50000</v>
      </c>
      <c r="H4" s="20" t="s">
        <v>215</v>
      </c>
      <c r="I4" s="20" t="s">
        <v>288</v>
      </c>
    </row>
    <row r="5" ht="22.5" spans="1:9">
      <c r="A5" s="68"/>
      <c r="B5" s="7">
        <f>8160+9600</f>
        <v>17760</v>
      </c>
      <c r="C5" s="20" t="s">
        <v>9</v>
      </c>
      <c r="D5" s="20" t="s">
        <v>172</v>
      </c>
      <c r="E5" s="20" t="s">
        <v>89</v>
      </c>
      <c r="F5" s="21">
        <v>0.16</v>
      </c>
      <c r="G5" s="22">
        <v>111000</v>
      </c>
      <c r="H5" s="20" t="s">
        <v>215</v>
      </c>
      <c r="I5" s="20" t="s">
        <v>288</v>
      </c>
    </row>
    <row r="6" ht="22.5" spans="1:9">
      <c r="A6" s="69"/>
      <c r="B6" s="7">
        <v>11550</v>
      </c>
      <c r="C6" s="20" t="s">
        <v>9</v>
      </c>
      <c r="D6" s="20" t="s">
        <v>92</v>
      </c>
      <c r="E6" s="20" t="s">
        <v>89</v>
      </c>
      <c r="F6" s="21">
        <v>0.21</v>
      </c>
      <c r="G6" s="22">
        <v>55000</v>
      </c>
      <c r="H6" s="20" t="s">
        <v>215</v>
      </c>
      <c r="I6" s="20" t="s">
        <v>288</v>
      </c>
    </row>
    <row r="7" ht="22.5" spans="1:9">
      <c r="A7" s="67" t="s">
        <v>14</v>
      </c>
      <c r="B7" s="7">
        <f>84000+15750+35175+70350+18550+19425+350</f>
        <v>243600</v>
      </c>
      <c r="C7" s="20" t="s">
        <v>9</v>
      </c>
      <c r="D7" s="20" t="s">
        <v>53</v>
      </c>
      <c r="E7" s="20" t="s">
        <v>89</v>
      </c>
      <c r="F7" s="21">
        <v>0.175</v>
      </c>
      <c r="G7" s="22">
        <f>480000+90000+201000+402000+106000+111000+2000</f>
        <v>1392000</v>
      </c>
      <c r="H7" s="20" t="s">
        <v>215</v>
      </c>
      <c r="I7" s="20" t="s">
        <v>288</v>
      </c>
    </row>
    <row r="8" ht="22.5" spans="1:9">
      <c r="A8" s="69"/>
      <c r="B8" s="7">
        <f>5220+12760</f>
        <v>17980</v>
      </c>
      <c r="C8" s="20" t="s">
        <v>9</v>
      </c>
      <c r="D8" s="20" t="s">
        <v>73</v>
      </c>
      <c r="E8" s="20" t="s">
        <v>89</v>
      </c>
      <c r="F8" s="21">
        <v>0.145</v>
      </c>
      <c r="G8" s="22">
        <f>36000+88000</f>
        <v>124000</v>
      </c>
      <c r="H8" s="20" t="s">
        <v>215</v>
      </c>
      <c r="I8" s="20" t="s">
        <v>288</v>
      </c>
    </row>
    <row r="9" ht="22.5" spans="1:9">
      <c r="A9" s="70" t="s">
        <v>77</v>
      </c>
      <c r="B9" s="7">
        <v>10260</v>
      </c>
      <c r="C9" s="71" t="s">
        <v>9</v>
      </c>
      <c r="D9" s="8" t="s">
        <v>91</v>
      </c>
      <c r="E9" s="8" t="s">
        <v>89</v>
      </c>
      <c r="F9" s="9">
        <v>0.285</v>
      </c>
      <c r="G9" s="10">
        <v>36000</v>
      </c>
      <c r="H9" s="8" t="s">
        <v>266</v>
      </c>
      <c r="I9" s="76" t="s">
        <v>287</v>
      </c>
    </row>
    <row r="10" ht="22.5" spans="1:9">
      <c r="A10" s="72" t="s">
        <v>268</v>
      </c>
      <c r="B10" s="7">
        <f>360+360+1080+3600+3600</f>
        <v>9000</v>
      </c>
      <c r="C10" s="8" t="s">
        <v>9</v>
      </c>
      <c r="D10" s="8" t="s">
        <v>173</v>
      </c>
      <c r="E10" s="8" t="s">
        <v>89</v>
      </c>
      <c r="F10" s="9">
        <v>0.12</v>
      </c>
      <c r="G10" s="10">
        <f>+B10/F10</f>
        <v>75000</v>
      </c>
      <c r="H10" s="8" t="s">
        <v>226</v>
      </c>
      <c r="I10" s="8" t="s">
        <v>288</v>
      </c>
    </row>
    <row r="11" ht="22.5" spans="1:9">
      <c r="A11" s="73"/>
      <c r="B11" s="7">
        <f>480+2880+3360+960</f>
        <v>7680</v>
      </c>
      <c r="C11" s="8" t="s">
        <v>9</v>
      </c>
      <c r="D11" s="8" t="s">
        <v>161</v>
      </c>
      <c r="E11" s="8" t="s">
        <v>89</v>
      </c>
      <c r="F11" s="9">
        <v>0.16</v>
      </c>
      <c r="G11" s="10">
        <f>+B11/F11</f>
        <v>48000</v>
      </c>
      <c r="H11" s="8" t="s">
        <v>226</v>
      </c>
      <c r="I11" s="8" t="s">
        <v>288</v>
      </c>
    </row>
    <row r="12" ht="22.5" spans="1:9">
      <c r="A12" s="73"/>
      <c r="B12" s="7">
        <f>4050+3150+1800+4500+4500+4500</f>
        <v>22500</v>
      </c>
      <c r="C12" s="8" t="s">
        <v>9</v>
      </c>
      <c r="D12" s="8" t="s">
        <v>161</v>
      </c>
      <c r="E12" s="8" t="s">
        <v>89</v>
      </c>
      <c r="F12" s="9">
        <v>0.15</v>
      </c>
      <c r="G12" s="10">
        <f>+B12/F12</f>
        <v>150000</v>
      </c>
      <c r="H12" s="8" t="s">
        <v>226</v>
      </c>
      <c r="I12" s="8" t="s">
        <v>288</v>
      </c>
    </row>
    <row r="13" ht="22.5" spans="1:9">
      <c r="A13" s="74"/>
      <c r="B13" s="7">
        <f>495+3465+4950+4455+3465+495+990+4950+4950+4950</f>
        <v>33165</v>
      </c>
      <c r="C13" s="8" t="s">
        <v>9</v>
      </c>
      <c r="D13" s="8" t="s">
        <v>162</v>
      </c>
      <c r="E13" s="8" t="s">
        <v>89</v>
      </c>
      <c r="F13" s="9">
        <v>0.165</v>
      </c>
      <c r="G13" s="10">
        <f>+B13/F13</f>
        <v>201000</v>
      </c>
      <c r="H13" s="8" t="s">
        <v>226</v>
      </c>
      <c r="I13" s="8" t="s">
        <v>288</v>
      </c>
    </row>
    <row r="14" ht="22.5" spans="1:9">
      <c r="A14" s="72" t="s">
        <v>75</v>
      </c>
      <c r="B14" s="7">
        <v>2560</v>
      </c>
      <c r="C14" s="8" t="s">
        <v>9</v>
      </c>
      <c r="D14" s="8" t="s">
        <v>283</v>
      </c>
      <c r="E14" s="8" t="s">
        <v>89</v>
      </c>
      <c r="F14" s="9">
        <v>0.32</v>
      </c>
      <c r="G14" s="10">
        <v>8000</v>
      </c>
      <c r="H14" s="8" t="s">
        <v>215</v>
      </c>
      <c r="I14" s="8" t="s">
        <v>287</v>
      </c>
    </row>
    <row r="15" ht="22.5" spans="1:9">
      <c r="A15" s="73"/>
      <c r="B15" s="7">
        <f>840+840</f>
        <v>1680</v>
      </c>
      <c r="C15" s="8" t="s">
        <v>9</v>
      </c>
      <c r="D15" s="8" t="s">
        <v>79</v>
      </c>
      <c r="E15" s="8" t="s">
        <v>89</v>
      </c>
      <c r="F15" s="9">
        <v>0.21</v>
      </c>
      <c r="G15" s="10">
        <v>8000</v>
      </c>
      <c r="H15" s="8" t="s">
        <v>215</v>
      </c>
      <c r="I15" s="8" t="s">
        <v>287</v>
      </c>
    </row>
    <row r="16" ht="22.5" spans="1:9">
      <c r="A16" s="73"/>
      <c r="B16" s="7">
        <v>1425</v>
      </c>
      <c r="C16" s="8" t="s">
        <v>9</v>
      </c>
      <c r="D16" s="8" t="s">
        <v>160</v>
      </c>
      <c r="E16" s="8" t="s">
        <v>89</v>
      </c>
      <c r="F16" s="9">
        <v>0.095</v>
      </c>
      <c r="G16" s="10">
        <f>+B16/F16</f>
        <v>15000</v>
      </c>
      <c r="H16" s="8" t="s">
        <v>226</v>
      </c>
      <c r="I16" s="8" t="s">
        <v>287</v>
      </c>
    </row>
    <row r="17" ht="22.5" spans="1:9">
      <c r="A17" s="73"/>
      <c r="B17" s="7">
        <v>900</v>
      </c>
      <c r="C17" s="8" t="s">
        <v>9</v>
      </c>
      <c r="D17" s="8" t="s">
        <v>173</v>
      </c>
      <c r="E17" s="8" t="s">
        <v>89</v>
      </c>
      <c r="F17" s="9">
        <v>0.1</v>
      </c>
      <c r="G17" s="10">
        <f>+B17/F17</f>
        <v>9000</v>
      </c>
      <c r="H17" s="8" t="s">
        <v>226</v>
      </c>
      <c r="I17" s="8" t="s">
        <v>287</v>
      </c>
    </row>
    <row r="18" ht="22.5" spans="1:9">
      <c r="A18" s="73"/>
      <c r="B18" s="7">
        <v>3900</v>
      </c>
      <c r="C18" s="8" t="s">
        <v>9</v>
      </c>
      <c r="D18" s="8" t="s">
        <v>161</v>
      </c>
      <c r="E18" s="8" t="s">
        <v>89</v>
      </c>
      <c r="F18" s="9">
        <v>0.13</v>
      </c>
      <c r="G18" s="10">
        <v>30000</v>
      </c>
      <c r="H18" s="8" t="s">
        <v>266</v>
      </c>
      <c r="I18" s="8" t="s">
        <v>287</v>
      </c>
    </row>
    <row r="19" ht="22.5" spans="1:9">
      <c r="A19" s="73"/>
      <c r="B19" s="7">
        <v>4200</v>
      </c>
      <c r="C19" s="8" t="s">
        <v>9</v>
      </c>
      <c r="D19" s="8" t="s">
        <v>162</v>
      </c>
      <c r="E19" s="8" t="s">
        <v>89</v>
      </c>
      <c r="F19" s="9">
        <v>0.14</v>
      </c>
      <c r="G19" s="10">
        <v>30000</v>
      </c>
      <c r="H19" s="8" t="s">
        <v>266</v>
      </c>
      <c r="I19" s="8" t="s">
        <v>287</v>
      </c>
    </row>
    <row r="20" ht="22.5" spans="1:9">
      <c r="A20" s="73"/>
      <c r="B20" s="7">
        <v>2100</v>
      </c>
      <c r="C20" s="8" t="s">
        <v>9</v>
      </c>
      <c r="D20" s="8" t="s">
        <v>173</v>
      </c>
      <c r="E20" s="8" t="s">
        <v>89</v>
      </c>
      <c r="F20" s="9">
        <v>0.1</v>
      </c>
      <c r="G20" s="10">
        <v>21000</v>
      </c>
      <c r="H20" s="8" t="s">
        <v>266</v>
      </c>
      <c r="I20" s="8" t="s">
        <v>287</v>
      </c>
    </row>
    <row r="21" ht="22.5" spans="1:9">
      <c r="A21" s="74"/>
      <c r="B21" s="7">
        <v>1710</v>
      </c>
      <c r="C21" s="8" t="s">
        <v>9</v>
      </c>
      <c r="D21" s="8" t="s">
        <v>160</v>
      </c>
      <c r="E21" s="8" t="s">
        <v>89</v>
      </c>
      <c r="F21" s="9">
        <v>0.095</v>
      </c>
      <c r="G21" s="10">
        <v>18000</v>
      </c>
      <c r="H21" s="8" t="s">
        <v>266</v>
      </c>
      <c r="I21" s="8" t="s">
        <v>287</v>
      </c>
    </row>
    <row r="22" s="1" customFormat="1" ht="22.5" spans="1:9">
      <c r="A22" s="69" t="s">
        <v>186</v>
      </c>
      <c r="B22" s="7">
        <v>2040</v>
      </c>
      <c r="C22" s="20" t="s">
        <v>9</v>
      </c>
      <c r="D22" s="20" t="s">
        <v>172</v>
      </c>
      <c r="E22" s="20" t="s">
        <v>89</v>
      </c>
      <c r="F22" s="21">
        <v>0.17</v>
      </c>
      <c r="G22" s="22">
        <f>+B22/F22</f>
        <v>12000</v>
      </c>
      <c r="H22" s="20" t="s">
        <v>226</v>
      </c>
      <c r="I22" s="76" t="s">
        <v>288</v>
      </c>
    </row>
    <row r="23" ht="22.5" spans="1:9">
      <c r="A23" s="20" t="s">
        <v>289</v>
      </c>
      <c r="B23" s="7">
        <v>4845</v>
      </c>
      <c r="C23" s="20" t="s">
        <v>9</v>
      </c>
      <c r="D23" s="20" t="s">
        <v>160</v>
      </c>
      <c r="E23" s="20" t="s">
        <v>89</v>
      </c>
      <c r="F23" s="21">
        <v>0.095</v>
      </c>
      <c r="G23" s="22">
        <v>51000</v>
      </c>
      <c r="H23" s="20" t="s">
        <v>266</v>
      </c>
      <c r="I23" s="76" t="s">
        <v>287</v>
      </c>
    </row>
    <row r="24" spans="9:10">
      <c r="I24" s="40" t="s">
        <v>28</v>
      </c>
      <c r="J24" s="41">
        <v>32400</v>
      </c>
    </row>
    <row r="25" spans="9:10">
      <c r="I25" s="40" t="s">
        <v>31</v>
      </c>
      <c r="J25" s="41">
        <v>111900</v>
      </c>
    </row>
    <row r="26" spans="9:10">
      <c r="I26" s="40" t="s">
        <v>32</v>
      </c>
      <c r="J26" s="41">
        <v>135939</v>
      </c>
    </row>
    <row r="27" spans="9:10">
      <c r="I27" s="40" t="s">
        <v>140</v>
      </c>
      <c r="J27" s="41">
        <v>186045</v>
      </c>
    </row>
    <row r="28" spans="9:10">
      <c r="I28" s="40" t="s">
        <v>142</v>
      </c>
      <c r="J28" s="41">
        <v>133782.6</v>
      </c>
    </row>
    <row r="29" spans="9:10">
      <c r="I29" s="42">
        <v>42736</v>
      </c>
      <c r="J29" s="41">
        <v>117630</v>
      </c>
    </row>
    <row r="30" spans="9:10">
      <c r="I30" s="40" t="s">
        <v>60</v>
      </c>
      <c r="J30" s="41">
        <v>56680</v>
      </c>
    </row>
    <row r="31" spans="9:10">
      <c r="I31" s="41" t="s">
        <v>58</v>
      </c>
      <c r="J31" s="43">
        <v>172605</v>
      </c>
    </row>
    <row r="32" spans="9:10">
      <c r="I32" s="41" t="s">
        <v>22</v>
      </c>
      <c r="J32" s="41">
        <v>224673</v>
      </c>
    </row>
    <row r="33" spans="9:10">
      <c r="I33" s="41" t="s">
        <v>24</v>
      </c>
      <c r="J33" s="41">
        <v>313761</v>
      </c>
    </row>
    <row r="34" spans="9:10">
      <c r="I34" s="41" t="s">
        <v>25</v>
      </c>
      <c r="J34" s="41">
        <v>561401.3</v>
      </c>
    </row>
    <row r="35" spans="9:10">
      <c r="I35" s="40" t="s">
        <v>28</v>
      </c>
      <c r="J35" s="41">
        <v>489075.24</v>
      </c>
    </row>
    <row r="36" spans="9:10">
      <c r="I36" s="40" t="s">
        <v>143</v>
      </c>
      <c r="J36" s="41">
        <v>1072775.15</v>
      </c>
    </row>
    <row r="37" spans="9:10">
      <c r="I37" s="41" t="s">
        <v>32</v>
      </c>
      <c r="J37" s="41">
        <v>1546532.63</v>
      </c>
    </row>
    <row r="38" spans="9:10">
      <c r="I38" s="41" t="s">
        <v>37</v>
      </c>
      <c r="J38" s="41">
        <v>1206965.46</v>
      </c>
    </row>
    <row r="39" spans="9:10">
      <c r="I39" s="41" t="s">
        <v>40</v>
      </c>
      <c r="J39" s="41">
        <v>1164153.55</v>
      </c>
    </row>
    <row r="40" spans="9:10">
      <c r="I40" s="41" t="s">
        <v>44</v>
      </c>
      <c r="J40" s="41">
        <v>1283006.2</v>
      </c>
    </row>
    <row r="41" spans="9:10">
      <c r="I41" s="42">
        <v>43101</v>
      </c>
      <c r="J41" s="41">
        <v>1552959</v>
      </c>
    </row>
    <row r="42" spans="9:10">
      <c r="I42" s="42">
        <v>43132</v>
      </c>
      <c r="J42" s="41">
        <v>573933.88</v>
      </c>
    </row>
    <row r="43" spans="9:10">
      <c r="I43" s="42">
        <v>43160</v>
      </c>
      <c r="J43" s="41">
        <v>725630.05</v>
      </c>
    </row>
    <row r="44" spans="9:10">
      <c r="I44" s="42">
        <v>43191</v>
      </c>
      <c r="J44" s="41">
        <v>998002.8</v>
      </c>
    </row>
    <row r="45" spans="9:10">
      <c r="I45" s="42">
        <v>43221</v>
      </c>
      <c r="J45" s="41">
        <v>1635478</v>
      </c>
    </row>
    <row r="46" spans="9:10">
      <c r="I46" s="42">
        <v>43252</v>
      </c>
      <c r="J46" s="43">
        <v>845035</v>
      </c>
    </row>
    <row r="47" spans="9:10">
      <c r="I47" s="42">
        <v>43282</v>
      </c>
      <c r="J47" s="43">
        <v>740330</v>
      </c>
    </row>
    <row r="48" spans="9:10">
      <c r="I48" s="42">
        <v>43313</v>
      </c>
      <c r="J48" s="43">
        <v>1048786.43</v>
      </c>
    </row>
    <row r="49" spans="9:10">
      <c r="I49" s="42">
        <v>43344</v>
      </c>
      <c r="J49" s="43">
        <v>900195</v>
      </c>
    </row>
    <row r="50" spans="9:10">
      <c r="I50" s="42">
        <v>43374</v>
      </c>
      <c r="J50" s="43">
        <v>443233</v>
      </c>
    </row>
    <row r="51" spans="9:10">
      <c r="I51" s="42">
        <v>43405</v>
      </c>
      <c r="J51" s="43">
        <v>889775</v>
      </c>
    </row>
    <row r="52" spans="9:10">
      <c r="I52" s="42">
        <v>43435</v>
      </c>
      <c r="J52" s="43">
        <v>339620</v>
      </c>
    </row>
    <row r="53" spans="9:10">
      <c r="I53" s="42">
        <v>43466</v>
      </c>
      <c r="J53" s="43">
        <v>250700</v>
      </c>
    </row>
    <row r="54" spans="9:10">
      <c r="I54" s="42">
        <v>43497</v>
      </c>
      <c r="J54" s="43">
        <v>601259.44</v>
      </c>
    </row>
    <row r="55" spans="9:10">
      <c r="I55" s="42">
        <v>43525</v>
      </c>
      <c r="J55" s="43">
        <v>317725.96</v>
      </c>
    </row>
    <row r="56" spans="9:10">
      <c r="I56" s="42">
        <v>43556</v>
      </c>
      <c r="J56" s="43">
        <v>490810</v>
      </c>
    </row>
    <row r="57" spans="9:10">
      <c r="I57" s="42">
        <v>43586</v>
      </c>
      <c r="J57" s="43">
        <v>416809</v>
      </c>
    </row>
  </sheetData>
  <mergeCells count="4">
    <mergeCell ref="A4:A6"/>
    <mergeCell ref="A7:A8"/>
    <mergeCell ref="A10:A13"/>
    <mergeCell ref="A14:A21"/>
  </mergeCells>
  <pageMargins left="0.7" right="0.7" top="0.75" bottom="0.75" header="0.3" footer="0.3"/>
  <pageSetup paperSize="9" orientation="portrait" verticalDpi="18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workbookViewId="0">
      <selection activeCell="L1" sqref="L1"/>
    </sheetView>
  </sheetViews>
  <sheetFormatPr defaultColWidth="9" defaultRowHeight="14.25"/>
  <cols>
    <col min="1" max="1" width="15.625" style="1" customWidth="1"/>
    <col min="2" max="2" width="19.125" style="1" customWidth="1"/>
    <col min="3" max="3" width="14.625" style="1" customWidth="1"/>
    <col min="4" max="5" width="12.75" style="1" customWidth="1"/>
    <col min="6" max="6" width="20.75" style="1" customWidth="1"/>
    <col min="7" max="7" width="14.125" style="1" customWidth="1"/>
    <col min="8" max="8" width="15.75" style="1" customWidth="1"/>
    <col min="9" max="9" width="54.125" style="1" customWidth="1"/>
    <col min="10" max="10" width="15.75" style="1" customWidth="1"/>
    <col min="11" max="11" width="14.125" style="1" customWidth="1"/>
    <col min="12" max="12" width="11.625" style="1" customWidth="1"/>
    <col min="13" max="13" width="7.5" style="1" customWidth="1"/>
    <col min="14" max="14" width="10.75" style="1" customWidth="1"/>
    <col min="15" max="15" width="12.5" style="1" customWidth="1"/>
    <col min="16" max="16" width="15.75" style="1" customWidth="1"/>
    <col min="17" max="16384" width="9" style="1"/>
  </cols>
  <sheetData>
    <row r="1" ht="22.5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56"/>
      <c r="L1" s="65"/>
    </row>
    <row r="2" ht="22.5" spans="1:11">
      <c r="A2" s="24" t="s">
        <v>165</v>
      </c>
      <c r="B2" s="13">
        <f>8160+8160</f>
        <v>16320</v>
      </c>
      <c r="C2" s="2" t="s">
        <v>9</v>
      </c>
      <c r="D2" s="2" t="s">
        <v>172</v>
      </c>
      <c r="E2" s="2" t="s">
        <v>89</v>
      </c>
      <c r="F2" s="4">
        <v>0.16</v>
      </c>
      <c r="G2" s="5">
        <f>51000+51000</f>
        <v>102000</v>
      </c>
      <c r="H2" s="2" t="s">
        <v>224</v>
      </c>
      <c r="I2" s="2" t="s">
        <v>290</v>
      </c>
      <c r="K2" s="28"/>
    </row>
    <row r="3" ht="22.5" spans="1:11">
      <c r="A3" s="25"/>
      <c r="B3" s="13">
        <v>14700</v>
      </c>
      <c r="C3" s="2" t="s">
        <v>9</v>
      </c>
      <c r="D3" s="2" t="s">
        <v>92</v>
      </c>
      <c r="E3" s="2" t="s">
        <v>89</v>
      </c>
      <c r="F3" s="4">
        <v>0.21</v>
      </c>
      <c r="G3" s="5">
        <v>70000</v>
      </c>
      <c r="H3" s="2" t="s">
        <v>224</v>
      </c>
      <c r="I3" s="2" t="s">
        <v>290</v>
      </c>
      <c r="K3" s="28"/>
    </row>
    <row r="4" ht="22.5" spans="1:11">
      <c r="A4" s="25"/>
      <c r="B4" s="13">
        <f>15345+7905</f>
        <v>23250</v>
      </c>
      <c r="C4" s="2" t="s">
        <v>9</v>
      </c>
      <c r="D4" s="2" t="s">
        <v>172</v>
      </c>
      <c r="E4" s="2" t="s">
        <v>89</v>
      </c>
      <c r="F4" s="4">
        <v>0.155</v>
      </c>
      <c r="G4" s="5">
        <f>99000+51000</f>
        <v>150000</v>
      </c>
      <c r="H4" s="2" t="s">
        <v>224</v>
      </c>
      <c r="I4" s="2" t="s">
        <v>290</v>
      </c>
      <c r="K4" s="28"/>
    </row>
    <row r="5" ht="22.5" spans="1:11">
      <c r="A5" s="26"/>
      <c r="B5" s="13">
        <v>10000</v>
      </c>
      <c r="C5" s="2" t="s">
        <v>9</v>
      </c>
      <c r="D5" s="2" t="s">
        <v>92</v>
      </c>
      <c r="E5" s="2" t="s">
        <v>89</v>
      </c>
      <c r="F5" s="4">
        <v>0.2</v>
      </c>
      <c r="G5" s="5">
        <v>50000</v>
      </c>
      <c r="H5" s="2" t="s">
        <v>224</v>
      </c>
      <c r="I5" s="2" t="s">
        <v>290</v>
      </c>
      <c r="K5" s="28"/>
    </row>
    <row r="6" ht="22.5" spans="1:11">
      <c r="A6" s="24" t="s">
        <v>77</v>
      </c>
      <c r="B6" s="13">
        <v>51000</v>
      </c>
      <c r="C6" s="2" t="s">
        <v>9</v>
      </c>
      <c r="D6" s="2" t="s">
        <v>92</v>
      </c>
      <c r="E6" s="2" t="s">
        <v>89</v>
      </c>
      <c r="F6" s="4">
        <v>0.17</v>
      </c>
      <c r="G6" s="5">
        <v>300000</v>
      </c>
      <c r="H6" s="2" t="s">
        <v>215</v>
      </c>
      <c r="I6" s="2" t="s">
        <v>290</v>
      </c>
      <c r="K6" s="28"/>
    </row>
    <row r="7" ht="22.5" spans="1:11">
      <c r="A7" s="25"/>
      <c r="B7" s="13">
        <f>4240+15900</f>
        <v>20140</v>
      </c>
      <c r="C7" s="57" t="s">
        <v>9</v>
      </c>
      <c r="D7" s="16" t="s">
        <v>91</v>
      </c>
      <c r="E7" s="16" t="s">
        <v>89</v>
      </c>
      <c r="F7" s="17">
        <v>0.265</v>
      </c>
      <c r="G7" s="18">
        <f>+B7/F7</f>
        <v>76000</v>
      </c>
      <c r="H7" s="16" t="s">
        <v>226</v>
      </c>
      <c r="I7" s="2" t="s">
        <v>290</v>
      </c>
      <c r="K7" s="28"/>
    </row>
    <row r="8" ht="22.5" spans="1:11">
      <c r="A8" s="26"/>
      <c r="B8" s="13">
        <f>51000+34000+22100+51000</f>
        <v>158100</v>
      </c>
      <c r="C8" s="57" t="s">
        <v>9</v>
      </c>
      <c r="D8" s="16" t="s">
        <v>92</v>
      </c>
      <c r="E8" s="16" t="s">
        <v>89</v>
      </c>
      <c r="F8" s="17">
        <v>0.17</v>
      </c>
      <c r="G8" s="18">
        <f>+B8/F8</f>
        <v>930000</v>
      </c>
      <c r="H8" s="16" t="s">
        <v>226</v>
      </c>
      <c r="I8" s="2" t="s">
        <v>290</v>
      </c>
      <c r="K8" s="28"/>
    </row>
    <row r="9" ht="22.5" spans="1:17">
      <c r="A9" s="24" t="s">
        <v>186</v>
      </c>
      <c r="B9" s="58">
        <f>+F9*G9</f>
        <v>2430</v>
      </c>
      <c r="C9" s="59" t="s">
        <v>9</v>
      </c>
      <c r="D9" s="59" t="s">
        <v>172</v>
      </c>
      <c r="E9" s="59" t="s">
        <v>89</v>
      </c>
      <c r="F9" s="60">
        <v>0.162</v>
      </c>
      <c r="G9" s="61">
        <f>6000+9000</f>
        <v>15000</v>
      </c>
      <c r="H9" s="59" t="s">
        <v>224</v>
      </c>
      <c r="I9" s="59" t="s">
        <v>291</v>
      </c>
      <c r="J9" s="13">
        <f>+N9*O9</f>
        <v>2484</v>
      </c>
      <c r="K9" s="2" t="s">
        <v>9</v>
      </c>
      <c r="L9" s="2" t="s">
        <v>172</v>
      </c>
      <c r="M9" s="2" t="s">
        <v>89</v>
      </c>
      <c r="N9" s="4">
        <v>0.1656</v>
      </c>
      <c r="O9" s="5">
        <f>6000+9000</f>
        <v>15000</v>
      </c>
      <c r="P9" s="2" t="s">
        <v>224</v>
      </c>
      <c r="Q9" s="2"/>
    </row>
    <row r="10" ht="22.5" spans="1:17">
      <c r="A10" s="26"/>
      <c r="B10" s="13">
        <v>2850</v>
      </c>
      <c r="C10" s="2" t="s">
        <v>9</v>
      </c>
      <c r="D10" s="2" t="s">
        <v>92</v>
      </c>
      <c r="E10" s="2" t="s">
        <v>89</v>
      </c>
      <c r="F10" s="4">
        <v>0.19</v>
      </c>
      <c r="G10" s="5">
        <v>15000</v>
      </c>
      <c r="H10" s="2" t="s">
        <v>224</v>
      </c>
      <c r="I10" s="59" t="s">
        <v>291</v>
      </c>
      <c r="J10" s="13">
        <v>2850</v>
      </c>
      <c r="K10" s="2" t="s">
        <v>9</v>
      </c>
      <c r="L10" s="2" t="s">
        <v>92</v>
      </c>
      <c r="M10" s="2" t="s">
        <v>89</v>
      </c>
      <c r="N10" s="4">
        <v>0.19</v>
      </c>
      <c r="O10" s="5">
        <v>15000</v>
      </c>
      <c r="P10" s="2" t="s">
        <v>224</v>
      </c>
      <c r="Q10" s="2"/>
    </row>
    <row r="11" ht="22.5" spans="1:11">
      <c r="A11" s="24" t="s">
        <v>75</v>
      </c>
      <c r="B11" s="13">
        <v>10200</v>
      </c>
      <c r="C11" s="16" t="s">
        <v>9</v>
      </c>
      <c r="D11" s="16" t="s">
        <v>173</v>
      </c>
      <c r="E11" s="16" t="s">
        <v>89</v>
      </c>
      <c r="F11" s="17">
        <v>0.1</v>
      </c>
      <c r="G11" s="18">
        <v>102000</v>
      </c>
      <c r="H11" s="16" t="s">
        <v>215</v>
      </c>
      <c r="I11" s="2" t="s">
        <v>290</v>
      </c>
      <c r="K11" s="28"/>
    </row>
    <row r="12" ht="22.5" spans="1:11">
      <c r="A12" s="25"/>
      <c r="B12" s="13">
        <v>1560</v>
      </c>
      <c r="C12" s="16" t="s">
        <v>9</v>
      </c>
      <c r="D12" s="16" t="s">
        <v>161</v>
      </c>
      <c r="E12" s="16" t="s">
        <v>89</v>
      </c>
      <c r="F12" s="17">
        <v>0.13</v>
      </c>
      <c r="G12" s="18">
        <v>12000</v>
      </c>
      <c r="H12" s="16" t="s">
        <v>215</v>
      </c>
      <c r="I12" s="2" t="s">
        <v>290</v>
      </c>
      <c r="K12" s="28"/>
    </row>
    <row r="13" ht="22.5" spans="1:11">
      <c r="A13" s="25"/>
      <c r="B13" s="13">
        <v>2100</v>
      </c>
      <c r="C13" s="16" t="s">
        <v>9</v>
      </c>
      <c r="D13" s="16" t="s">
        <v>162</v>
      </c>
      <c r="E13" s="16" t="s">
        <v>89</v>
      </c>
      <c r="F13" s="17">
        <v>0.14</v>
      </c>
      <c r="G13" s="18">
        <v>15000</v>
      </c>
      <c r="H13" s="16" t="s">
        <v>215</v>
      </c>
      <c r="I13" s="2" t="s">
        <v>290</v>
      </c>
      <c r="K13" s="28"/>
    </row>
    <row r="14" customFormat="1" ht="22.5" spans="1:10">
      <c r="A14" s="26"/>
      <c r="B14" s="13">
        <f>5120+5120</f>
        <v>10240</v>
      </c>
      <c r="C14" s="44" t="s">
        <v>9</v>
      </c>
      <c r="D14" s="44" t="s">
        <v>283</v>
      </c>
      <c r="E14" s="44" t="s">
        <v>89</v>
      </c>
      <c r="F14" s="4">
        <v>0.32</v>
      </c>
      <c r="G14" s="5">
        <f>16000+16000</f>
        <v>32000</v>
      </c>
      <c r="H14" s="2" t="s">
        <v>224</v>
      </c>
      <c r="I14" s="2" t="s">
        <v>291</v>
      </c>
      <c r="J14" s="37"/>
    </row>
    <row r="15" ht="22.5" spans="1:11">
      <c r="A15" s="24" t="s">
        <v>8</v>
      </c>
      <c r="B15" s="13">
        <v>1200</v>
      </c>
      <c r="C15" s="2" t="s">
        <v>9</v>
      </c>
      <c r="D15" s="2" t="s">
        <v>160</v>
      </c>
      <c r="E15" s="2" t="s">
        <v>89</v>
      </c>
      <c r="F15" s="4">
        <v>0.1</v>
      </c>
      <c r="G15" s="5">
        <v>12000</v>
      </c>
      <c r="H15" s="2" t="s">
        <v>215</v>
      </c>
      <c r="I15" s="2" t="s">
        <v>290</v>
      </c>
      <c r="K15" s="28"/>
    </row>
    <row r="16" ht="22.5" spans="1:11">
      <c r="A16" s="25"/>
      <c r="B16" s="13">
        <f>855+1425+855</f>
        <v>3135</v>
      </c>
      <c r="C16" s="2" t="s">
        <v>9</v>
      </c>
      <c r="D16" s="2" t="s">
        <v>160</v>
      </c>
      <c r="E16" s="2" t="s">
        <v>89</v>
      </c>
      <c r="F16" s="4">
        <v>0.095</v>
      </c>
      <c r="G16" s="5">
        <f>9000+9000+15000</f>
        <v>33000</v>
      </c>
      <c r="H16" s="2" t="s">
        <v>215</v>
      </c>
      <c r="I16" s="2" t="s">
        <v>290</v>
      </c>
      <c r="K16" s="28"/>
    </row>
    <row r="17" ht="22.5" spans="1:11">
      <c r="A17" s="25"/>
      <c r="B17" s="13">
        <v>420</v>
      </c>
      <c r="C17" s="2" t="s">
        <v>9</v>
      </c>
      <c r="D17" s="2" t="s">
        <v>161</v>
      </c>
      <c r="E17" s="2" t="s">
        <v>89</v>
      </c>
      <c r="F17" s="4">
        <v>0.14</v>
      </c>
      <c r="G17" s="5">
        <v>3000</v>
      </c>
      <c r="H17" s="2" t="s">
        <v>215</v>
      </c>
      <c r="I17" s="2" t="s">
        <v>290</v>
      </c>
      <c r="K17" s="28"/>
    </row>
    <row r="18" ht="22.5" spans="1:11">
      <c r="A18" s="25"/>
      <c r="B18" s="13">
        <f>5670+3645+2430</f>
        <v>11745</v>
      </c>
      <c r="C18" s="2" t="s">
        <v>9</v>
      </c>
      <c r="D18" s="2" t="s">
        <v>161</v>
      </c>
      <c r="E18" s="2" t="s">
        <v>89</v>
      </c>
      <c r="F18" s="4">
        <v>0.135</v>
      </c>
      <c r="G18" s="5">
        <f>42000+27000+18000</f>
        <v>87000</v>
      </c>
      <c r="H18" s="2" t="s">
        <v>215</v>
      </c>
      <c r="I18" s="2" t="s">
        <v>290</v>
      </c>
      <c r="K18" s="28"/>
    </row>
    <row r="19" ht="22.5" spans="1:11">
      <c r="A19" s="25"/>
      <c r="B19" s="13">
        <v>3600</v>
      </c>
      <c r="C19" s="2" t="s">
        <v>9</v>
      </c>
      <c r="D19" s="2" t="s">
        <v>162</v>
      </c>
      <c r="E19" s="2" t="s">
        <v>89</v>
      </c>
      <c r="F19" s="4">
        <v>0.15</v>
      </c>
      <c r="G19" s="5">
        <v>24000</v>
      </c>
      <c r="H19" s="2" t="s">
        <v>215</v>
      </c>
      <c r="I19" s="2" t="s">
        <v>290</v>
      </c>
      <c r="K19" s="28"/>
    </row>
    <row r="20" ht="22.5" spans="1:11">
      <c r="A20" s="25"/>
      <c r="B20" s="13">
        <f>7830+1740+1305</f>
        <v>10875</v>
      </c>
      <c r="C20" s="2" t="s">
        <v>9</v>
      </c>
      <c r="D20" s="2" t="s">
        <v>162</v>
      </c>
      <c r="E20" s="2" t="s">
        <v>89</v>
      </c>
      <c r="F20" s="4">
        <v>0.145</v>
      </c>
      <c r="G20" s="5">
        <f>54000+12000+9000</f>
        <v>75000</v>
      </c>
      <c r="H20" s="2" t="s">
        <v>215</v>
      </c>
      <c r="I20" s="2" t="s">
        <v>290</v>
      </c>
      <c r="K20" s="28"/>
    </row>
    <row r="21" ht="22.5" spans="1:11">
      <c r="A21" s="26"/>
      <c r="B21" s="13">
        <f>390+1365+585</f>
        <v>2340</v>
      </c>
      <c r="C21" s="2" t="s">
        <v>9</v>
      </c>
      <c r="D21" s="2" t="s">
        <v>273</v>
      </c>
      <c r="E21" s="2" t="s">
        <v>89</v>
      </c>
      <c r="F21" s="4">
        <v>0.065</v>
      </c>
      <c r="G21" s="5">
        <f>9000+27000</f>
        <v>36000</v>
      </c>
      <c r="H21" s="2" t="s">
        <v>215</v>
      </c>
      <c r="I21" s="2" t="s">
        <v>290</v>
      </c>
      <c r="K21" s="28"/>
    </row>
    <row r="22" ht="22.5" spans="1:11">
      <c r="A22" s="24" t="s">
        <v>292</v>
      </c>
      <c r="B22" s="13">
        <v>876</v>
      </c>
      <c r="C22" s="2" t="s">
        <v>9</v>
      </c>
      <c r="D22" s="2" t="s">
        <v>162</v>
      </c>
      <c r="E22" s="2" t="s">
        <v>89</v>
      </c>
      <c r="F22" s="4">
        <v>0.146</v>
      </c>
      <c r="G22" s="5">
        <v>6000</v>
      </c>
      <c r="H22" s="2" t="s">
        <v>224</v>
      </c>
      <c r="I22" s="2" t="s">
        <v>290</v>
      </c>
      <c r="K22" s="28"/>
    </row>
    <row r="23" ht="22.5" spans="1:11">
      <c r="A23" s="25"/>
      <c r="B23" s="13">
        <v>900</v>
      </c>
      <c r="C23" s="16" t="s">
        <v>9</v>
      </c>
      <c r="D23" s="16" t="s">
        <v>162</v>
      </c>
      <c r="E23" s="16" t="s">
        <v>89</v>
      </c>
      <c r="F23" s="17">
        <v>0.15</v>
      </c>
      <c r="G23" s="18">
        <f>+B23/F23</f>
        <v>6000</v>
      </c>
      <c r="H23" s="16" t="s">
        <v>226</v>
      </c>
      <c r="I23" s="2" t="s">
        <v>290</v>
      </c>
      <c r="K23" s="28"/>
    </row>
    <row r="24" ht="22.5" spans="1:11">
      <c r="A24" s="25"/>
      <c r="B24" s="13">
        <v>900</v>
      </c>
      <c r="C24" s="16" t="s">
        <v>9</v>
      </c>
      <c r="D24" s="16" t="s">
        <v>162</v>
      </c>
      <c r="E24" s="16" t="s">
        <v>89</v>
      </c>
      <c r="F24" s="17">
        <v>0.15</v>
      </c>
      <c r="G24" s="18">
        <v>6000</v>
      </c>
      <c r="H24" s="16" t="s">
        <v>266</v>
      </c>
      <c r="I24" s="2" t="s">
        <v>290</v>
      </c>
      <c r="K24" s="28"/>
    </row>
    <row r="25" ht="22.5" spans="1:11">
      <c r="A25" s="26"/>
      <c r="B25" s="13">
        <v>876</v>
      </c>
      <c r="C25" s="16" t="s">
        <v>9</v>
      </c>
      <c r="D25" s="16" t="s">
        <v>162</v>
      </c>
      <c r="E25" s="16" t="s">
        <v>89</v>
      </c>
      <c r="F25" s="17">
        <v>0.146</v>
      </c>
      <c r="G25" s="18">
        <v>6000</v>
      </c>
      <c r="H25" s="16" t="s">
        <v>215</v>
      </c>
      <c r="I25" s="2" t="s">
        <v>290</v>
      </c>
      <c r="K25" s="28"/>
    </row>
    <row r="26" ht="22.5" spans="1:11">
      <c r="A26" s="62" t="s">
        <v>95</v>
      </c>
      <c r="B26" s="13">
        <f>5130+6840+6840</f>
        <v>18810</v>
      </c>
      <c r="C26" s="2" t="s">
        <v>9</v>
      </c>
      <c r="D26" s="2" t="s">
        <v>182</v>
      </c>
      <c r="E26" s="2" t="s">
        <v>89</v>
      </c>
      <c r="F26" s="4">
        <v>0.19</v>
      </c>
      <c r="G26" s="5">
        <f>27000+36000+36000</f>
        <v>99000</v>
      </c>
      <c r="H26" s="2" t="s">
        <v>224</v>
      </c>
      <c r="I26" s="2" t="s">
        <v>293</v>
      </c>
      <c r="K26" s="28"/>
    </row>
    <row r="27" ht="22.5" spans="1:11">
      <c r="A27" s="63"/>
      <c r="B27" s="13">
        <v>8320</v>
      </c>
      <c r="C27" s="2" t="s">
        <v>9</v>
      </c>
      <c r="D27" s="2" t="s">
        <v>294</v>
      </c>
      <c r="E27" s="2" t="s">
        <v>89</v>
      </c>
      <c r="F27" s="4">
        <v>0.52</v>
      </c>
      <c r="G27" s="5">
        <v>16000</v>
      </c>
      <c r="H27" s="2" t="s">
        <v>215</v>
      </c>
      <c r="I27" s="2" t="s">
        <v>293</v>
      </c>
      <c r="K27" s="28"/>
    </row>
    <row r="28" ht="22.5" spans="1:11">
      <c r="A28" s="64"/>
      <c r="B28" s="13">
        <v>5130</v>
      </c>
      <c r="C28" s="2" t="s">
        <v>9</v>
      </c>
      <c r="D28" s="2" t="s">
        <v>182</v>
      </c>
      <c r="E28" s="2" t="s">
        <v>89</v>
      </c>
      <c r="F28" s="4">
        <v>0.19</v>
      </c>
      <c r="G28" s="5">
        <v>27000</v>
      </c>
      <c r="H28" s="2" t="s">
        <v>215</v>
      </c>
      <c r="I28" s="2" t="s">
        <v>293</v>
      </c>
      <c r="K28" s="28"/>
    </row>
    <row r="29" ht="22.5" spans="1:11">
      <c r="A29" s="2" t="s">
        <v>14</v>
      </c>
      <c r="B29" s="13">
        <v>38850</v>
      </c>
      <c r="C29" s="2" t="s">
        <v>9</v>
      </c>
      <c r="D29" s="2" t="s">
        <v>53</v>
      </c>
      <c r="E29" s="2" t="s">
        <v>89</v>
      </c>
      <c r="F29" s="4">
        <v>0.175</v>
      </c>
      <c r="G29" s="5">
        <v>222000</v>
      </c>
      <c r="H29" s="2" t="s">
        <v>224</v>
      </c>
      <c r="I29" s="2" t="s">
        <v>290</v>
      </c>
      <c r="K29" s="28"/>
    </row>
    <row r="30" ht="22.5" spans="1:11">
      <c r="A30" s="24" t="s">
        <v>207</v>
      </c>
      <c r="B30" s="13">
        <f>840+840</f>
        <v>1680</v>
      </c>
      <c r="C30" s="2" t="s">
        <v>9</v>
      </c>
      <c r="D30" s="2" t="s">
        <v>146</v>
      </c>
      <c r="E30" s="2" t="s">
        <v>89</v>
      </c>
      <c r="F30" s="4">
        <v>0.21</v>
      </c>
      <c r="G30" s="5">
        <v>8000</v>
      </c>
      <c r="H30" s="2" t="s">
        <v>224</v>
      </c>
      <c r="I30" s="2" t="s">
        <v>290</v>
      </c>
      <c r="K30" s="28"/>
    </row>
    <row r="31" ht="22.5" spans="1:11">
      <c r="A31" s="26"/>
      <c r="B31" s="13">
        <v>1680</v>
      </c>
      <c r="C31" s="2" t="s">
        <v>9</v>
      </c>
      <c r="D31" s="2" t="s">
        <v>146</v>
      </c>
      <c r="E31" s="2" t="s">
        <v>89</v>
      </c>
      <c r="F31" s="4">
        <v>0.21</v>
      </c>
      <c r="G31" s="5">
        <v>8000</v>
      </c>
      <c r="H31" s="2" t="s">
        <v>215</v>
      </c>
      <c r="I31" s="2" t="s">
        <v>290</v>
      </c>
      <c r="K31" s="28"/>
    </row>
    <row r="32" ht="22.5" spans="1:11">
      <c r="A32" s="2" t="s">
        <v>295</v>
      </c>
      <c r="B32" s="13">
        <v>37125</v>
      </c>
      <c r="C32" s="2" t="s">
        <v>9</v>
      </c>
      <c r="D32" s="2" t="s">
        <v>53</v>
      </c>
      <c r="E32" s="2" t="s">
        <v>89</v>
      </c>
      <c r="F32" s="4">
        <v>0.165</v>
      </c>
      <c r="G32" s="5">
        <v>225000</v>
      </c>
      <c r="H32" s="2" t="s">
        <v>224</v>
      </c>
      <c r="I32" s="2" t="s">
        <v>296</v>
      </c>
      <c r="K32" s="28"/>
    </row>
    <row r="33" ht="22.5" spans="1:11">
      <c r="A33" s="2" t="s">
        <v>246</v>
      </c>
      <c r="B33" s="13">
        <v>480</v>
      </c>
      <c r="C33" s="2" t="s">
        <v>9</v>
      </c>
      <c r="D33" s="2" t="s">
        <v>162</v>
      </c>
      <c r="E33" s="2" t="s">
        <v>89</v>
      </c>
      <c r="F33" s="4">
        <v>0.16</v>
      </c>
      <c r="G33" s="5">
        <v>3000</v>
      </c>
      <c r="H33" s="2" t="s">
        <v>224</v>
      </c>
      <c r="I33" s="2" t="s">
        <v>290</v>
      </c>
      <c r="K33" s="28"/>
    </row>
    <row r="34" ht="22.5" spans="1:11">
      <c r="A34" s="2" t="s">
        <v>45</v>
      </c>
      <c r="B34" s="13">
        <v>8580</v>
      </c>
      <c r="C34" s="2" t="s">
        <v>9</v>
      </c>
      <c r="D34" s="2" t="s">
        <v>73</v>
      </c>
      <c r="E34" s="2" t="s">
        <v>89</v>
      </c>
      <c r="F34" s="4">
        <v>0.165</v>
      </c>
      <c r="G34" s="5">
        <v>52000</v>
      </c>
      <c r="H34" s="2" t="s">
        <v>215</v>
      </c>
      <c r="I34" s="2" t="s">
        <v>290</v>
      </c>
      <c r="K34" s="28"/>
    </row>
    <row r="35" ht="22.5" spans="1:11">
      <c r="A35" s="24" t="s">
        <v>176</v>
      </c>
      <c r="B35" s="13">
        <v>2310</v>
      </c>
      <c r="C35" s="2" t="s">
        <v>9</v>
      </c>
      <c r="D35" s="2" t="s">
        <v>160</v>
      </c>
      <c r="E35" s="2" t="s">
        <v>89</v>
      </c>
      <c r="F35" s="4">
        <v>0.11</v>
      </c>
      <c r="G35" s="5">
        <f>+B35/F35</f>
        <v>21000</v>
      </c>
      <c r="H35" s="2" t="s">
        <v>226</v>
      </c>
      <c r="I35" s="66" t="s">
        <v>290</v>
      </c>
      <c r="K35" s="28"/>
    </row>
    <row r="36" ht="22.5" spans="1:11">
      <c r="A36" s="25"/>
      <c r="B36" s="13">
        <v>2640</v>
      </c>
      <c r="C36" s="2" t="s">
        <v>9</v>
      </c>
      <c r="D36" s="2" t="s">
        <v>160</v>
      </c>
      <c r="E36" s="2" t="s">
        <v>89</v>
      </c>
      <c r="F36" s="4">
        <v>0.11</v>
      </c>
      <c r="G36" s="5">
        <v>24000</v>
      </c>
      <c r="H36" s="2" t="s">
        <v>266</v>
      </c>
      <c r="I36" s="66" t="s">
        <v>290</v>
      </c>
      <c r="K36" s="28"/>
    </row>
    <row r="37" ht="22.5" spans="1:11">
      <c r="A37" s="26"/>
      <c r="B37" s="13">
        <v>1320</v>
      </c>
      <c r="C37" s="2" t="s">
        <v>9</v>
      </c>
      <c r="D37" s="2" t="s">
        <v>160</v>
      </c>
      <c r="E37" s="2" t="s">
        <v>89</v>
      </c>
      <c r="F37" s="4">
        <v>0.11</v>
      </c>
      <c r="G37" s="5">
        <v>12000</v>
      </c>
      <c r="H37" s="2" t="s">
        <v>215</v>
      </c>
      <c r="I37" s="66" t="s">
        <v>290</v>
      </c>
      <c r="K37" s="28"/>
    </row>
    <row r="38" ht="22.5" spans="1:11">
      <c r="A38" s="2" t="s">
        <v>297</v>
      </c>
      <c r="B38" s="13">
        <v>23280</v>
      </c>
      <c r="C38" s="2" t="s">
        <v>9</v>
      </c>
      <c r="D38" s="2" t="s">
        <v>92</v>
      </c>
      <c r="E38" s="2" t="s">
        <v>89</v>
      </c>
      <c r="F38" s="4">
        <v>0.194</v>
      </c>
      <c r="G38" s="5">
        <v>120000</v>
      </c>
      <c r="H38" s="2" t="s">
        <v>215</v>
      </c>
      <c r="I38" s="2" t="s">
        <v>298</v>
      </c>
      <c r="K38" s="28"/>
    </row>
    <row r="39" spans="8:9">
      <c r="H39" s="40" t="s">
        <v>28</v>
      </c>
      <c r="I39" s="41">
        <v>32400</v>
      </c>
    </row>
    <row r="40" spans="8:9">
      <c r="H40" s="40" t="s">
        <v>31</v>
      </c>
      <c r="I40" s="41">
        <v>111900</v>
      </c>
    </row>
    <row r="41" spans="8:9">
      <c r="H41" s="40" t="s">
        <v>32</v>
      </c>
      <c r="I41" s="41">
        <v>135939</v>
      </c>
    </row>
    <row r="42" spans="8:9">
      <c r="H42" s="40" t="s">
        <v>140</v>
      </c>
      <c r="I42" s="41">
        <v>186045</v>
      </c>
    </row>
    <row r="43" spans="8:9">
      <c r="H43" s="40" t="s">
        <v>142</v>
      </c>
      <c r="I43" s="41">
        <v>133782.6</v>
      </c>
    </row>
    <row r="44" spans="8:9">
      <c r="H44" s="42">
        <v>42736</v>
      </c>
      <c r="I44" s="41">
        <v>117630</v>
      </c>
    </row>
    <row r="45" spans="8:9">
      <c r="H45" s="40" t="s">
        <v>60</v>
      </c>
      <c r="I45" s="41">
        <v>56680</v>
      </c>
    </row>
    <row r="46" spans="8:9">
      <c r="H46" s="41" t="s">
        <v>58</v>
      </c>
      <c r="I46" s="43">
        <v>172605</v>
      </c>
    </row>
    <row r="47" spans="8:9">
      <c r="H47" s="41" t="s">
        <v>22</v>
      </c>
      <c r="I47" s="41">
        <v>224673</v>
      </c>
    </row>
    <row r="48" spans="8:9">
      <c r="H48" s="41" t="s">
        <v>24</v>
      </c>
      <c r="I48" s="41">
        <v>313761</v>
      </c>
    </row>
    <row r="49" spans="8:9">
      <c r="H49" s="41" t="s">
        <v>25</v>
      </c>
      <c r="I49" s="41">
        <v>561401.3</v>
      </c>
    </row>
    <row r="50" spans="8:9">
      <c r="H50" s="40" t="s">
        <v>28</v>
      </c>
      <c r="I50" s="41">
        <v>489075.24</v>
      </c>
    </row>
    <row r="51" spans="8:9">
      <c r="H51" s="40" t="s">
        <v>143</v>
      </c>
      <c r="I51" s="41">
        <v>1072775.15</v>
      </c>
    </row>
    <row r="52" spans="8:9">
      <c r="H52" s="41" t="s">
        <v>32</v>
      </c>
      <c r="I52" s="41">
        <v>1546532.63</v>
      </c>
    </row>
    <row r="53" spans="8:9">
      <c r="H53" s="41" t="s">
        <v>37</v>
      </c>
      <c r="I53" s="41">
        <v>1206965.46</v>
      </c>
    </row>
    <row r="54" spans="8:9">
      <c r="H54" s="41" t="s">
        <v>40</v>
      </c>
      <c r="I54" s="41">
        <v>1164153.55</v>
      </c>
    </row>
    <row r="55" spans="8:9">
      <c r="H55" s="41" t="s">
        <v>44</v>
      </c>
      <c r="I55" s="41">
        <v>1283006.2</v>
      </c>
    </row>
    <row r="56" spans="8:9">
      <c r="H56" s="42">
        <v>43101</v>
      </c>
      <c r="I56" s="41">
        <v>1552959</v>
      </c>
    </row>
    <row r="57" spans="8:9">
      <c r="H57" s="42">
        <v>43132</v>
      </c>
      <c r="I57" s="41">
        <v>573933.88</v>
      </c>
    </row>
    <row r="58" spans="8:9">
      <c r="H58" s="42">
        <v>43160</v>
      </c>
      <c r="I58" s="41">
        <v>725630.05</v>
      </c>
    </row>
    <row r="59" spans="8:9">
      <c r="H59" s="42">
        <v>43191</v>
      </c>
      <c r="I59" s="41">
        <v>998002.8</v>
      </c>
    </row>
    <row r="60" spans="8:9">
      <c r="H60" s="42">
        <v>43221</v>
      </c>
      <c r="I60" s="41">
        <v>1635478</v>
      </c>
    </row>
    <row r="61" spans="8:9">
      <c r="H61" s="42">
        <v>43252</v>
      </c>
      <c r="I61" s="43">
        <v>845035</v>
      </c>
    </row>
    <row r="62" spans="8:9">
      <c r="H62" s="42">
        <v>43282</v>
      </c>
      <c r="I62" s="43">
        <v>740330</v>
      </c>
    </row>
    <row r="63" spans="8:9">
      <c r="H63" s="42">
        <v>43313</v>
      </c>
      <c r="I63" s="43">
        <v>1048786.43</v>
      </c>
    </row>
    <row r="64" spans="8:9">
      <c r="H64" s="42">
        <v>43344</v>
      </c>
      <c r="I64" s="43">
        <v>900195</v>
      </c>
    </row>
    <row r="65" spans="8:9">
      <c r="H65" s="42">
        <v>43374</v>
      </c>
      <c r="I65" s="43">
        <v>443233</v>
      </c>
    </row>
    <row r="66" spans="8:9">
      <c r="H66" s="42">
        <v>43405</v>
      </c>
      <c r="I66" s="43">
        <v>889775</v>
      </c>
    </row>
    <row r="67" spans="8:9">
      <c r="H67" s="42">
        <v>43435</v>
      </c>
      <c r="I67" s="43">
        <v>339620</v>
      </c>
    </row>
    <row r="68" spans="8:9">
      <c r="H68" s="42">
        <v>43466</v>
      </c>
      <c r="I68" s="43">
        <v>250700</v>
      </c>
    </row>
    <row r="69" spans="8:9">
      <c r="H69" s="42">
        <v>43497</v>
      </c>
      <c r="I69" s="43">
        <v>601259.44</v>
      </c>
    </row>
    <row r="70" spans="8:9">
      <c r="H70" s="42">
        <v>43525</v>
      </c>
      <c r="I70" s="43">
        <v>317725.96</v>
      </c>
    </row>
    <row r="71" spans="8:9">
      <c r="H71" s="42">
        <v>43556</v>
      </c>
      <c r="I71" s="43">
        <v>490810</v>
      </c>
    </row>
    <row r="72" spans="8:9">
      <c r="H72" s="42">
        <v>43586</v>
      </c>
      <c r="I72" s="43">
        <v>416809</v>
      </c>
    </row>
    <row r="73" spans="8:9">
      <c r="H73" s="42">
        <v>43617</v>
      </c>
      <c r="I73" s="43">
        <v>499722</v>
      </c>
    </row>
  </sheetData>
  <mergeCells count="9">
    <mergeCell ref="A2:A5"/>
    <mergeCell ref="A6:A8"/>
    <mergeCell ref="A9:A10"/>
    <mergeCell ref="A11:A14"/>
    <mergeCell ref="A15:A21"/>
    <mergeCell ref="A22:A25"/>
    <mergeCell ref="A26:A28"/>
    <mergeCell ref="A30:A31"/>
    <mergeCell ref="A35:A37"/>
  </mergeCells>
  <pageMargins left="0.7" right="0.7" top="0.75" bottom="0.75" header="0.3" footer="0.3"/>
  <pageSetup paperSize="9" orientation="portrait" verticalDpi="180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zoomScale="91" zoomScaleNormal="91" workbookViewId="0">
      <pane xSplit="2" ySplit="1" topLeftCell="E5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4.25"/>
  <cols>
    <col min="1" max="7" width="22" style="1" customWidth="1"/>
    <col min="8" max="8" width="25.875" style="1" customWidth="1"/>
    <col min="9" max="9" width="37.75" style="1" customWidth="1"/>
    <col min="10" max="10" width="12.875" style="1" customWidth="1"/>
    <col min="11" max="11" width="9" style="1"/>
    <col min="12" max="12" width="10.375" style="1" customWidth="1"/>
    <col min="13" max="16384" width="9" style="1"/>
  </cols>
  <sheetData>
    <row r="1" ht="22.5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56"/>
      <c r="L1" s="34"/>
    </row>
    <row r="2" ht="22.5" spans="1:11">
      <c r="A2" s="2" t="s">
        <v>262</v>
      </c>
      <c r="B2" s="13">
        <f>2480+620</f>
        <v>3100</v>
      </c>
      <c r="C2" s="2" t="s">
        <v>9</v>
      </c>
      <c r="D2" s="2" t="s">
        <v>73</v>
      </c>
      <c r="E2" s="2" t="s">
        <v>89</v>
      </c>
      <c r="F2" s="4">
        <v>0.155</v>
      </c>
      <c r="G2" s="5">
        <f>16000+4000</f>
        <v>20000</v>
      </c>
      <c r="H2" s="2" t="s">
        <v>224</v>
      </c>
      <c r="I2" s="2" t="s">
        <v>299</v>
      </c>
      <c r="K2" s="28"/>
    </row>
    <row r="3" ht="22.5" spans="1:11">
      <c r="A3" s="24" t="s">
        <v>42</v>
      </c>
      <c r="B3" s="13">
        <v>2040</v>
      </c>
      <c r="C3" s="2" t="s">
        <v>9</v>
      </c>
      <c r="D3" s="2" t="s">
        <v>217</v>
      </c>
      <c r="E3" s="2" t="s">
        <v>89</v>
      </c>
      <c r="F3" s="4">
        <v>0.51</v>
      </c>
      <c r="G3" s="5">
        <v>4000</v>
      </c>
      <c r="H3" s="2" t="s">
        <v>224</v>
      </c>
      <c r="I3" s="2" t="s">
        <v>299</v>
      </c>
      <c r="J3" s="28"/>
      <c r="K3" s="28"/>
    </row>
    <row r="4" ht="22.5" spans="1:11">
      <c r="A4" s="26"/>
      <c r="B4" s="13">
        <v>2040</v>
      </c>
      <c r="C4" s="2" t="s">
        <v>9</v>
      </c>
      <c r="D4" s="2" t="s">
        <v>217</v>
      </c>
      <c r="E4" s="2" t="s">
        <v>89</v>
      </c>
      <c r="F4" s="4">
        <v>0.51</v>
      </c>
      <c r="G4" s="5">
        <f>+B4/F4</f>
        <v>4000</v>
      </c>
      <c r="H4" s="2" t="s">
        <v>226</v>
      </c>
      <c r="I4" s="2" t="s">
        <v>299</v>
      </c>
      <c r="J4" s="28"/>
      <c r="K4" s="28"/>
    </row>
    <row r="5" ht="22.5" spans="1:10">
      <c r="A5" s="50" t="s">
        <v>8</v>
      </c>
      <c r="B5" s="13">
        <f>390+1560+1560+195</f>
        <v>3705</v>
      </c>
      <c r="C5" s="2" t="s">
        <v>9</v>
      </c>
      <c r="D5" s="2" t="s">
        <v>273</v>
      </c>
      <c r="E5" s="2" t="s">
        <v>89</v>
      </c>
      <c r="F5" s="4">
        <v>0.065</v>
      </c>
      <c r="G5" s="5">
        <f>6000+24000+24000+3000</f>
        <v>57000</v>
      </c>
      <c r="H5" s="2" t="s">
        <v>224</v>
      </c>
      <c r="I5" s="2" t="s">
        <v>299</v>
      </c>
      <c r="J5" s="28">
        <f>10540.8+10125+5655+5655</f>
        <v>31975.8</v>
      </c>
    </row>
    <row r="6" ht="22.5" spans="1:10">
      <c r="A6" s="51"/>
      <c r="B6" s="13">
        <f>1620+1620+810+1620</f>
        <v>5670</v>
      </c>
      <c r="C6" s="2" t="s">
        <v>9</v>
      </c>
      <c r="D6" s="2" t="s">
        <v>161</v>
      </c>
      <c r="E6" s="2" t="s">
        <v>89</v>
      </c>
      <c r="F6" s="4">
        <v>0.135</v>
      </c>
      <c r="G6" s="5">
        <f>12000+12000+6000+12000</f>
        <v>42000</v>
      </c>
      <c r="H6" s="2" t="s">
        <v>224</v>
      </c>
      <c r="I6" s="2" t="s">
        <v>299</v>
      </c>
      <c r="J6" s="28"/>
    </row>
    <row r="7" ht="22.5" spans="1:10">
      <c r="A7" s="51"/>
      <c r="B7" s="13">
        <f>1740+4785+870+3480+435</f>
        <v>11310</v>
      </c>
      <c r="C7" s="2" t="s">
        <v>9</v>
      </c>
      <c r="D7" s="2" t="s">
        <v>162</v>
      </c>
      <c r="E7" s="2" t="s">
        <v>89</v>
      </c>
      <c r="F7" s="4">
        <v>0.145</v>
      </c>
      <c r="G7" s="5">
        <f>12000+33000+6000+24000+3000</f>
        <v>78000</v>
      </c>
      <c r="H7" s="2" t="s">
        <v>224</v>
      </c>
      <c r="I7" s="2" t="s">
        <v>299</v>
      </c>
      <c r="J7" s="28"/>
    </row>
    <row r="8" ht="22.5" spans="1:10">
      <c r="A8" s="51"/>
      <c r="B8" s="13">
        <f>2280+1140+3135+1710+855</f>
        <v>9120</v>
      </c>
      <c r="C8" s="2" t="s">
        <v>9</v>
      </c>
      <c r="D8" s="2" t="s">
        <v>160</v>
      </c>
      <c r="E8" s="2" t="s">
        <v>89</v>
      </c>
      <c r="F8" s="4">
        <v>0.095</v>
      </c>
      <c r="G8" s="5">
        <f>24000+12000+33000+18000+9000</f>
        <v>96000</v>
      </c>
      <c r="H8" s="2" t="s">
        <v>224</v>
      </c>
      <c r="I8" s="2" t="s">
        <v>299</v>
      </c>
      <c r="J8" s="28"/>
    </row>
    <row r="9" ht="22.5" spans="1:10">
      <c r="A9" s="51"/>
      <c r="B9" s="13">
        <v>1165.8</v>
      </c>
      <c r="C9" s="2" t="s">
        <v>9</v>
      </c>
      <c r="D9" s="2" t="s">
        <v>300</v>
      </c>
      <c r="E9" s="2" t="s">
        <v>89</v>
      </c>
      <c r="F9" s="4">
        <v>0.29</v>
      </c>
      <c r="G9" s="5">
        <v>4020</v>
      </c>
      <c r="H9" s="2" t="s">
        <v>224</v>
      </c>
      <c r="I9" s="2" t="s">
        <v>299</v>
      </c>
      <c r="J9" s="28"/>
    </row>
    <row r="10" ht="22.5" spans="1:10">
      <c r="A10" s="52"/>
      <c r="B10" s="13">
        <v>1005</v>
      </c>
      <c r="C10" s="2" t="s">
        <v>9</v>
      </c>
      <c r="D10" s="2" t="s">
        <v>217</v>
      </c>
      <c r="E10" s="2" t="s">
        <v>89</v>
      </c>
      <c r="F10" s="4">
        <v>0.5</v>
      </c>
      <c r="G10" s="5">
        <v>2010</v>
      </c>
      <c r="H10" s="2" t="s">
        <v>224</v>
      </c>
      <c r="I10" s="2" t="s">
        <v>299</v>
      </c>
      <c r="J10" s="28"/>
    </row>
    <row r="11" ht="22.5" customHeight="1" spans="1:11">
      <c r="A11" s="53" t="s">
        <v>301</v>
      </c>
      <c r="B11" s="13">
        <v>4050</v>
      </c>
      <c r="C11" s="2" t="s">
        <v>9</v>
      </c>
      <c r="D11" s="2" t="s">
        <v>161</v>
      </c>
      <c r="E11" s="2" t="s">
        <v>89</v>
      </c>
      <c r="F11" s="4">
        <v>0.135</v>
      </c>
      <c r="G11" s="5">
        <v>30000</v>
      </c>
      <c r="H11" s="2" t="s">
        <v>224</v>
      </c>
      <c r="I11" s="2" t="s">
        <v>299</v>
      </c>
      <c r="J11" s="28"/>
      <c r="K11" s="28"/>
    </row>
    <row r="12" ht="22.5" spans="1:11">
      <c r="A12" s="54"/>
      <c r="B12" s="13">
        <f>4650+1860</f>
        <v>6510</v>
      </c>
      <c r="C12" s="2" t="s">
        <v>9</v>
      </c>
      <c r="D12" s="2" t="s">
        <v>148</v>
      </c>
      <c r="E12" s="2" t="s">
        <v>89</v>
      </c>
      <c r="F12" s="4">
        <v>0.155</v>
      </c>
      <c r="G12" s="5">
        <f>30000+12000</f>
        <v>42000</v>
      </c>
      <c r="H12" s="2" t="s">
        <v>224</v>
      </c>
      <c r="I12" s="2" t="s">
        <v>299</v>
      </c>
      <c r="J12" s="28"/>
      <c r="K12" s="28"/>
    </row>
    <row r="13" ht="22.5" spans="1:11">
      <c r="A13" s="54"/>
      <c r="B13" s="13">
        <v>1305</v>
      </c>
      <c r="C13" s="2" t="s">
        <v>9</v>
      </c>
      <c r="D13" s="2" t="s">
        <v>162</v>
      </c>
      <c r="E13" s="2" t="s">
        <v>89</v>
      </c>
      <c r="F13" s="4">
        <v>0.145</v>
      </c>
      <c r="G13" s="5">
        <v>9000</v>
      </c>
      <c r="H13" s="2" t="s">
        <v>224</v>
      </c>
      <c r="I13" s="2" t="s">
        <v>299</v>
      </c>
      <c r="J13" s="28"/>
      <c r="K13" s="28"/>
    </row>
    <row r="14" ht="22.5" customHeight="1" spans="1:11">
      <c r="A14" s="54"/>
      <c r="B14" s="13">
        <f>4650+4650</f>
        <v>9300</v>
      </c>
      <c r="C14" s="16" t="s">
        <v>9</v>
      </c>
      <c r="D14" s="16" t="s">
        <v>148</v>
      </c>
      <c r="E14" s="16" t="s">
        <v>89</v>
      </c>
      <c r="F14" s="17">
        <v>0.155</v>
      </c>
      <c r="G14" s="18">
        <f>+B14/F14</f>
        <v>60000</v>
      </c>
      <c r="H14" s="16" t="s">
        <v>215</v>
      </c>
      <c r="I14" s="2" t="s">
        <v>299</v>
      </c>
      <c r="J14" s="28"/>
      <c r="K14" s="28"/>
    </row>
    <row r="15" ht="22.5" spans="1:11">
      <c r="A15" s="54"/>
      <c r="B15" s="13">
        <v>2700</v>
      </c>
      <c r="C15" s="16" t="s">
        <v>9</v>
      </c>
      <c r="D15" s="16" t="s">
        <v>160</v>
      </c>
      <c r="E15" s="16" t="s">
        <v>89</v>
      </c>
      <c r="F15" s="17">
        <v>0.09</v>
      </c>
      <c r="G15" s="18">
        <v>30000</v>
      </c>
      <c r="H15" s="16" t="s">
        <v>215</v>
      </c>
      <c r="I15" s="2" t="s">
        <v>299</v>
      </c>
      <c r="J15" s="28"/>
      <c r="K15" s="28"/>
    </row>
    <row r="16" ht="22.5" customHeight="1" spans="1:11">
      <c r="A16" s="54"/>
      <c r="B16" s="13">
        <v>4200</v>
      </c>
      <c r="C16" s="16" t="s">
        <v>9</v>
      </c>
      <c r="D16" s="16" t="s">
        <v>161</v>
      </c>
      <c r="E16" s="16" t="s">
        <v>89</v>
      </c>
      <c r="F16" s="17">
        <v>0.14</v>
      </c>
      <c r="G16" s="18">
        <f>+B16/F16</f>
        <v>30000</v>
      </c>
      <c r="H16" s="16" t="s">
        <v>226</v>
      </c>
      <c r="I16" s="16" t="s">
        <v>302</v>
      </c>
      <c r="J16" s="28"/>
      <c r="K16" s="28"/>
    </row>
    <row r="17" ht="22.5" spans="1:11">
      <c r="A17" s="54"/>
      <c r="B17" s="13">
        <v>8100</v>
      </c>
      <c r="C17" s="16" t="s">
        <v>9</v>
      </c>
      <c r="D17" s="16" t="s">
        <v>161</v>
      </c>
      <c r="E17" s="16" t="s">
        <v>89</v>
      </c>
      <c r="F17" s="17">
        <v>0.135</v>
      </c>
      <c r="G17" s="18">
        <f>+B17/F17</f>
        <v>60000</v>
      </c>
      <c r="H17" s="16" t="s">
        <v>226</v>
      </c>
      <c r="I17" s="16" t="s">
        <v>302</v>
      </c>
      <c r="J17" s="28"/>
      <c r="K17" s="28"/>
    </row>
    <row r="18" ht="22.5" spans="1:11">
      <c r="A18" s="55"/>
      <c r="B18" s="13">
        <f>1440+1440+4800</f>
        <v>7680</v>
      </c>
      <c r="C18" s="16" t="s">
        <v>9</v>
      </c>
      <c r="D18" s="16" t="s">
        <v>148</v>
      </c>
      <c r="E18" s="16" t="s">
        <v>89</v>
      </c>
      <c r="F18" s="17">
        <v>0.16</v>
      </c>
      <c r="G18" s="18">
        <f>+B18/F18</f>
        <v>48000</v>
      </c>
      <c r="H18" s="16" t="s">
        <v>226</v>
      </c>
      <c r="I18" s="16" t="s">
        <v>302</v>
      </c>
      <c r="J18" s="28"/>
      <c r="K18" s="28"/>
    </row>
    <row r="19" ht="22.5" spans="1:11">
      <c r="A19" s="2" t="s">
        <v>303</v>
      </c>
      <c r="B19" s="13">
        <f>3990+11400+3990</f>
        <v>19380</v>
      </c>
      <c r="C19" s="16" t="s">
        <v>9</v>
      </c>
      <c r="D19" s="2" t="s">
        <v>182</v>
      </c>
      <c r="E19" s="16" t="s">
        <v>89</v>
      </c>
      <c r="F19" s="4">
        <v>0.19</v>
      </c>
      <c r="G19" s="5">
        <f>+B19/F19</f>
        <v>102000</v>
      </c>
      <c r="H19" s="2" t="s">
        <v>228</v>
      </c>
      <c r="I19" s="2" t="s">
        <v>304</v>
      </c>
      <c r="J19" s="28"/>
      <c r="K19" s="28"/>
    </row>
    <row r="20" ht="22.5" spans="1:11">
      <c r="A20" s="24" t="s">
        <v>14</v>
      </c>
      <c r="B20" s="13">
        <v>7840</v>
      </c>
      <c r="C20" s="16" t="s">
        <v>9</v>
      </c>
      <c r="D20" s="2" t="s">
        <v>73</v>
      </c>
      <c r="E20" s="16" t="s">
        <v>89</v>
      </c>
      <c r="F20" s="4">
        <v>0.14</v>
      </c>
      <c r="G20" s="5">
        <v>56000</v>
      </c>
      <c r="H20" s="2" t="s">
        <v>228</v>
      </c>
      <c r="I20" s="2" t="s">
        <v>299</v>
      </c>
      <c r="J20" s="28">
        <f>11240+10922.5*8</f>
        <v>98620</v>
      </c>
      <c r="K20" s="28"/>
    </row>
    <row r="21" ht="22.5" spans="1:11">
      <c r="A21" s="26"/>
      <c r="B21" s="13">
        <f>1530+89250</f>
        <v>90780</v>
      </c>
      <c r="C21" s="16" t="s">
        <v>9</v>
      </c>
      <c r="D21" s="2" t="s">
        <v>53</v>
      </c>
      <c r="E21" s="16" t="s">
        <v>89</v>
      </c>
      <c r="F21" s="4">
        <v>0.17</v>
      </c>
      <c r="G21" s="5">
        <f>9000+525000</f>
        <v>534000</v>
      </c>
      <c r="H21" s="2" t="s">
        <v>228</v>
      </c>
      <c r="I21" s="2" t="s">
        <v>299</v>
      </c>
      <c r="J21" s="28"/>
      <c r="K21" s="28"/>
    </row>
    <row r="22" ht="22.5" spans="1:10">
      <c r="A22" s="50" t="s">
        <v>77</v>
      </c>
      <c r="B22" s="13">
        <f>40800+10200+40800+10200+6800</f>
        <v>108800</v>
      </c>
      <c r="C22" s="2" t="s">
        <v>9</v>
      </c>
      <c r="D22" s="2" t="s">
        <v>92</v>
      </c>
      <c r="E22" s="2" t="s">
        <v>89</v>
      </c>
      <c r="F22" s="4">
        <v>0.17</v>
      </c>
      <c r="G22" s="5">
        <f>240000+60000+240000+60000+40000</f>
        <v>640000</v>
      </c>
      <c r="H22" s="2" t="s">
        <v>305</v>
      </c>
      <c r="I22" s="2" t="s">
        <v>299</v>
      </c>
      <c r="J22" s="28"/>
    </row>
    <row r="23" ht="22.5" spans="1:10">
      <c r="A23" s="52"/>
      <c r="B23" s="13">
        <f>3975+8745+5300</f>
        <v>18020</v>
      </c>
      <c r="C23" s="2" t="s">
        <v>9</v>
      </c>
      <c r="D23" s="2" t="s">
        <v>91</v>
      </c>
      <c r="E23" s="2" t="s">
        <v>89</v>
      </c>
      <c r="F23" s="4">
        <v>0.265</v>
      </c>
      <c r="G23" s="5">
        <f>15000+33000+20000</f>
        <v>68000</v>
      </c>
      <c r="H23" s="2" t="s">
        <v>224</v>
      </c>
      <c r="I23" s="2" t="s">
        <v>299</v>
      </c>
      <c r="J23" s="28"/>
    </row>
    <row r="24" ht="22.5" spans="1:11">
      <c r="A24" s="24" t="s">
        <v>165</v>
      </c>
      <c r="B24" s="13">
        <f>7650+7650+9000+22500+7650</f>
        <v>54450</v>
      </c>
      <c r="C24" s="2" t="s">
        <v>9</v>
      </c>
      <c r="D24" s="2" t="s">
        <v>172</v>
      </c>
      <c r="E24" s="2" t="s">
        <v>89</v>
      </c>
      <c r="F24" s="4">
        <v>0.15</v>
      </c>
      <c r="G24" s="5">
        <f>51000+51000+60000+150000+51000</f>
        <v>363000</v>
      </c>
      <c r="H24" s="2" t="s">
        <v>228</v>
      </c>
      <c r="I24" s="2" t="s">
        <v>299</v>
      </c>
      <c r="J24" s="28">
        <f>10890*5+11*11287.5+10587.5</f>
        <v>189200</v>
      </c>
      <c r="K24" s="28"/>
    </row>
    <row r="25" ht="22.5" spans="1:11">
      <c r="A25" s="26"/>
      <c r="B25" s="13">
        <f>17500+35000+30625+35875+7000+8750</f>
        <v>134750</v>
      </c>
      <c r="C25" s="2" t="s">
        <v>9</v>
      </c>
      <c r="D25" s="2" t="s">
        <v>92</v>
      </c>
      <c r="E25" s="2" t="s">
        <v>89</v>
      </c>
      <c r="F25" s="4">
        <v>0.175</v>
      </c>
      <c r="G25" s="5">
        <f>100000+200000+175000+205000+40000+50000</f>
        <v>770000</v>
      </c>
      <c r="H25" s="2" t="s">
        <v>228</v>
      </c>
      <c r="I25" s="2" t="s">
        <v>299</v>
      </c>
      <c r="J25" s="28"/>
      <c r="K25" s="28"/>
    </row>
    <row r="26" ht="22.5" spans="1:10">
      <c r="A26" s="50" t="s">
        <v>75</v>
      </c>
      <c r="B26" s="13">
        <v>2730</v>
      </c>
      <c r="C26" s="2" t="s">
        <v>9</v>
      </c>
      <c r="D26" s="2" t="s">
        <v>161</v>
      </c>
      <c r="E26" s="2" t="s">
        <v>89</v>
      </c>
      <c r="F26" s="4">
        <v>0.13</v>
      </c>
      <c r="G26" s="5">
        <v>21000</v>
      </c>
      <c r="H26" s="2" t="s">
        <v>224</v>
      </c>
      <c r="I26" s="2" t="s">
        <v>306</v>
      </c>
      <c r="J26" s="28"/>
    </row>
    <row r="27" ht="22.5" spans="1:10">
      <c r="A27" s="51"/>
      <c r="B27" s="13">
        <f>4804.02+4680+2340+12870</f>
        <v>24694.02</v>
      </c>
      <c r="C27" s="2" t="s">
        <v>9</v>
      </c>
      <c r="D27" s="2" t="s">
        <v>182</v>
      </c>
      <c r="E27" s="2" t="s">
        <v>89</v>
      </c>
      <c r="F27" s="4">
        <v>0.195</v>
      </c>
      <c r="G27" s="5">
        <f>24636+24000+12000+66000</f>
        <v>126636</v>
      </c>
      <c r="H27" s="2" t="s">
        <v>224</v>
      </c>
      <c r="I27" s="2" t="s">
        <v>306</v>
      </c>
      <c r="J27" s="28"/>
    </row>
    <row r="28" ht="22.5" spans="1:10">
      <c r="A28" s="52"/>
      <c r="B28" s="13">
        <f>1680+1680</f>
        <v>3360</v>
      </c>
      <c r="C28" s="2" t="s">
        <v>9</v>
      </c>
      <c r="D28" s="2" t="s">
        <v>79</v>
      </c>
      <c r="E28" s="2" t="s">
        <v>89</v>
      </c>
      <c r="F28" s="4">
        <v>0.21</v>
      </c>
      <c r="G28" s="5">
        <f>8000+8000</f>
        <v>16000</v>
      </c>
      <c r="H28" s="2" t="s">
        <v>224</v>
      </c>
      <c r="I28" s="2" t="s">
        <v>306</v>
      </c>
      <c r="J28" s="28"/>
    </row>
    <row r="29" spans="9:10">
      <c r="I29" s="40" t="s">
        <v>28</v>
      </c>
      <c r="J29" s="41">
        <v>32400</v>
      </c>
    </row>
    <row r="30" spans="9:10">
      <c r="I30" s="40" t="s">
        <v>31</v>
      </c>
      <c r="J30" s="41">
        <v>111900</v>
      </c>
    </row>
    <row r="31" spans="9:10">
      <c r="I31" s="40" t="s">
        <v>32</v>
      </c>
      <c r="J31" s="41">
        <v>135939</v>
      </c>
    </row>
    <row r="32" spans="9:10">
      <c r="I32" s="40" t="s">
        <v>140</v>
      </c>
      <c r="J32" s="41">
        <v>186045</v>
      </c>
    </row>
    <row r="33" spans="9:10">
      <c r="I33" s="40" t="s">
        <v>142</v>
      </c>
      <c r="J33" s="41">
        <v>133782.6</v>
      </c>
    </row>
    <row r="34" spans="9:10">
      <c r="I34" s="42">
        <v>42736</v>
      </c>
      <c r="J34" s="41">
        <v>117630</v>
      </c>
    </row>
    <row r="35" spans="9:10">
      <c r="I35" s="40" t="s">
        <v>60</v>
      </c>
      <c r="J35" s="41">
        <v>56680</v>
      </c>
    </row>
    <row r="36" spans="9:10">
      <c r="I36" s="41" t="s">
        <v>58</v>
      </c>
      <c r="J36" s="43">
        <v>172605</v>
      </c>
    </row>
    <row r="37" spans="9:10">
      <c r="I37" s="41" t="s">
        <v>22</v>
      </c>
      <c r="J37" s="41">
        <v>224673</v>
      </c>
    </row>
    <row r="38" spans="9:10">
      <c r="I38" s="41" t="s">
        <v>24</v>
      </c>
      <c r="J38" s="41">
        <v>313761</v>
      </c>
    </row>
    <row r="39" spans="9:10">
      <c r="I39" s="41" t="s">
        <v>25</v>
      </c>
      <c r="J39" s="41">
        <v>561401.3</v>
      </c>
    </row>
    <row r="40" spans="9:10">
      <c r="I40" s="40" t="s">
        <v>28</v>
      </c>
      <c r="J40" s="41">
        <v>489075.24</v>
      </c>
    </row>
    <row r="41" spans="9:10">
      <c r="I41" s="40" t="s">
        <v>143</v>
      </c>
      <c r="J41" s="41">
        <v>1072775.15</v>
      </c>
    </row>
    <row r="42" spans="9:10">
      <c r="I42" s="41" t="s">
        <v>32</v>
      </c>
      <c r="J42" s="41">
        <v>1546532.63</v>
      </c>
    </row>
    <row r="43" spans="9:10">
      <c r="I43" s="41" t="s">
        <v>37</v>
      </c>
      <c r="J43" s="41">
        <v>1206965.46</v>
      </c>
    </row>
    <row r="44" spans="9:10">
      <c r="I44" s="41" t="s">
        <v>40</v>
      </c>
      <c r="J44" s="41">
        <v>1164153.55</v>
      </c>
    </row>
    <row r="45" spans="9:10">
      <c r="I45" s="41" t="s">
        <v>44</v>
      </c>
      <c r="J45" s="41">
        <v>1283006.2</v>
      </c>
    </row>
    <row r="46" spans="9:10">
      <c r="I46" s="42">
        <v>43101</v>
      </c>
      <c r="J46" s="41">
        <v>1552959</v>
      </c>
    </row>
    <row r="47" spans="9:10">
      <c r="I47" s="42">
        <v>43132</v>
      </c>
      <c r="J47" s="41">
        <v>573933.88</v>
      </c>
    </row>
    <row r="48" spans="9:10">
      <c r="I48" s="42">
        <v>43160</v>
      </c>
      <c r="J48" s="41">
        <v>725630.05</v>
      </c>
    </row>
    <row r="49" spans="9:10">
      <c r="I49" s="42">
        <v>43191</v>
      </c>
      <c r="J49" s="41">
        <v>998002.8</v>
      </c>
    </row>
    <row r="50" spans="9:10">
      <c r="I50" s="42">
        <v>43221</v>
      </c>
      <c r="J50" s="41">
        <v>1635478</v>
      </c>
    </row>
    <row r="51" spans="9:10">
      <c r="I51" s="42">
        <v>43252</v>
      </c>
      <c r="J51" s="43">
        <v>845035</v>
      </c>
    </row>
    <row r="52" spans="9:10">
      <c r="I52" s="42">
        <v>43282</v>
      </c>
      <c r="J52" s="43">
        <v>740330</v>
      </c>
    </row>
    <row r="53" spans="9:10">
      <c r="I53" s="42">
        <v>43313</v>
      </c>
      <c r="J53" s="43">
        <v>1048786.43</v>
      </c>
    </row>
    <row r="54" spans="9:10">
      <c r="I54" s="42">
        <v>43344</v>
      </c>
      <c r="J54" s="43">
        <v>900195</v>
      </c>
    </row>
    <row r="55" spans="9:10">
      <c r="I55" s="42">
        <v>43374</v>
      </c>
      <c r="J55" s="43">
        <v>443233</v>
      </c>
    </row>
    <row r="56" spans="9:10">
      <c r="I56" s="42">
        <v>43405</v>
      </c>
      <c r="J56" s="43">
        <v>889775</v>
      </c>
    </row>
    <row r="57" spans="9:10">
      <c r="I57" s="42">
        <v>43435</v>
      </c>
      <c r="J57" s="43">
        <v>339620</v>
      </c>
    </row>
    <row r="58" spans="9:10">
      <c r="I58" s="42">
        <v>43466</v>
      </c>
      <c r="J58" s="43">
        <v>250700</v>
      </c>
    </row>
    <row r="59" spans="9:10">
      <c r="I59" s="42">
        <v>43497</v>
      </c>
      <c r="J59" s="43">
        <v>601259.44</v>
      </c>
    </row>
    <row r="60" spans="9:10">
      <c r="I60" s="42">
        <v>43525</v>
      </c>
      <c r="J60" s="43">
        <v>317725.96</v>
      </c>
    </row>
    <row r="61" spans="9:10">
      <c r="I61" s="42">
        <v>43556</v>
      </c>
      <c r="J61" s="43">
        <v>490810</v>
      </c>
    </row>
    <row r="62" spans="9:10">
      <c r="I62" s="42">
        <v>43586</v>
      </c>
      <c r="J62" s="43">
        <v>416809</v>
      </c>
    </row>
    <row r="63" spans="9:10">
      <c r="I63" s="42">
        <v>43617</v>
      </c>
      <c r="J63" s="43">
        <v>499722</v>
      </c>
    </row>
    <row r="64" spans="9:10">
      <c r="I64" s="42">
        <v>43647</v>
      </c>
      <c r="J64" s="43">
        <v>547804.82</v>
      </c>
    </row>
  </sheetData>
  <mergeCells count="7">
    <mergeCell ref="A3:A4"/>
    <mergeCell ref="A5:A10"/>
    <mergeCell ref="A11:A18"/>
    <mergeCell ref="A20:A21"/>
    <mergeCell ref="A22:A23"/>
    <mergeCell ref="A24:A25"/>
    <mergeCell ref="A26:A28"/>
  </mergeCells>
  <pageMargins left="0.7" right="0.7" top="0.75" bottom="0.75" header="0.3" footer="0.3"/>
  <pageSetup paperSize="9" orientation="portrait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16" defaultRowHeight="42" customHeight="1" outlineLevelRow="5" outlineLevelCol="7"/>
  <sheetData>
    <row r="1" customHeight="1" spans="1:8">
      <c r="A1" s="318" t="s">
        <v>0</v>
      </c>
      <c r="B1" s="320" t="s">
        <v>20</v>
      </c>
      <c r="C1" s="320" t="s">
        <v>2</v>
      </c>
      <c r="D1" s="320" t="s">
        <v>3</v>
      </c>
      <c r="E1" s="320" t="s">
        <v>4</v>
      </c>
      <c r="F1" s="382" t="s">
        <v>21</v>
      </c>
      <c r="G1" s="382" t="s">
        <v>6</v>
      </c>
      <c r="H1" s="320" t="s">
        <v>7</v>
      </c>
    </row>
    <row r="2" customHeight="1" spans="1:8">
      <c r="A2" s="393" t="s">
        <v>8</v>
      </c>
      <c r="B2" s="337">
        <v>14400</v>
      </c>
      <c r="C2" s="337" t="s">
        <v>9</v>
      </c>
      <c r="D2" s="337">
        <v>3401</v>
      </c>
      <c r="E2" s="337" t="s">
        <v>10</v>
      </c>
      <c r="F2" s="378" t="s">
        <v>11</v>
      </c>
      <c r="G2" s="378" t="s">
        <v>12</v>
      </c>
      <c r="H2" s="337" t="s">
        <v>28</v>
      </c>
    </row>
    <row r="3" customHeight="1" spans="1:8">
      <c r="A3" s="393" t="s">
        <v>26</v>
      </c>
      <c r="B3" s="337">
        <v>11400</v>
      </c>
      <c r="C3" s="337" t="s">
        <v>9</v>
      </c>
      <c r="D3" s="337">
        <v>9926</v>
      </c>
      <c r="E3" s="337" t="s">
        <v>27</v>
      </c>
      <c r="F3" s="378">
        <v>0.11</v>
      </c>
      <c r="G3" s="378"/>
      <c r="H3" s="337" t="s">
        <v>28</v>
      </c>
    </row>
    <row r="4" customHeight="1" spans="1:8">
      <c r="A4" s="393" t="s">
        <v>29</v>
      </c>
      <c r="B4" s="337">
        <v>6600</v>
      </c>
      <c r="C4" s="337" t="s">
        <v>9</v>
      </c>
      <c r="D4" s="337">
        <v>4953</v>
      </c>
      <c r="E4" s="337" t="s">
        <v>27</v>
      </c>
      <c r="F4" s="378" t="s">
        <v>30</v>
      </c>
      <c r="G4" s="378"/>
      <c r="H4" s="337" t="s">
        <v>31</v>
      </c>
    </row>
    <row r="5" customHeight="1" spans="1:8">
      <c r="A5" s="388" t="s">
        <v>17</v>
      </c>
      <c r="B5" s="394">
        <v>32400</v>
      </c>
      <c r="C5" s="337"/>
      <c r="D5" s="337"/>
      <c r="E5" s="337"/>
      <c r="F5" s="378" t="s">
        <v>16</v>
      </c>
      <c r="G5" s="378"/>
      <c r="H5" s="378"/>
    </row>
    <row r="6" customHeight="1" spans="3:3">
      <c r="C6" s="387" t="s">
        <v>18</v>
      </c>
    </row>
  </sheetData>
  <pageMargins left="0.75" right="0.75" top="1" bottom="1" header="0.5" footer="0.5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opLeftCell="A16" workbookViewId="0">
      <selection activeCell="L1" sqref="L1"/>
    </sheetView>
  </sheetViews>
  <sheetFormatPr defaultColWidth="9" defaultRowHeight="14.25"/>
  <cols>
    <col min="1" max="1" width="14.125" customWidth="1"/>
    <col min="2" max="2" width="19.125" customWidth="1"/>
    <col min="3" max="4" width="14.125" customWidth="1"/>
    <col min="5" max="5" width="7.75" customWidth="1"/>
    <col min="6" max="6" width="20.75" customWidth="1"/>
    <col min="7" max="7" width="17.5" customWidth="1"/>
    <col min="8" max="8" width="31.875" customWidth="1"/>
    <col min="9" max="9" width="19.125" customWidth="1"/>
    <col min="10" max="10" width="12.75" customWidth="1"/>
    <col min="12" max="12" width="9.5" customWidth="1"/>
  </cols>
  <sheetData>
    <row r="1" ht="22.5" spans="1:12">
      <c r="A1" s="44" t="s">
        <v>0</v>
      </c>
      <c r="B1" s="45" t="s">
        <v>1</v>
      </c>
      <c r="C1" s="44" t="s">
        <v>2</v>
      </c>
      <c r="D1" s="44" t="s">
        <v>3</v>
      </c>
      <c r="E1" s="44" t="s">
        <v>4</v>
      </c>
      <c r="F1" s="4" t="s">
        <v>5</v>
      </c>
      <c r="G1" s="5" t="s">
        <v>6</v>
      </c>
      <c r="H1" s="44" t="s">
        <v>7</v>
      </c>
      <c r="L1" s="49"/>
    </row>
    <row r="2" ht="22.5" spans="1:11">
      <c r="A2" s="24" t="s">
        <v>165</v>
      </c>
      <c r="B2" s="13">
        <v>19380</v>
      </c>
      <c r="C2" s="2" t="s">
        <v>9</v>
      </c>
      <c r="D2" s="2" t="s">
        <v>199</v>
      </c>
      <c r="E2" s="2" t="s">
        <v>89</v>
      </c>
      <c r="F2" s="4">
        <v>0.19</v>
      </c>
      <c r="G2" s="5">
        <v>102000</v>
      </c>
      <c r="H2" s="14" t="s">
        <v>307</v>
      </c>
      <c r="I2" s="2" t="s">
        <v>308</v>
      </c>
      <c r="J2" s="37"/>
      <c r="K2" s="37"/>
    </row>
    <row r="3" ht="22.5" spans="1:11">
      <c r="A3" s="25"/>
      <c r="B3" s="13">
        <f>8750+4375</f>
        <v>13125</v>
      </c>
      <c r="C3" s="2" t="s">
        <v>9</v>
      </c>
      <c r="D3" s="2" t="s">
        <v>92</v>
      </c>
      <c r="E3" s="2" t="s">
        <v>89</v>
      </c>
      <c r="F3" s="4">
        <v>0.175</v>
      </c>
      <c r="G3" s="5">
        <f>50000+25000</f>
        <v>75000</v>
      </c>
      <c r="H3" s="14" t="s">
        <v>307</v>
      </c>
      <c r="I3" s="2" t="s">
        <v>308</v>
      </c>
      <c r="J3" s="37"/>
      <c r="K3" s="37"/>
    </row>
    <row r="4" ht="22.5" spans="1:11">
      <c r="A4" s="25"/>
      <c r="B4" s="13">
        <v>2250</v>
      </c>
      <c r="C4" s="2" t="s">
        <v>9</v>
      </c>
      <c r="D4" s="2" t="s">
        <v>172</v>
      </c>
      <c r="E4" s="2" t="s">
        <v>89</v>
      </c>
      <c r="F4" s="4">
        <v>0.15</v>
      </c>
      <c r="G4" s="5">
        <v>15000</v>
      </c>
      <c r="H4" s="14" t="s">
        <v>307</v>
      </c>
      <c r="I4" s="2" t="s">
        <v>308</v>
      </c>
      <c r="J4" s="37"/>
      <c r="K4" s="37"/>
    </row>
    <row r="5" ht="22.5" spans="1:11">
      <c r="A5" s="26"/>
      <c r="B5" s="13">
        <v>5880</v>
      </c>
      <c r="C5" s="2" t="s">
        <v>9</v>
      </c>
      <c r="D5" s="2" t="s">
        <v>161</v>
      </c>
      <c r="E5" s="2" t="s">
        <v>89</v>
      </c>
      <c r="F5" s="4">
        <v>0.14</v>
      </c>
      <c r="G5" s="5">
        <v>42000</v>
      </c>
      <c r="H5" s="14" t="s">
        <v>307</v>
      </c>
      <c r="I5" s="2" t="s">
        <v>308</v>
      </c>
      <c r="J5" s="37"/>
      <c r="K5" s="37"/>
    </row>
    <row r="6" ht="22.5" spans="1:11">
      <c r="A6" s="2" t="s">
        <v>80</v>
      </c>
      <c r="B6" s="13">
        <v>4650</v>
      </c>
      <c r="C6" s="2" t="s">
        <v>9</v>
      </c>
      <c r="D6" s="2" t="s">
        <v>172</v>
      </c>
      <c r="E6" s="2" t="s">
        <v>89</v>
      </c>
      <c r="F6" s="4">
        <v>0.155</v>
      </c>
      <c r="G6" s="5">
        <v>30000</v>
      </c>
      <c r="H6" s="14" t="s">
        <v>307</v>
      </c>
      <c r="I6" s="2" t="s">
        <v>308</v>
      </c>
      <c r="J6" s="37"/>
      <c r="K6" s="37"/>
    </row>
    <row r="7" s="1" customFormat="1" ht="22.5" spans="1:11">
      <c r="A7" s="24" t="s">
        <v>75</v>
      </c>
      <c r="B7" s="13">
        <f>1680+4200</f>
        <v>5880</v>
      </c>
      <c r="C7" s="2" t="s">
        <v>9</v>
      </c>
      <c r="D7" s="2" t="s">
        <v>79</v>
      </c>
      <c r="E7" s="2" t="s">
        <v>89</v>
      </c>
      <c r="F7" s="4">
        <v>0.21</v>
      </c>
      <c r="G7" s="5">
        <v>28000</v>
      </c>
      <c r="H7" s="2" t="s">
        <v>228</v>
      </c>
      <c r="I7" s="2" t="s">
        <v>308</v>
      </c>
      <c r="J7" s="28"/>
      <c r="K7" s="28"/>
    </row>
    <row r="8" s="1" customFormat="1" ht="22.5" spans="1:11">
      <c r="A8" s="25"/>
      <c r="B8" s="13">
        <f>11700+10530+2340</f>
        <v>24570</v>
      </c>
      <c r="C8" s="2" t="s">
        <v>9</v>
      </c>
      <c r="D8" s="2" t="s">
        <v>182</v>
      </c>
      <c r="E8" s="2" t="s">
        <v>89</v>
      </c>
      <c r="F8" s="4">
        <v>0.195</v>
      </c>
      <c r="G8" s="5">
        <f>60000+54000+12000</f>
        <v>126000</v>
      </c>
      <c r="H8" s="2" t="s">
        <v>228</v>
      </c>
      <c r="I8" s="2" t="s">
        <v>308</v>
      </c>
      <c r="J8" s="28"/>
      <c r="K8" s="28"/>
    </row>
    <row r="9" s="1" customFormat="1" ht="22.5" spans="1:11">
      <c r="A9" s="25"/>
      <c r="B9" s="13">
        <v>420</v>
      </c>
      <c r="C9" s="2" t="s">
        <v>9</v>
      </c>
      <c r="D9" s="2" t="s">
        <v>148</v>
      </c>
      <c r="E9" s="2" t="s">
        <v>89</v>
      </c>
      <c r="F9" s="4">
        <v>0.14</v>
      </c>
      <c r="G9" s="5">
        <v>3000</v>
      </c>
      <c r="H9" s="2" t="s">
        <v>228</v>
      </c>
      <c r="I9" s="2" t="s">
        <v>308</v>
      </c>
      <c r="J9" s="28"/>
      <c r="K9" s="28"/>
    </row>
    <row r="10" s="1" customFormat="1" ht="22.5" spans="1:11">
      <c r="A10" s="25"/>
      <c r="B10" s="13">
        <f>1140+1140</f>
        <v>2280</v>
      </c>
      <c r="C10" s="2" t="s">
        <v>9</v>
      </c>
      <c r="D10" s="2" t="s">
        <v>160</v>
      </c>
      <c r="E10" s="2" t="s">
        <v>89</v>
      </c>
      <c r="F10" s="4">
        <v>0.095</v>
      </c>
      <c r="G10" s="5">
        <f>12000+12000</f>
        <v>24000</v>
      </c>
      <c r="H10" s="2" t="s">
        <v>228</v>
      </c>
      <c r="I10" s="2" t="s">
        <v>308</v>
      </c>
      <c r="J10" s="28"/>
      <c r="K10" s="28"/>
    </row>
    <row r="11" s="1" customFormat="1" ht="22.5" spans="1:11">
      <c r="A11" s="25"/>
      <c r="B11" s="13">
        <v>4200</v>
      </c>
      <c r="C11" s="2" t="s">
        <v>9</v>
      </c>
      <c r="D11" s="2" t="s">
        <v>162</v>
      </c>
      <c r="E11" s="2" t="s">
        <v>89</v>
      </c>
      <c r="F11" s="4">
        <v>0.14</v>
      </c>
      <c r="G11" s="5">
        <v>30000</v>
      </c>
      <c r="H11" s="2" t="s">
        <v>228</v>
      </c>
      <c r="I11" s="2" t="s">
        <v>308</v>
      </c>
      <c r="J11" s="28"/>
      <c r="K11" s="28"/>
    </row>
    <row r="12" s="1" customFormat="1" ht="22.5" spans="1:11">
      <c r="A12" s="26"/>
      <c r="B12" s="13">
        <v>1560</v>
      </c>
      <c r="C12" s="2" t="s">
        <v>9</v>
      </c>
      <c r="D12" s="2" t="s">
        <v>161</v>
      </c>
      <c r="E12" s="2" t="s">
        <v>89</v>
      </c>
      <c r="F12" s="4">
        <v>0.13</v>
      </c>
      <c r="G12" s="5">
        <v>12000</v>
      </c>
      <c r="H12" s="2" t="s">
        <v>228</v>
      </c>
      <c r="I12" s="2" t="s">
        <v>308</v>
      </c>
      <c r="J12" s="28"/>
      <c r="K12" s="28"/>
    </row>
    <row r="13" ht="22.5" spans="1:11">
      <c r="A13" s="24" t="s">
        <v>174</v>
      </c>
      <c r="B13" s="13">
        <v>8580</v>
      </c>
      <c r="C13" s="2" t="s">
        <v>9</v>
      </c>
      <c r="D13" s="2" t="s">
        <v>73</v>
      </c>
      <c r="E13" s="2" t="s">
        <v>89</v>
      </c>
      <c r="F13" s="4">
        <v>0.165</v>
      </c>
      <c r="G13" s="5">
        <v>52000</v>
      </c>
      <c r="H13" s="14" t="s">
        <v>307</v>
      </c>
      <c r="I13" s="2" t="s">
        <v>308</v>
      </c>
      <c r="J13" s="37"/>
      <c r="K13" s="37"/>
    </row>
    <row r="14" ht="22.5" spans="1:11">
      <c r="A14" s="26"/>
      <c r="B14" s="13">
        <f>6800+15640</f>
        <v>22440</v>
      </c>
      <c r="C14" s="2" t="s">
        <v>9</v>
      </c>
      <c r="D14" s="2" t="s">
        <v>73</v>
      </c>
      <c r="E14" s="2" t="s">
        <v>89</v>
      </c>
      <c r="F14" s="4">
        <v>0.17</v>
      </c>
      <c r="G14" s="5">
        <f>40000+92000</f>
        <v>132000</v>
      </c>
      <c r="H14" s="2" t="s">
        <v>228</v>
      </c>
      <c r="I14" s="2" t="s">
        <v>308</v>
      </c>
      <c r="J14" s="37"/>
      <c r="K14" s="37"/>
    </row>
    <row r="15" ht="22.5" spans="1:11">
      <c r="A15" s="46" t="s">
        <v>8</v>
      </c>
      <c r="B15" s="13">
        <v>2610</v>
      </c>
      <c r="C15" s="2" t="s">
        <v>9</v>
      </c>
      <c r="D15" s="2" t="s">
        <v>162</v>
      </c>
      <c r="E15" s="2" t="s">
        <v>89</v>
      </c>
      <c r="F15" s="4">
        <v>0.145</v>
      </c>
      <c r="G15" s="5">
        <v>18000</v>
      </c>
      <c r="H15" s="2" t="s">
        <v>228</v>
      </c>
      <c r="I15" s="2" t="s">
        <v>308</v>
      </c>
      <c r="J15" s="37"/>
      <c r="K15" s="37"/>
    </row>
    <row r="16" ht="22.5" spans="1:11">
      <c r="A16" s="47"/>
      <c r="B16" s="13">
        <f>1620+2430</f>
        <v>4050</v>
      </c>
      <c r="C16" s="2" t="s">
        <v>9</v>
      </c>
      <c r="D16" s="2" t="s">
        <v>161</v>
      </c>
      <c r="E16" s="2" t="s">
        <v>89</v>
      </c>
      <c r="F16" s="4">
        <v>0.135</v>
      </c>
      <c r="G16" s="5">
        <f>12000+18000</f>
        <v>30000</v>
      </c>
      <c r="H16" s="2" t="s">
        <v>228</v>
      </c>
      <c r="I16" s="2" t="s">
        <v>308</v>
      </c>
      <c r="J16" s="37"/>
      <c r="K16" s="37"/>
    </row>
    <row r="17" ht="22.5" spans="1:11">
      <c r="A17" s="48"/>
      <c r="B17" s="13">
        <v>1710</v>
      </c>
      <c r="C17" s="2" t="s">
        <v>9</v>
      </c>
      <c r="D17" s="2" t="s">
        <v>160</v>
      </c>
      <c r="E17" s="2" t="s">
        <v>89</v>
      </c>
      <c r="F17" s="4">
        <v>0.095</v>
      </c>
      <c r="G17" s="5">
        <v>18000</v>
      </c>
      <c r="H17" s="2" t="s">
        <v>228</v>
      </c>
      <c r="I17" s="2" t="s">
        <v>308</v>
      </c>
      <c r="J17" s="37"/>
      <c r="K17" s="37"/>
    </row>
    <row r="18" ht="22.5" spans="1:11">
      <c r="A18" s="24" t="s">
        <v>285</v>
      </c>
      <c r="B18" s="13">
        <v>4736</v>
      </c>
      <c r="C18" s="2" t="s">
        <v>9</v>
      </c>
      <c r="D18" s="2" t="s">
        <v>73</v>
      </c>
      <c r="E18" s="2" t="s">
        <v>89</v>
      </c>
      <c r="F18" s="4">
        <v>0.148</v>
      </c>
      <c r="G18" s="5">
        <v>32000</v>
      </c>
      <c r="H18" s="14" t="s">
        <v>307</v>
      </c>
      <c r="I18" s="2" t="s">
        <v>308</v>
      </c>
      <c r="J18" s="37"/>
      <c r="K18" s="37"/>
    </row>
    <row r="19" ht="22.5" spans="1:11">
      <c r="A19" s="26"/>
      <c r="B19" s="13">
        <v>394.72</v>
      </c>
      <c r="C19" s="2" t="s">
        <v>9</v>
      </c>
      <c r="D19" s="2" t="s">
        <v>73</v>
      </c>
      <c r="E19" s="2" t="s">
        <v>89</v>
      </c>
      <c r="F19" s="4">
        <v>0.16</v>
      </c>
      <c r="G19" s="5">
        <v>2467</v>
      </c>
      <c r="H19" s="2" t="s">
        <v>266</v>
      </c>
      <c r="I19" s="2" t="s">
        <v>308</v>
      </c>
      <c r="K19" s="37"/>
    </row>
    <row r="20" ht="22.5" spans="1:11">
      <c r="A20" s="24" t="s">
        <v>279</v>
      </c>
      <c r="B20" s="13">
        <v>585</v>
      </c>
      <c r="C20" s="2" t="s">
        <v>9</v>
      </c>
      <c r="D20" s="2" t="s">
        <v>182</v>
      </c>
      <c r="E20" s="2" t="s">
        <v>89</v>
      </c>
      <c r="F20" s="4">
        <v>0.195</v>
      </c>
      <c r="G20" s="5">
        <v>3000</v>
      </c>
      <c r="H20" s="14" t="s">
        <v>307</v>
      </c>
      <c r="I20" s="2" t="s">
        <v>308</v>
      </c>
      <c r="J20" s="37"/>
      <c r="K20" s="37"/>
    </row>
    <row r="21" s="1" customFormat="1" ht="22.5" spans="1:11">
      <c r="A21" s="26"/>
      <c r="B21" s="13">
        <v>438</v>
      </c>
      <c r="C21" s="2" t="s">
        <v>9</v>
      </c>
      <c r="D21" s="2" t="s">
        <v>148</v>
      </c>
      <c r="E21" s="2" t="s">
        <v>89</v>
      </c>
      <c r="F21" s="4">
        <v>0.146</v>
      </c>
      <c r="G21" s="5">
        <f>+B21/F21</f>
        <v>3000</v>
      </c>
      <c r="H21" s="2" t="s">
        <v>226</v>
      </c>
      <c r="I21" s="2" t="s">
        <v>308</v>
      </c>
      <c r="J21"/>
      <c r="K21" s="37"/>
    </row>
    <row r="22" ht="22.5" spans="1:11">
      <c r="A22" s="24" t="s">
        <v>42</v>
      </c>
      <c r="B22" s="13">
        <v>1200</v>
      </c>
      <c r="C22" s="2" t="s">
        <v>9</v>
      </c>
      <c r="D22" s="2" t="s">
        <v>91</v>
      </c>
      <c r="E22" s="2" t="s">
        <v>89</v>
      </c>
      <c r="F22" s="4">
        <v>0.3</v>
      </c>
      <c r="G22" s="5">
        <v>4000</v>
      </c>
      <c r="H22" s="14" t="s">
        <v>307</v>
      </c>
      <c r="I22" s="2" t="s">
        <v>308</v>
      </c>
      <c r="J22" s="37"/>
      <c r="K22" s="37"/>
    </row>
    <row r="23" ht="22.5" spans="1:11">
      <c r="A23" s="25"/>
      <c r="B23" s="13">
        <v>4080</v>
      </c>
      <c r="C23" s="2" t="s">
        <v>9</v>
      </c>
      <c r="D23" s="2" t="s">
        <v>217</v>
      </c>
      <c r="E23" s="2" t="s">
        <v>89</v>
      </c>
      <c r="F23" s="4">
        <v>0.51</v>
      </c>
      <c r="G23" s="5">
        <v>8000</v>
      </c>
      <c r="H23" s="2" t="s">
        <v>228</v>
      </c>
      <c r="I23" s="2" t="s">
        <v>308</v>
      </c>
      <c r="J23" s="37"/>
      <c r="K23" s="37"/>
    </row>
    <row r="24" ht="22.5" spans="1:11">
      <c r="A24" s="26"/>
      <c r="B24" s="13">
        <v>2120</v>
      </c>
      <c r="C24" s="2" t="s">
        <v>9</v>
      </c>
      <c r="D24" s="2" t="s">
        <v>91</v>
      </c>
      <c r="E24" s="2" t="s">
        <v>89</v>
      </c>
      <c r="F24" s="4">
        <v>0.265</v>
      </c>
      <c r="G24" s="5">
        <v>8000</v>
      </c>
      <c r="H24" s="2" t="s">
        <v>228</v>
      </c>
      <c r="I24" s="2" t="s">
        <v>308</v>
      </c>
      <c r="J24" s="37"/>
      <c r="K24" s="37"/>
    </row>
    <row r="25" ht="22.5" spans="1:11">
      <c r="A25" s="2" t="s">
        <v>186</v>
      </c>
      <c r="B25" s="13">
        <v>1920</v>
      </c>
      <c r="C25" s="2" t="s">
        <v>9</v>
      </c>
      <c r="D25" s="2" t="s">
        <v>172</v>
      </c>
      <c r="E25" s="2" t="s">
        <v>89</v>
      </c>
      <c r="F25" s="4">
        <v>0.16</v>
      </c>
      <c r="G25" s="5">
        <v>12000</v>
      </c>
      <c r="H25" s="14" t="s">
        <v>307</v>
      </c>
      <c r="I25" s="2" t="s">
        <v>308</v>
      </c>
      <c r="J25" s="37"/>
      <c r="K25" s="37"/>
    </row>
    <row r="26" ht="22.5" spans="1:11">
      <c r="A26" s="24" t="s">
        <v>45</v>
      </c>
      <c r="B26" s="13">
        <v>6400</v>
      </c>
      <c r="C26" s="2" t="s">
        <v>9</v>
      </c>
      <c r="D26" s="2" t="s">
        <v>73</v>
      </c>
      <c r="E26" s="2" t="s">
        <v>89</v>
      </c>
      <c r="F26" s="4">
        <v>0.16</v>
      </c>
      <c r="G26" s="5">
        <v>40000</v>
      </c>
      <c r="H26" s="2" t="s">
        <v>228</v>
      </c>
      <c r="I26" s="2" t="s">
        <v>308</v>
      </c>
      <c r="J26" s="37"/>
      <c r="K26" s="37"/>
    </row>
    <row r="27" ht="22.5" spans="1:11">
      <c r="A27" s="26"/>
      <c r="B27" s="13">
        <v>5120</v>
      </c>
      <c r="C27" s="2" t="s">
        <v>9</v>
      </c>
      <c r="D27" s="2" t="s">
        <v>73</v>
      </c>
      <c r="E27" s="2" t="s">
        <v>89</v>
      </c>
      <c r="F27" s="4">
        <v>0.16</v>
      </c>
      <c r="G27" s="5">
        <v>32000</v>
      </c>
      <c r="H27" s="14" t="s">
        <v>307</v>
      </c>
      <c r="I27" s="2" t="s">
        <v>308</v>
      </c>
      <c r="J27" s="37"/>
      <c r="K27" s="37"/>
    </row>
    <row r="28" s="1" customFormat="1" ht="22.5" spans="1:11">
      <c r="A28" s="24" t="s">
        <v>292</v>
      </c>
      <c r="B28" s="13">
        <f>420+840</f>
        <v>1260</v>
      </c>
      <c r="C28" s="2" t="s">
        <v>9</v>
      </c>
      <c r="D28" s="2" t="s">
        <v>162</v>
      </c>
      <c r="E28" s="2" t="s">
        <v>89</v>
      </c>
      <c r="F28" s="4">
        <v>0.14</v>
      </c>
      <c r="G28" s="5">
        <v>9000</v>
      </c>
      <c r="H28" s="2" t="s">
        <v>228</v>
      </c>
      <c r="I28" s="2" t="s">
        <v>308</v>
      </c>
      <c r="J28" s="28"/>
      <c r="K28" s="28"/>
    </row>
    <row r="29" s="1" customFormat="1" ht="22.5" spans="1:11">
      <c r="A29" s="25"/>
      <c r="B29" s="13">
        <f>+F29*G29</f>
        <v>2250</v>
      </c>
      <c r="C29" s="2" t="s">
        <v>9</v>
      </c>
      <c r="D29" s="2" t="s">
        <v>160</v>
      </c>
      <c r="E29" s="2" t="s">
        <v>89</v>
      </c>
      <c r="F29" s="4">
        <v>0.09</v>
      </c>
      <c r="G29" s="5">
        <v>25000</v>
      </c>
      <c r="H29" s="2" t="s">
        <v>228</v>
      </c>
      <c r="I29" s="2" t="s">
        <v>308</v>
      </c>
      <c r="J29" s="28"/>
      <c r="K29" s="28"/>
    </row>
    <row r="30" s="1" customFormat="1" ht="22.5" spans="1:11">
      <c r="A30" s="25"/>
      <c r="B30" s="13">
        <v>840</v>
      </c>
      <c r="C30" s="2" t="s">
        <v>9</v>
      </c>
      <c r="D30" s="2" t="s">
        <v>162</v>
      </c>
      <c r="E30" s="2" t="s">
        <v>89</v>
      </c>
      <c r="F30" s="4">
        <v>0.14</v>
      </c>
      <c r="G30" s="5">
        <v>6000</v>
      </c>
      <c r="H30" s="14" t="s">
        <v>307</v>
      </c>
      <c r="I30" s="2" t="s">
        <v>308</v>
      </c>
      <c r="J30" s="28"/>
      <c r="K30" s="28"/>
    </row>
    <row r="31" s="1" customFormat="1" ht="22.5" spans="1:11">
      <c r="A31" s="26"/>
      <c r="B31" s="13">
        <v>270</v>
      </c>
      <c r="C31" s="2" t="s">
        <v>9</v>
      </c>
      <c r="D31" s="2" t="s">
        <v>173</v>
      </c>
      <c r="E31" s="2" t="s">
        <v>89</v>
      </c>
      <c r="F31" s="4">
        <v>0.09</v>
      </c>
      <c r="G31" s="5">
        <v>3000</v>
      </c>
      <c r="H31" s="14" t="s">
        <v>307</v>
      </c>
      <c r="I31" s="2" t="s">
        <v>308</v>
      </c>
      <c r="J31" s="28"/>
      <c r="K31" s="28"/>
    </row>
    <row r="32" ht="22.5" spans="1:11">
      <c r="A32" s="2" t="s">
        <v>62</v>
      </c>
      <c r="B32" s="13">
        <f>1360+2720</f>
        <v>4080</v>
      </c>
      <c r="C32" s="2" t="s">
        <v>9</v>
      </c>
      <c r="D32" s="2" t="s">
        <v>73</v>
      </c>
      <c r="E32" s="2" t="s">
        <v>89</v>
      </c>
      <c r="F32" s="4">
        <v>0.17</v>
      </c>
      <c r="G32" s="5">
        <f>8000+16000</f>
        <v>24000</v>
      </c>
      <c r="H32" s="14" t="s">
        <v>307</v>
      </c>
      <c r="I32" s="2" t="s">
        <v>308</v>
      </c>
      <c r="J32" s="37"/>
      <c r="K32" s="37"/>
    </row>
    <row r="33" ht="22.5" spans="1:11">
      <c r="A33" s="2" t="s">
        <v>303</v>
      </c>
      <c r="B33" s="13">
        <v>8550</v>
      </c>
      <c r="C33" s="2" t="s">
        <v>9</v>
      </c>
      <c r="D33" s="2" t="s">
        <v>182</v>
      </c>
      <c r="E33" s="2" t="s">
        <v>89</v>
      </c>
      <c r="F33" s="4">
        <v>0.19</v>
      </c>
      <c r="G33" s="5">
        <v>45000</v>
      </c>
      <c r="H33" s="14" t="s">
        <v>307</v>
      </c>
      <c r="I33" s="2" t="s">
        <v>308</v>
      </c>
      <c r="J33" s="37"/>
      <c r="K33" s="37"/>
    </row>
    <row r="34" s="1" customFormat="1" ht="22.5" spans="1:11">
      <c r="A34" s="24" t="s">
        <v>14</v>
      </c>
      <c r="B34" s="13">
        <f>67500+8100+15120+13500+38880</f>
        <v>143100</v>
      </c>
      <c r="C34" s="2" t="s">
        <v>9</v>
      </c>
      <c r="D34" s="2" t="s">
        <v>73</v>
      </c>
      <c r="E34" s="2" t="s">
        <v>89</v>
      </c>
      <c r="F34" s="4">
        <v>0.135</v>
      </c>
      <c r="G34" s="5">
        <f>500000+60000+112000+100000+288000</f>
        <v>1060000</v>
      </c>
      <c r="H34" s="14" t="s">
        <v>307</v>
      </c>
      <c r="I34" s="2" t="s">
        <v>308</v>
      </c>
      <c r="J34" s="28"/>
      <c r="K34" s="28"/>
    </row>
    <row r="35" s="1" customFormat="1" ht="22.5" spans="1:11">
      <c r="A35" s="25"/>
      <c r="B35" s="13">
        <f>26010+510</f>
        <v>26520</v>
      </c>
      <c r="C35" s="2" t="s">
        <v>9</v>
      </c>
      <c r="D35" s="2" t="s">
        <v>53</v>
      </c>
      <c r="E35" s="2" t="s">
        <v>89</v>
      </c>
      <c r="F35" s="4">
        <v>0.17</v>
      </c>
      <c r="G35" s="5">
        <f>153000+3000</f>
        <v>156000</v>
      </c>
      <c r="H35" s="14" t="s">
        <v>307</v>
      </c>
      <c r="I35" s="2" t="s">
        <v>308</v>
      </c>
      <c r="J35" s="28"/>
      <c r="K35" s="28"/>
    </row>
    <row r="36" s="1" customFormat="1" ht="22.5" spans="1:11">
      <c r="A36" s="26"/>
      <c r="B36" s="13">
        <v>3280</v>
      </c>
      <c r="C36" s="2" t="s">
        <v>9</v>
      </c>
      <c r="D36" s="2" t="s">
        <v>79</v>
      </c>
      <c r="E36" s="2" t="s">
        <v>89</v>
      </c>
      <c r="F36" s="4">
        <v>0.205</v>
      </c>
      <c r="G36" s="5">
        <v>16000</v>
      </c>
      <c r="H36" s="14" t="s">
        <v>307</v>
      </c>
      <c r="I36" s="2" t="s">
        <v>308</v>
      </c>
      <c r="J36" s="28"/>
      <c r="K36" s="28"/>
    </row>
    <row r="37" spans="9:10">
      <c r="I37" s="40" t="s">
        <v>28</v>
      </c>
      <c r="J37" s="41">
        <v>32400</v>
      </c>
    </row>
    <row r="38" spans="9:10">
      <c r="I38" s="40" t="s">
        <v>31</v>
      </c>
      <c r="J38" s="41">
        <v>111900</v>
      </c>
    </row>
    <row r="39" spans="9:10">
      <c r="I39" s="40" t="s">
        <v>32</v>
      </c>
      <c r="J39" s="41">
        <v>135939</v>
      </c>
    </row>
    <row r="40" spans="9:10">
      <c r="I40" s="40" t="s">
        <v>140</v>
      </c>
      <c r="J40" s="41">
        <v>186045</v>
      </c>
    </row>
    <row r="41" spans="9:10">
      <c r="I41" s="40" t="s">
        <v>142</v>
      </c>
      <c r="J41" s="41">
        <v>133782.6</v>
      </c>
    </row>
    <row r="42" spans="9:10">
      <c r="I42" s="42">
        <v>42736</v>
      </c>
      <c r="J42" s="41">
        <v>117630</v>
      </c>
    </row>
    <row r="43" spans="9:10">
      <c r="I43" s="40" t="s">
        <v>60</v>
      </c>
      <c r="J43" s="41">
        <v>56680</v>
      </c>
    </row>
    <row r="44" spans="9:10">
      <c r="I44" s="41" t="s">
        <v>58</v>
      </c>
      <c r="J44" s="43">
        <v>172605</v>
      </c>
    </row>
    <row r="45" spans="9:10">
      <c r="I45" s="41" t="s">
        <v>22</v>
      </c>
      <c r="J45" s="41">
        <v>224673</v>
      </c>
    </row>
    <row r="46" spans="9:10">
      <c r="I46" s="41" t="s">
        <v>24</v>
      </c>
      <c r="J46" s="41">
        <v>313761</v>
      </c>
    </row>
    <row r="47" spans="9:10">
      <c r="I47" s="41" t="s">
        <v>25</v>
      </c>
      <c r="J47" s="41">
        <v>561401.3</v>
      </c>
    </row>
    <row r="48" spans="9:10">
      <c r="I48" s="40" t="s">
        <v>28</v>
      </c>
      <c r="J48" s="41">
        <v>489075.24</v>
      </c>
    </row>
    <row r="49" spans="9:10">
      <c r="I49" s="40" t="s">
        <v>143</v>
      </c>
      <c r="J49" s="41">
        <v>1072775.15</v>
      </c>
    </row>
    <row r="50" spans="9:10">
      <c r="I50" s="41" t="s">
        <v>32</v>
      </c>
      <c r="J50" s="41">
        <v>1546532.63</v>
      </c>
    </row>
    <row r="51" spans="9:10">
      <c r="I51" s="41" t="s">
        <v>37</v>
      </c>
      <c r="J51" s="41">
        <v>1206965.46</v>
      </c>
    </row>
    <row r="52" spans="9:10">
      <c r="I52" s="41" t="s">
        <v>40</v>
      </c>
      <c r="J52" s="41">
        <v>1164153.55</v>
      </c>
    </row>
    <row r="53" spans="9:10">
      <c r="I53" s="41" t="s">
        <v>44</v>
      </c>
      <c r="J53" s="41">
        <v>1283006.2</v>
      </c>
    </row>
    <row r="54" spans="9:10">
      <c r="I54" s="42">
        <v>43101</v>
      </c>
      <c r="J54" s="41">
        <v>1552959</v>
      </c>
    </row>
    <row r="55" spans="9:10">
      <c r="I55" s="42">
        <v>43132</v>
      </c>
      <c r="J55" s="41">
        <v>573933.88</v>
      </c>
    </row>
    <row r="56" spans="9:10">
      <c r="I56" s="42">
        <v>43160</v>
      </c>
      <c r="J56" s="41">
        <v>725630.05</v>
      </c>
    </row>
    <row r="57" spans="9:10">
      <c r="I57" s="42">
        <v>43191</v>
      </c>
      <c r="J57" s="41">
        <v>998002.8</v>
      </c>
    </row>
    <row r="58" spans="9:10">
      <c r="I58" s="42">
        <v>43221</v>
      </c>
      <c r="J58" s="41">
        <v>1635478</v>
      </c>
    </row>
    <row r="59" spans="9:10">
      <c r="I59" s="42">
        <v>43252</v>
      </c>
      <c r="J59" s="43">
        <v>845035</v>
      </c>
    </row>
    <row r="60" spans="9:10">
      <c r="I60" s="42">
        <v>43282</v>
      </c>
      <c r="J60" s="43">
        <v>740330</v>
      </c>
    </row>
    <row r="61" spans="9:10">
      <c r="I61" s="42">
        <v>43313</v>
      </c>
      <c r="J61" s="43">
        <v>1048786.43</v>
      </c>
    </row>
    <row r="62" spans="9:10">
      <c r="I62" s="42">
        <v>43344</v>
      </c>
      <c r="J62" s="43">
        <v>900195</v>
      </c>
    </row>
    <row r="63" spans="9:10">
      <c r="I63" s="42">
        <v>43374</v>
      </c>
      <c r="J63" s="43">
        <v>443233</v>
      </c>
    </row>
    <row r="64" spans="9:10">
      <c r="I64" s="42">
        <v>43405</v>
      </c>
      <c r="J64" s="43">
        <v>889775</v>
      </c>
    </row>
    <row r="65" spans="9:10">
      <c r="I65" s="42">
        <v>43435</v>
      </c>
      <c r="J65" s="43">
        <v>339620</v>
      </c>
    </row>
    <row r="66" spans="9:10">
      <c r="I66" s="42">
        <v>43466</v>
      </c>
      <c r="J66" s="43">
        <v>250700</v>
      </c>
    </row>
    <row r="67" spans="9:10">
      <c r="I67" s="42">
        <v>43497</v>
      </c>
      <c r="J67" s="43">
        <v>601259.44</v>
      </c>
    </row>
    <row r="68" spans="9:10">
      <c r="I68" s="42">
        <v>43525</v>
      </c>
      <c r="J68" s="43">
        <v>317725.96</v>
      </c>
    </row>
    <row r="69" spans="9:10">
      <c r="I69" s="42">
        <v>43556</v>
      </c>
      <c r="J69" s="43">
        <v>490810</v>
      </c>
    </row>
    <row r="70" spans="9:10">
      <c r="I70" s="42">
        <v>43586</v>
      </c>
      <c r="J70" s="43">
        <v>416809</v>
      </c>
    </row>
    <row r="71" spans="9:10">
      <c r="I71" s="42">
        <v>43617</v>
      </c>
      <c r="J71" s="43">
        <v>499722</v>
      </c>
    </row>
    <row r="72" spans="9:10">
      <c r="I72" s="42">
        <v>43647</v>
      </c>
      <c r="J72" s="43">
        <v>547804.82</v>
      </c>
    </row>
    <row r="73" spans="9:10">
      <c r="I73" s="42">
        <v>43678</v>
      </c>
      <c r="J73" s="43">
        <v>340728.72</v>
      </c>
    </row>
  </sheetData>
  <mergeCells count="10">
    <mergeCell ref="A2:A5"/>
    <mergeCell ref="A7:A12"/>
    <mergeCell ref="A13:A14"/>
    <mergeCell ref="A15:A17"/>
    <mergeCell ref="A18:A19"/>
    <mergeCell ref="A20:A21"/>
    <mergeCell ref="A22:A24"/>
    <mergeCell ref="A26:A27"/>
    <mergeCell ref="A28:A31"/>
    <mergeCell ref="A34:A36"/>
  </mergeCells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L1" sqref="L1"/>
    </sheetView>
  </sheetViews>
  <sheetFormatPr defaultColWidth="9" defaultRowHeight="14.25"/>
  <cols>
    <col min="1" max="1" width="17.125" style="1" customWidth="1"/>
    <col min="2" max="2" width="19.75" style="1" customWidth="1"/>
    <col min="3" max="7" width="17.125" style="1" customWidth="1"/>
    <col min="8" max="8" width="20.75" style="1" customWidth="1"/>
    <col min="9" max="9" width="55.75" style="1" customWidth="1"/>
    <col min="10" max="10" width="16" style="1" customWidth="1"/>
    <col min="11" max="11" width="9" style="1"/>
    <col min="12" max="12" width="9.5" style="1" customWidth="1"/>
    <col min="13" max="16384" width="9" style="1"/>
  </cols>
  <sheetData>
    <row r="1" ht="22.5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L1" s="36"/>
    </row>
    <row r="2" ht="22.5" spans="1:11">
      <c r="A2" s="16" t="s">
        <v>245</v>
      </c>
      <c r="B2" s="13">
        <v>5040</v>
      </c>
      <c r="C2" s="16" t="s">
        <v>9</v>
      </c>
      <c r="D2" s="16" t="s">
        <v>146</v>
      </c>
      <c r="E2" s="16" t="s">
        <v>89</v>
      </c>
      <c r="F2" s="17">
        <v>0.21</v>
      </c>
      <c r="G2" s="18">
        <v>24000</v>
      </c>
      <c r="H2" s="16" t="s">
        <v>228</v>
      </c>
      <c r="I2" s="2" t="s">
        <v>309</v>
      </c>
      <c r="J2" s="28" t="s">
        <v>310</v>
      </c>
      <c r="K2" s="28"/>
    </row>
    <row r="3" ht="22.5" spans="1:11">
      <c r="A3" s="24" t="s">
        <v>311</v>
      </c>
      <c r="B3" s="13">
        <f>600+1200</f>
        <v>1800</v>
      </c>
      <c r="C3" s="2" t="s">
        <v>9</v>
      </c>
      <c r="D3" s="2" t="s">
        <v>199</v>
      </c>
      <c r="E3" s="2" t="s">
        <v>89</v>
      </c>
      <c r="F3" s="4">
        <v>0.2</v>
      </c>
      <c r="G3" s="5">
        <f>3000+6000</f>
        <v>9000</v>
      </c>
      <c r="H3" s="14" t="s">
        <v>312</v>
      </c>
      <c r="I3" s="2" t="s">
        <v>313</v>
      </c>
      <c r="J3" s="28" t="s">
        <v>310</v>
      </c>
      <c r="K3" s="28"/>
    </row>
    <row r="4" ht="22.5" spans="1:11">
      <c r="A4" s="26"/>
      <c r="B4" s="13">
        <f>9600+6000+6600+5400</f>
        <v>27600</v>
      </c>
      <c r="C4" s="2" t="s">
        <v>9</v>
      </c>
      <c r="D4" s="2" t="s">
        <v>199</v>
      </c>
      <c r="E4" s="2" t="s">
        <v>89</v>
      </c>
      <c r="F4" s="4">
        <v>0.2</v>
      </c>
      <c r="G4" s="5">
        <f>48000+30000+33000+27000</f>
        <v>138000</v>
      </c>
      <c r="H4" s="14" t="s">
        <v>312</v>
      </c>
      <c r="I4" s="2" t="s">
        <v>313</v>
      </c>
      <c r="J4" s="28" t="s">
        <v>310</v>
      </c>
      <c r="K4" s="28"/>
    </row>
    <row r="5" customFormat="1" ht="22.5" spans="1:11">
      <c r="A5" s="2" t="s">
        <v>314</v>
      </c>
      <c r="B5" s="13">
        <v>4800</v>
      </c>
      <c r="C5" s="2" t="s">
        <v>9</v>
      </c>
      <c r="D5" s="2" t="s">
        <v>73</v>
      </c>
      <c r="E5" s="2" t="s">
        <v>89</v>
      </c>
      <c r="F5" s="4">
        <v>0.15</v>
      </c>
      <c r="G5" s="5">
        <v>32000</v>
      </c>
      <c r="H5" s="2" t="s">
        <v>228</v>
      </c>
      <c r="I5" s="2" t="s">
        <v>315</v>
      </c>
      <c r="J5" s="37"/>
      <c r="K5" s="37"/>
    </row>
    <row r="6" ht="22.5" spans="1:11">
      <c r="A6" s="2" t="s">
        <v>52</v>
      </c>
      <c r="B6" s="13">
        <v>37125</v>
      </c>
      <c r="C6" s="2" t="s">
        <v>9</v>
      </c>
      <c r="D6" s="2" t="s">
        <v>53</v>
      </c>
      <c r="E6" s="2" t="s">
        <v>89</v>
      </c>
      <c r="F6" s="4">
        <v>0.165</v>
      </c>
      <c r="G6" s="5">
        <v>225000</v>
      </c>
      <c r="H6" s="14" t="s">
        <v>316</v>
      </c>
      <c r="I6" s="2" t="s">
        <v>317</v>
      </c>
      <c r="J6" s="28"/>
      <c r="K6" s="28"/>
    </row>
    <row r="7" ht="22.5" spans="1:11">
      <c r="A7" s="2" t="s">
        <v>42</v>
      </c>
      <c r="B7" s="13">
        <v>6000</v>
      </c>
      <c r="C7" s="2" t="s">
        <v>9</v>
      </c>
      <c r="D7" s="2" t="s">
        <v>91</v>
      </c>
      <c r="E7" s="2" t="s">
        <v>89</v>
      </c>
      <c r="F7" s="4">
        <v>0.3</v>
      </c>
      <c r="G7" s="5">
        <f>12000+8000</f>
        <v>20000</v>
      </c>
      <c r="H7" s="14" t="s">
        <v>316</v>
      </c>
      <c r="I7" s="2" t="s">
        <v>318</v>
      </c>
      <c r="J7" s="28"/>
      <c r="K7" s="28"/>
    </row>
    <row r="8" ht="22.5" customHeight="1" spans="1:11">
      <c r="A8" s="29" t="s">
        <v>301</v>
      </c>
      <c r="B8" s="13">
        <v>2790</v>
      </c>
      <c r="C8" s="2" t="s">
        <v>9</v>
      </c>
      <c r="D8" s="2" t="s">
        <v>148</v>
      </c>
      <c r="E8" s="2" t="s">
        <v>89</v>
      </c>
      <c r="F8" s="4">
        <v>0.155</v>
      </c>
      <c r="G8" s="5">
        <v>18000</v>
      </c>
      <c r="H8" s="2" t="s">
        <v>228</v>
      </c>
      <c r="I8" s="2" t="s">
        <v>309</v>
      </c>
      <c r="J8" s="28"/>
      <c r="K8" s="28"/>
    </row>
    <row r="9" ht="22.5" spans="1:11">
      <c r="A9" s="30"/>
      <c r="B9" s="13">
        <f>7650+7650+4500</f>
        <v>19800</v>
      </c>
      <c r="C9" s="2" t="s">
        <v>9</v>
      </c>
      <c r="D9" s="2" t="s">
        <v>148</v>
      </c>
      <c r="E9" s="2" t="s">
        <v>89</v>
      </c>
      <c r="F9" s="4">
        <v>0.15</v>
      </c>
      <c r="G9" s="5">
        <f>51000+51000+30000</f>
        <v>132000</v>
      </c>
      <c r="H9" s="2" t="s">
        <v>228</v>
      </c>
      <c r="I9" s="2" t="s">
        <v>309</v>
      </c>
      <c r="J9" s="28"/>
      <c r="K9" s="28"/>
    </row>
    <row r="10" ht="22.5" spans="1:11">
      <c r="A10" s="30"/>
      <c r="B10" s="13">
        <f>4050+4050</f>
        <v>8100</v>
      </c>
      <c r="C10" s="2" t="s">
        <v>9</v>
      </c>
      <c r="D10" s="2" t="s">
        <v>161</v>
      </c>
      <c r="E10" s="2" t="s">
        <v>89</v>
      </c>
      <c r="F10" s="4">
        <v>0.135</v>
      </c>
      <c r="G10" s="5">
        <f>30000+30000</f>
        <v>60000</v>
      </c>
      <c r="H10" s="2" t="s">
        <v>228</v>
      </c>
      <c r="I10" s="2" t="s">
        <v>309</v>
      </c>
      <c r="J10" s="28"/>
      <c r="K10" s="28"/>
    </row>
    <row r="11" ht="22.5" spans="1:11">
      <c r="A11" s="2" t="s">
        <v>45</v>
      </c>
      <c r="B11" s="13">
        <f>7680+8320</f>
        <v>16000</v>
      </c>
      <c r="C11" s="2" t="s">
        <v>9</v>
      </c>
      <c r="D11" s="2" t="s">
        <v>73</v>
      </c>
      <c r="E11" s="2" t="s">
        <v>89</v>
      </c>
      <c r="F11" s="4">
        <v>0.16</v>
      </c>
      <c r="G11" s="5">
        <f>48000+52000</f>
        <v>100000</v>
      </c>
      <c r="H11" s="14" t="s">
        <v>316</v>
      </c>
      <c r="I11" s="2" t="s">
        <v>309</v>
      </c>
      <c r="J11" s="28"/>
      <c r="K11" s="28"/>
    </row>
    <row r="12" ht="22.5" spans="1:11">
      <c r="A12" s="24" t="s">
        <v>77</v>
      </c>
      <c r="B12" s="13">
        <f>13500+18000</f>
        <v>31500</v>
      </c>
      <c r="C12" s="2" t="s">
        <v>9</v>
      </c>
      <c r="D12" s="2" t="s">
        <v>92</v>
      </c>
      <c r="E12" s="2" t="s">
        <v>89</v>
      </c>
      <c r="F12" s="4">
        <v>0.15</v>
      </c>
      <c r="G12" s="5">
        <f>90000+120000</f>
        <v>210000</v>
      </c>
      <c r="H12" s="14" t="s">
        <v>307</v>
      </c>
      <c r="I12" s="2" t="s">
        <v>309</v>
      </c>
      <c r="J12" s="28"/>
      <c r="K12" s="28"/>
    </row>
    <row r="13" ht="22.5" spans="1:11">
      <c r="A13" s="25"/>
      <c r="B13" s="13">
        <v>10600</v>
      </c>
      <c r="C13" s="2" t="s">
        <v>9</v>
      </c>
      <c r="D13" s="2" t="s">
        <v>91</v>
      </c>
      <c r="E13" s="2" t="s">
        <v>89</v>
      </c>
      <c r="F13" s="4">
        <v>0.265</v>
      </c>
      <c r="G13" s="5">
        <v>40000</v>
      </c>
      <c r="H13" s="14" t="s">
        <v>307</v>
      </c>
      <c r="I13" s="2" t="s">
        <v>309</v>
      </c>
      <c r="J13" s="28"/>
      <c r="K13" s="28"/>
    </row>
    <row r="14" ht="22.5" spans="1:11">
      <c r="A14" s="25"/>
      <c r="B14" s="13">
        <f>20400+23800</f>
        <v>44200</v>
      </c>
      <c r="C14" s="16" t="s">
        <v>9</v>
      </c>
      <c r="D14" s="2" t="s">
        <v>92</v>
      </c>
      <c r="E14" s="16" t="s">
        <v>89</v>
      </c>
      <c r="F14" s="4">
        <v>0.17</v>
      </c>
      <c r="G14" s="5">
        <f>120000+140000</f>
        <v>260000</v>
      </c>
      <c r="H14" s="2" t="s">
        <v>228</v>
      </c>
      <c r="I14" s="2" t="s">
        <v>309</v>
      </c>
      <c r="J14" s="28"/>
      <c r="K14" s="28"/>
    </row>
    <row r="15" ht="22.5" spans="1:11">
      <c r="A15" s="25"/>
      <c r="B15" s="13">
        <f>8000+9600+16000+19200</f>
        <v>52800</v>
      </c>
      <c r="C15" s="16" t="s">
        <v>9</v>
      </c>
      <c r="D15" s="2" t="s">
        <v>92</v>
      </c>
      <c r="E15" s="16" t="s">
        <v>89</v>
      </c>
      <c r="F15" s="4">
        <v>0.16</v>
      </c>
      <c r="G15" s="5">
        <f>50000+60000+100000+120000</f>
        <v>330000</v>
      </c>
      <c r="H15" s="2" t="s">
        <v>228</v>
      </c>
      <c r="I15" s="2" t="s">
        <v>309</v>
      </c>
      <c r="J15" s="28"/>
      <c r="K15" s="28"/>
    </row>
    <row r="16" ht="22.5" spans="1:11">
      <c r="A16" s="25"/>
      <c r="B16" s="13">
        <v>10600</v>
      </c>
      <c r="C16" s="16" t="s">
        <v>9</v>
      </c>
      <c r="D16" s="2" t="s">
        <v>91</v>
      </c>
      <c r="E16" s="16" t="s">
        <v>89</v>
      </c>
      <c r="F16" s="4">
        <v>0.265</v>
      </c>
      <c r="G16" s="5">
        <v>40000</v>
      </c>
      <c r="H16" s="2" t="s">
        <v>228</v>
      </c>
      <c r="I16" s="2" t="s">
        <v>309</v>
      </c>
      <c r="J16" s="28"/>
      <c r="K16" s="28"/>
    </row>
    <row r="17" ht="22.5" spans="1:11">
      <c r="A17" s="24" t="s">
        <v>8</v>
      </c>
      <c r="B17" s="13">
        <v>2430</v>
      </c>
      <c r="C17" s="2" t="s">
        <v>9</v>
      </c>
      <c r="D17" s="2" t="s">
        <v>161</v>
      </c>
      <c r="E17" s="2" t="s">
        <v>89</v>
      </c>
      <c r="F17" s="4">
        <v>0.135</v>
      </c>
      <c r="G17" s="5">
        <v>18000</v>
      </c>
      <c r="H17" s="14" t="s">
        <v>307</v>
      </c>
      <c r="I17" s="2" t="s">
        <v>309</v>
      </c>
      <c r="J17" s="28"/>
      <c r="K17" s="28"/>
    </row>
    <row r="18" ht="22.5" spans="1:11">
      <c r="A18" s="25"/>
      <c r="B18" s="13">
        <v>3072</v>
      </c>
      <c r="C18" s="2" t="s">
        <v>9</v>
      </c>
      <c r="D18" s="2" t="s">
        <v>161</v>
      </c>
      <c r="E18" s="2" t="s">
        <v>89</v>
      </c>
      <c r="F18" s="4">
        <v>0.128</v>
      </c>
      <c r="G18" s="5">
        <v>24000</v>
      </c>
      <c r="H18" s="14" t="s">
        <v>307</v>
      </c>
      <c r="I18" s="2" t="s">
        <v>309</v>
      </c>
      <c r="J18" s="28"/>
      <c r="K18" s="28"/>
    </row>
    <row r="19" ht="22.5" spans="1:11">
      <c r="A19" s="25"/>
      <c r="B19" s="13">
        <v>585</v>
      </c>
      <c r="C19" s="2" t="s">
        <v>9</v>
      </c>
      <c r="D19" s="2" t="s">
        <v>273</v>
      </c>
      <c r="E19" s="2" t="s">
        <v>89</v>
      </c>
      <c r="F19" s="4">
        <v>0.065</v>
      </c>
      <c r="G19" s="5">
        <v>9000</v>
      </c>
      <c r="H19" s="14" t="s">
        <v>307</v>
      </c>
      <c r="I19" s="2" t="s">
        <v>309</v>
      </c>
      <c r="J19" s="28"/>
      <c r="K19" s="28"/>
    </row>
    <row r="20" ht="22.5" spans="1:11">
      <c r="A20" s="25"/>
      <c r="B20" s="13">
        <f>1425+1995</f>
        <v>3420</v>
      </c>
      <c r="C20" s="2" t="s">
        <v>9</v>
      </c>
      <c r="D20" s="2" t="s">
        <v>160</v>
      </c>
      <c r="E20" s="2" t="s">
        <v>89</v>
      </c>
      <c r="F20" s="4">
        <v>0.095</v>
      </c>
      <c r="G20" s="5">
        <f>15000+21000</f>
        <v>36000</v>
      </c>
      <c r="H20" s="14" t="s">
        <v>307</v>
      </c>
      <c r="I20" s="2" t="s">
        <v>309</v>
      </c>
      <c r="J20" s="28"/>
      <c r="K20" s="28"/>
    </row>
    <row r="21" ht="22.5" spans="1:11">
      <c r="A21" s="25"/>
      <c r="B21" s="13">
        <f>1215+1620+810</f>
        <v>3645</v>
      </c>
      <c r="C21" s="2" t="s">
        <v>9</v>
      </c>
      <c r="D21" s="2" t="s">
        <v>162</v>
      </c>
      <c r="E21" s="2" t="s">
        <v>89</v>
      </c>
      <c r="F21" s="4">
        <v>0.135</v>
      </c>
      <c r="G21" s="5">
        <f>9000+12000+6000</f>
        <v>27000</v>
      </c>
      <c r="H21" s="14" t="s">
        <v>316</v>
      </c>
      <c r="I21" s="38" t="s">
        <v>319</v>
      </c>
      <c r="J21" s="28"/>
      <c r="K21" s="28"/>
    </row>
    <row r="22" ht="22.5" spans="1:11">
      <c r="A22" s="25"/>
      <c r="B22" s="13">
        <f>1710+2280+3135</f>
        <v>7125</v>
      </c>
      <c r="C22" s="2" t="s">
        <v>9</v>
      </c>
      <c r="D22" s="2" t="s">
        <v>160</v>
      </c>
      <c r="E22" s="2" t="s">
        <v>89</v>
      </c>
      <c r="F22" s="4">
        <v>0.095</v>
      </c>
      <c r="G22" s="5">
        <f>18000+24000+33000</f>
        <v>75000</v>
      </c>
      <c r="H22" s="14" t="s">
        <v>316</v>
      </c>
      <c r="I22" s="38" t="s">
        <v>319</v>
      </c>
      <c r="J22" s="28"/>
      <c r="K22" s="28"/>
    </row>
    <row r="23" ht="22.5" spans="1:11">
      <c r="A23" s="25"/>
      <c r="B23" s="13">
        <f>195+390+585</f>
        <v>1170</v>
      </c>
      <c r="C23" s="2" t="s">
        <v>9</v>
      </c>
      <c r="D23" s="2" t="s">
        <v>273</v>
      </c>
      <c r="E23" s="2" t="s">
        <v>89</v>
      </c>
      <c r="F23" s="4">
        <v>0.065</v>
      </c>
      <c r="G23" s="5">
        <f>3000+6000+9000</f>
        <v>18000</v>
      </c>
      <c r="H23" s="14" t="s">
        <v>316</v>
      </c>
      <c r="I23" s="38" t="s">
        <v>319</v>
      </c>
      <c r="J23" s="28"/>
      <c r="K23" s="28"/>
    </row>
    <row r="24" ht="22.5" spans="1:11">
      <c r="A24" s="26"/>
      <c r="B24" s="13">
        <f>1536+6144</f>
        <v>7680</v>
      </c>
      <c r="C24" s="2" t="s">
        <v>9</v>
      </c>
      <c r="D24" s="2" t="s">
        <v>161</v>
      </c>
      <c r="E24" s="2" t="s">
        <v>89</v>
      </c>
      <c r="F24" s="4">
        <v>0.128</v>
      </c>
      <c r="G24" s="5">
        <f>12000+48000</f>
        <v>60000</v>
      </c>
      <c r="H24" s="14" t="s">
        <v>316</v>
      </c>
      <c r="I24" s="38" t="s">
        <v>319</v>
      </c>
      <c r="J24" s="28"/>
      <c r="K24" s="28"/>
    </row>
    <row r="25" ht="22.5" spans="1:11">
      <c r="A25" s="24" t="s">
        <v>303</v>
      </c>
      <c r="B25" s="13">
        <f>8550+13680</f>
        <v>22230</v>
      </c>
      <c r="C25" s="2" t="s">
        <v>9</v>
      </c>
      <c r="D25" s="2" t="s">
        <v>182</v>
      </c>
      <c r="E25" s="2" t="s">
        <v>89</v>
      </c>
      <c r="F25" s="4">
        <v>0.19</v>
      </c>
      <c r="G25" s="5">
        <f>45000+72000</f>
        <v>117000</v>
      </c>
      <c r="H25" s="14" t="s">
        <v>316</v>
      </c>
      <c r="I25" s="2" t="s">
        <v>309</v>
      </c>
      <c r="J25" s="28"/>
      <c r="K25" s="28"/>
    </row>
    <row r="26" ht="22.5" spans="1:11">
      <c r="A26" s="26"/>
      <c r="B26" s="13">
        <v>2080</v>
      </c>
      <c r="C26" s="2" t="s">
        <v>9</v>
      </c>
      <c r="D26" s="2" t="s">
        <v>217</v>
      </c>
      <c r="E26" s="2" t="s">
        <v>89</v>
      </c>
      <c r="F26" s="4">
        <v>0.52</v>
      </c>
      <c r="G26" s="5">
        <v>4000</v>
      </c>
      <c r="H26" s="14" t="s">
        <v>316</v>
      </c>
      <c r="I26" s="2" t="s">
        <v>309</v>
      </c>
      <c r="J26" s="28"/>
      <c r="K26" s="28"/>
    </row>
    <row r="27" ht="22.5" spans="1:11">
      <c r="A27" s="24" t="s">
        <v>75</v>
      </c>
      <c r="B27" s="7">
        <f>3840+2560</f>
        <v>6400</v>
      </c>
      <c r="C27" s="20" t="s">
        <v>9</v>
      </c>
      <c r="D27" s="20" t="s">
        <v>283</v>
      </c>
      <c r="E27" s="20" t="s">
        <v>89</v>
      </c>
      <c r="F27" s="21">
        <v>0.32</v>
      </c>
      <c r="G27" s="22">
        <f>12000+8000</f>
        <v>20000</v>
      </c>
      <c r="H27" s="23" t="s">
        <v>307</v>
      </c>
      <c r="I27" s="2" t="s">
        <v>320</v>
      </c>
      <c r="J27" s="28"/>
      <c r="K27" s="28"/>
    </row>
    <row r="28" ht="22.5" spans="1:11">
      <c r="A28" s="25"/>
      <c r="B28" s="7">
        <v>11700</v>
      </c>
      <c r="C28" s="20" t="s">
        <v>9</v>
      </c>
      <c r="D28" s="20" t="s">
        <v>182</v>
      </c>
      <c r="E28" s="20" t="s">
        <v>89</v>
      </c>
      <c r="F28" s="21">
        <v>0.195</v>
      </c>
      <c r="G28" s="22">
        <v>60000</v>
      </c>
      <c r="H28" s="23" t="s">
        <v>307</v>
      </c>
      <c r="I28" s="2" t="s">
        <v>320</v>
      </c>
      <c r="J28" s="28"/>
      <c r="K28" s="28"/>
    </row>
    <row r="29" ht="22.5" spans="1:11">
      <c r="A29" s="25"/>
      <c r="B29" s="7">
        <v>8640</v>
      </c>
      <c r="C29" s="20" t="s">
        <v>9</v>
      </c>
      <c r="D29" s="20" t="s">
        <v>160</v>
      </c>
      <c r="E29" s="20" t="s">
        <v>89</v>
      </c>
      <c r="F29" s="21">
        <v>0.09</v>
      </c>
      <c r="G29" s="22">
        <v>96000</v>
      </c>
      <c r="H29" s="23" t="s">
        <v>307</v>
      </c>
      <c r="I29" s="2" t="s">
        <v>320</v>
      </c>
      <c r="J29" s="28"/>
      <c r="K29" s="28"/>
    </row>
    <row r="30" ht="22.5" spans="1:11">
      <c r="A30" s="25"/>
      <c r="B30" s="7">
        <v>585</v>
      </c>
      <c r="C30" s="20" t="s">
        <v>9</v>
      </c>
      <c r="D30" s="20" t="s">
        <v>272</v>
      </c>
      <c r="E30" s="20" t="s">
        <v>89</v>
      </c>
      <c r="F30" s="21">
        <v>0.195</v>
      </c>
      <c r="G30" s="22">
        <v>3000</v>
      </c>
      <c r="H30" s="23" t="s">
        <v>307</v>
      </c>
      <c r="I30" s="2" t="s">
        <v>320</v>
      </c>
      <c r="J30" s="28"/>
      <c r="K30" s="28"/>
    </row>
    <row r="31" ht="22.5" spans="1:11">
      <c r="A31" s="25"/>
      <c r="B31" s="7">
        <f>9720+10800</f>
        <v>20520</v>
      </c>
      <c r="C31" s="20" t="s">
        <v>9</v>
      </c>
      <c r="D31" s="20" t="s">
        <v>182</v>
      </c>
      <c r="E31" s="20" t="s">
        <v>89</v>
      </c>
      <c r="F31" s="21">
        <v>0.18</v>
      </c>
      <c r="G31" s="22">
        <f>54000+60000</f>
        <v>114000</v>
      </c>
      <c r="H31" s="23" t="s">
        <v>316</v>
      </c>
      <c r="I31" s="2" t="s">
        <v>320</v>
      </c>
      <c r="J31" s="28"/>
      <c r="K31" s="28"/>
    </row>
    <row r="32" ht="22.5" spans="1:11">
      <c r="A32" s="25"/>
      <c r="B32" s="7">
        <v>450</v>
      </c>
      <c r="C32" s="20" t="s">
        <v>9</v>
      </c>
      <c r="D32" s="20" t="s">
        <v>182</v>
      </c>
      <c r="E32" s="20" t="s">
        <v>89</v>
      </c>
      <c r="F32" s="21">
        <v>0.15</v>
      </c>
      <c r="G32" s="22">
        <v>3000</v>
      </c>
      <c r="H32" s="23" t="s">
        <v>316</v>
      </c>
      <c r="I32" s="2" t="s">
        <v>320</v>
      </c>
      <c r="J32" s="28"/>
      <c r="K32" s="28"/>
    </row>
    <row r="33" ht="22.5" spans="1:11">
      <c r="A33" s="26"/>
      <c r="B33" s="7">
        <v>880</v>
      </c>
      <c r="C33" s="20" t="s">
        <v>9</v>
      </c>
      <c r="D33" s="20" t="s">
        <v>91</v>
      </c>
      <c r="E33" s="20" t="s">
        <v>89</v>
      </c>
      <c r="F33" s="21">
        <v>0.22</v>
      </c>
      <c r="G33" s="22">
        <v>4000</v>
      </c>
      <c r="H33" s="23" t="s">
        <v>316</v>
      </c>
      <c r="I33" s="2" t="s">
        <v>320</v>
      </c>
      <c r="J33" s="28"/>
      <c r="K33" s="28"/>
    </row>
    <row r="34" ht="22.5" spans="1:12">
      <c r="A34" s="24" t="s">
        <v>321</v>
      </c>
      <c r="B34" s="13">
        <v>1800</v>
      </c>
      <c r="C34" s="2" t="s">
        <v>9</v>
      </c>
      <c r="D34" s="2" t="s">
        <v>161</v>
      </c>
      <c r="E34" s="2" t="s">
        <v>89</v>
      </c>
      <c r="F34" s="4">
        <v>0.15</v>
      </c>
      <c r="G34" s="5">
        <v>12000</v>
      </c>
      <c r="H34" s="14" t="s">
        <v>307</v>
      </c>
      <c r="I34" s="2" t="s">
        <v>309</v>
      </c>
      <c r="J34" s="28"/>
      <c r="K34" s="28"/>
      <c r="L34" s="1">
        <f>9504*4</f>
        <v>38016</v>
      </c>
    </row>
    <row r="35" ht="22.5" spans="1:11">
      <c r="A35" s="25"/>
      <c r="B35" s="13">
        <v>450</v>
      </c>
      <c r="C35" s="2" t="s">
        <v>9</v>
      </c>
      <c r="D35" s="2" t="s">
        <v>162</v>
      </c>
      <c r="E35" s="2" t="s">
        <v>89</v>
      </c>
      <c r="F35" s="4">
        <v>0.15</v>
      </c>
      <c r="G35" s="5">
        <v>3000</v>
      </c>
      <c r="H35" s="14" t="s">
        <v>307</v>
      </c>
      <c r="I35" s="2" t="s">
        <v>309</v>
      </c>
      <c r="J35" s="28"/>
      <c r="K35" s="28"/>
    </row>
    <row r="36" ht="22.5" spans="1:11">
      <c r="A36" s="26"/>
      <c r="B36" s="13">
        <v>1900</v>
      </c>
      <c r="C36" s="2" t="s">
        <v>9</v>
      </c>
      <c r="D36" s="2" t="s">
        <v>322</v>
      </c>
      <c r="E36" s="2" t="s">
        <v>89</v>
      </c>
      <c r="F36" s="4">
        <v>0.38</v>
      </c>
      <c r="G36" s="5">
        <v>5000</v>
      </c>
      <c r="H36" s="14" t="s">
        <v>307</v>
      </c>
      <c r="I36" s="2" t="s">
        <v>309</v>
      </c>
      <c r="J36" s="28"/>
      <c r="K36" s="28"/>
    </row>
    <row r="37" ht="22.5" spans="1:11">
      <c r="A37" s="2" t="s">
        <v>174</v>
      </c>
      <c r="B37" s="13">
        <f>8580+13200+8580+8580+8580</f>
        <v>47520</v>
      </c>
      <c r="C37" s="2" t="s">
        <v>9</v>
      </c>
      <c r="D37" s="2" t="s">
        <v>73</v>
      </c>
      <c r="E37" s="2" t="s">
        <v>89</v>
      </c>
      <c r="F37" s="4">
        <v>0.165</v>
      </c>
      <c r="G37" s="5">
        <f>52000+80000+52000+52000+52000</f>
        <v>288000</v>
      </c>
      <c r="H37" s="14" t="s">
        <v>316</v>
      </c>
      <c r="I37" s="2" t="s">
        <v>309</v>
      </c>
      <c r="J37" s="28"/>
      <c r="K37" s="28"/>
    </row>
    <row r="38" ht="22.5" spans="1:11">
      <c r="A38" s="24" t="s">
        <v>165</v>
      </c>
      <c r="B38" s="13">
        <v>7650</v>
      </c>
      <c r="C38" s="2" t="s">
        <v>9</v>
      </c>
      <c r="D38" s="2" t="s">
        <v>172</v>
      </c>
      <c r="E38" s="2" t="s">
        <v>89</v>
      </c>
      <c r="F38" s="4">
        <v>0.15</v>
      </c>
      <c r="G38" s="5">
        <v>51000</v>
      </c>
      <c r="H38" s="14" t="s">
        <v>316</v>
      </c>
      <c r="I38" s="2" t="s">
        <v>317</v>
      </c>
      <c r="J38" s="28"/>
      <c r="K38" s="28"/>
    </row>
    <row r="39" ht="22.5" spans="1:11">
      <c r="A39" s="25"/>
      <c r="B39" s="13">
        <f>11500+11500</f>
        <v>23000</v>
      </c>
      <c r="C39" s="2" t="s">
        <v>9</v>
      </c>
      <c r="D39" s="2" t="s">
        <v>211</v>
      </c>
      <c r="E39" s="2" t="s">
        <v>89</v>
      </c>
      <c r="F39" s="4">
        <v>0.23</v>
      </c>
      <c r="G39" s="5">
        <f>50000+50000</f>
        <v>100000</v>
      </c>
      <c r="H39" s="14" t="s">
        <v>316</v>
      </c>
      <c r="I39" s="2" t="s">
        <v>317</v>
      </c>
      <c r="J39" s="28"/>
      <c r="K39" s="28"/>
    </row>
    <row r="40" ht="22.5" spans="1:11">
      <c r="A40" s="25"/>
      <c r="B40" s="13">
        <f>8750+8750+17500</f>
        <v>35000</v>
      </c>
      <c r="C40" s="2" t="s">
        <v>9</v>
      </c>
      <c r="D40" s="2" t="s">
        <v>92</v>
      </c>
      <c r="E40" s="2" t="s">
        <v>89</v>
      </c>
      <c r="F40" s="4">
        <v>0.175</v>
      </c>
      <c r="G40" s="5">
        <f>50000+50000+100000</f>
        <v>200000</v>
      </c>
      <c r="H40" s="14" t="s">
        <v>316</v>
      </c>
      <c r="I40" s="2" t="s">
        <v>317</v>
      </c>
      <c r="J40" s="28"/>
      <c r="K40" s="28"/>
    </row>
    <row r="41" ht="22.5" spans="1:11">
      <c r="A41" s="26"/>
      <c r="B41" s="13">
        <f>7497+7056</f>
        <v>14553</v>
      </c>
      <c r="C41" s="2" t="s">
        <v>9</v>
      </c>
      <c r="D41" s="2" t="s">
        <v>172</v>
      </c>
      <c r="E41" s="2" t="s">
        <v>89</v>
      </c>
      <c r="F41" s="4">
        <v>0.147</v>
      </c>
      <c r="G41" s="5">
        <f>51000+48000</f>
        <v>99000</v>
      </c>
      <c r="H41" s="14" t="s">
        <v>316</v>
      </c>
      <c r="I41" s="2" t="s">
        <v>317</v>
      </c>
      <c r="J41" s="28"/>
      <c r="K41" s="28"/>
    </row>
    <row r="42" ht="22.5" spans="1:11">
      <c r="A42" s="24" t="s">
        <v>14</v>
      </c>
      <c r="B42" s="13">
        <f>510+1530+8670</f>
        <v>10710</v>
      </c>
      <c r="C42" s="2" t="s">
        <v>9</v>
      </c>
      <c r="D42" s="2" t="s">
        <v>53</v>
      </c>
      <c r="E42" s="2" t="s">
        <v>89</v>
      </c>
      <c r="F42" s="4">
        <v>0.17</v>
      </c>
      <c r="G42" s="5">
        <f>3000+9000+51000</f>
        <v>63000</v>
      </c>
      <c r="H42" s="14" t="s">
        <v>316</v>
      </c>
      <c r="I42" s="2" t="s">
        <v>309</v>
      </c>
      <c r="J42" s="28"/>
      <c r="K42" s="28"/>
    </row>
    <row r="43" ht="22.5" spans="1:12">
      <c r="A43" s="25"/>
      <c r="B43" s="13">
        <f>28215+7920+495</f>
        <v>36630</v>
      </c>
      <c r="C43" s="2" t="s">
        <v>9</v>
      </c>
      <c r="D43" s="2" t="s">
        <v>53</v>
      </c>
      <c r="E43" s="2" t="s">
        <v>89</v>
      </c>
      <c r="F43" s="4">
        <v>0.165</v>
      </c>
      <c r="G43" s="5">
        <f>171000+48000+3000</f>
        <v>222000</v>
      </c>
      <c r="H43" s="14" t="s">
        <v>316</v>
      </c>
      <c r="I43" s="2" t="s">
        <v>309</v>
      </c>
      <c r="J43" s="28"/>
      <c r="K43" s="28"/>
      <c r="L43" s="1">
        <f>10710+9157.5*4+11137.5*7</f>
        <v>125302.5</v>
      </c>
    </row>
    <row r="44" ht="22.5" spans="1:12">
      <c r="A44" s="25"/>
      <c r="B44" s="13">
        <f>21600+27000+40500</f>
        <v>89100</v>
      </c>
      <c r="C44" s="2" t="s">
        <v>9</v>
      </c>
      <c r="D44" s="2" t="s">
        <v>73</v>
      </c>
      <c r="E44" s="2" t="s">
        <v>89</v>
      </c>
      <c r="F44" s="4">
        <v>0.135</v>
      </c>
      <c r="G44" s="5">
        <f>160000+200000+300000</f>
        <v>660000</v>
      </c>
      <c r="H44" s="14" t="s">
        <v>316</v>
      </c>
      <c r="I44" s="2" t="s">
        <v>309</v>
      </c>
      <c r="J44" s="28"/>
      <c r="K44" s="28"/>
      <c r="L44" s="1">
        <f>10705.2*10+10692+3280+11137.5</f>
        <v>132161.5</v>
      </c>
    </row>
    <row r="45" ht="22.5" spans="1:11">
      <c r="A45" s="25"/>
      <c r="B45" s="13">
        <f>39600+22704+39600+15840</f>
        <v>117744</v>
      </c>
      <c r="C45" s="2" t="s">
        <v>9</v>
      </c>
      <c r="D45" s="2" t="s">
        <v>73</v>
      </c>
      <c r="E45" s="2" t="s">
        <v>89</v>
      </c>
      <c r="F45" s="4">
        <v>0.132</v>
      </c>
      <c r="G45" s="5">
        <f>300000+172000+300000+120000</f>
        <v>892000</v>
      </c>
      <c r="H45" s="14" t="s">
        <v>316</v>
      </c>
      <c r="I45" s="2" t="s">
        <v>309</v>
      </c>
      <c r="J45" s="28"/>
      <c r="K45" s="28"/>
    </row>
    <row r="46" ht="22.5" spans="1:11">
      <c r="A46" s="26"/>
      <c r="B46" s="13">
        <v>3280</v>
      </c>
      <c r="C46" s="2" t="s">
        <v>9</v>
      </c>
      <c r="D46" s="2" t="s">
        <v>79</v>
      </c>
      <c r="E46" s="2" t="s">
        <v>89</v>
      </c>
      <c r="F46" s="4">
        <v>0.205</v>
      </c>
      <c r="G46" s="5">
        <v>16000</v>
      </c>
      <c r="H46" s="14" t="s">
        <v>316</v>
      </c>
      <c r="I46" s="2" t="s">
        <v>309</v>
      </c>
      <c r="J46" s="28"/>
      <c r="K46" s="28"/>
    </row>
    <row r="47" ht="22.5" spans="1:11">
      <c r="A47" s="24" t="s">
        <v>90</v>
      </c>
      <c r="B47" s="13">
        <f>660+660</f>
        <v>1320</v>
      </c>
      <c r="C47" s="2" t="s">
        <v>9</v>
      </c>
      <c r="D47" s="2" t="s">
        <v>160</v>
      </c>
      <c r="E47" s="2" t="s">
        <v>89</v>
      </c>
      <c r="F47" s="4">
        <v>0.11</v>
      </c>
      <c r="G47" s="5">
        <f>6000+6000</f>
        <v>12000</v>
      </c>
      <c r="H47" s="14" t="s">
        <v>307</v>
      </c>
      <c r="I47" s="2" t="s">
        <v>319</v>
      </c>
      <c r="J47" s="28"/>
      <c r="K47" s="28"/>
    </row>
    <row r="48" ht="22.5" spans="1:11">
      <c r="A48" s="26"/>
      <c r="B48" s="13">
        <f>330+660</f>
        <v>990</v>
      </c>
      <c r="C48" s="2" t="s">
        <v>9</v>
      </c>
      <c r="D48" s="2" t="s">
        <v>160</v>
      </c>
      <c r="E48" s="2" t="s">
        <v>89</v>
      </c>
      <c r="F48" s="4">
        <v>0.11</v>
      </c>
      <c r="G48" s="5">
        <f>3000+6000</f>
        <v>9000</v>
      </c>
      <c r="H48" s="14" t="s">
        <v>316</v>
      </c>
      <c r="I48" s="2" t="s">
        <v>319</v>
      </c>
      <c r="J48" s="28"/>
      <c r="K48" s="28"/>
    </row>
    <row r="49" ht="22.5" spans="1:11">
      <c r="A49" s="24" t="s">
        <v>268</v>
      </c>
      <c r="B49" s="13">
        <f>3600+1800+3600+3600</f>
        <v>12600</v>
      </c>
      <c r="C49" s="2" t="s">
        <v>9</v>
      </c>
      <c r="D49" s="2" t="s">
        <v>173</v>
      </c>
      <c r="E49" s="2" t="s">
        <v>89</v>
      </c>
      <c r="F49" s="4">
        <v>0.12</v>
      </c>
      <c r="G49" s="5">
        <f>30000+15000+30000+30000</f>
        <v>105000</v>
      </c>
      <c r="H49" s="2" t="s">
        <v>224</v>
      </c>
      <c r="I49" s="2" t="s">
        <v>323</v>
      </c>
      <c r="K49" s="28"/>
    </row>
    <row r="50" ht="22.5" spans="1:11">
      <c r="A50" s="25"/>
      <c r="B50" s="13">
        <f>7425+4950+4950+4950</f>
        <v>22275</v>
      </c>
      <c r="C50" s="2" t="s">
        <v>9</v>
      </c>
      <c r="D50" s="2" t="s">
        <v>162</v>
      </c>
      <c r="E50" s="2" t="s">
        <v>89</v>
      </c>
      <c r="F50" s="4">
        <v>0.165</v>
      </c>
      <c r="G50" s="5">
        <f>45000+30000+30000+30000</f>
        <v>135000</v>
      </c>
      <c r="H50" s="2" t="s">
        <v>224</v>
      </c>
      <c r="I50" s="2" t="s">
        <v>323</v>
      </c>
      <c r="K50" s="28"/>
    </row>
    <row r="51" ht="22.5" spans="1:11">
      <c r="A51" s="25"/>
      <c r="B51" s="13">
        <v>4650</v>
      </c>
      <c r="C51" s="2" t="s">
        <v>9</v>
      </c>
      <c r="D51" s="2" t="s">
        <v>162</v>
      </c>
      <c r="E51" s="2" t="s">
        <v>89</v>
      </c>
      <c r="F51" s="4">
        <v>0.155</v>
      </c>
      <c r="G51" s="5">
        <v>30000</v>
      </c>
      <c r="H51" s="2" t="s">
        <v>224</v>
      </c>
      <c r="I51" s="2" t="s">
        <v>323</v>
      </c>
      <c r="K51" s="28"/>
    </row>
    <row r="52" ht="22.5" spans="1:11">
      <c r="A52" s="25"/>
      <c r="B52" s="13">
        <v>4500</v>
      </c>
      <c r="C52" s="2" t="s">
        <v>9</v>
      </c>
      <c r="D52" s="2" t="s">
        <v>161</v>
      </c>
      <c r="E52" s="2" t="s">
        <v>89</v>
      </c>
      <c r="F52" s="4">
        <v>0.15</v>
      </c>
      <c r="G52" s="5">
        <v>30000</v>
      </c>
      <c r="H52" s="2" t="s">
        <v>224</v>
      </c>
      <c r="I52" s="2" t="s">
        <v>323</v>
      </c>
      <c r="K52" s="28"/>
    </row>
    <row r="53" ht="22.5" spans="1:11">
      <c r="A53" s="25"/>
      <c r="B53" s="13">
        <v>4350</v>
      </c>
      <c r="C53" s="2" t="s">
        <v>9</v>
      </c>
      <c r="D53" s="2" t="s">
        <v>161</v>
      </c>
      <c r="E53" s="2" t="s">
        <v>89</v>
      </c>
      <c r="F53" s="4">
        <v>0.145</v>
      </c>
      <c r="G53" s="5">
        <v>30000</v>
      </c>
      <c r="H53" s="2" t="s">
        <v>224</v>
      </c>
      <c r="I53" s="2" t="s">
        <v>323</v>
      </c>
      <c r="K53" s="28"/>
    </row>
    <row r="54" ht="22.5" spans="1:11">
      <c r="A54" s="25"/>
      <c r="B54" s="13">
        <v>1350</v>
      </c>
      <c r="C54" s="2" t="s">
        <v>9</v>
      </c>
      <c r="D54" s="2" t="s">
        <v>243</v>
      </c>
      <c r="E54" s="2" t="s">
        <v>89</v>
      </c>
      <c r="F54" s="4">
        <v>0.45</v>
      </c>
      <c r="G54" s="5">
        <v>3000</v>
      </c>
      <c r="H54" s="2" t="s">
        <v>224</v>
      </c>
      <c r="I54" s="2" t="s">
        <v>323</v>
      </c>
      <c r="K54" s="28"/>
    </row>
    <row r="55" ht="22.5" spans="1:11">
      <c r="A55" s="25"/>
      <c r="B55" s="13">
        <f>2475+4950</f>
        <v>7425</v>
      </c>
      <c r="C55" s="2" t="s">
        <v>9</v>
      </c>
      <c r="D55" s="16" t="s">
        <v>162</v>
      </c>
      <c r="E55" s="16" t="s">
        <v>89</v>
      </c>
      <c r="F55" s="17">
        <v>0.165</v>
      </c>
      <c r="G55" s="18">
        <v>45000</v>
      </c>
      <c r="H55" s="16" t="s">
        <v>215</v>
      </c>
      <c r="I55" s="2" t="s">
        <v>323</v>
      </c>
      <c r="K55" s="28"/>
    </row>
    <row r="56" ht="22.5" spans="1:11">
      <c r="A56" s="25"/>
      <c r="B56" s="13">
        <v>4500</v>
      </c>
      <c r="C56" s="2" t="s">
        <v>9</v>
      </c>
      <c r="D56" s="16" t="s">
        <v>161</v>
      </c>
      <c r="E56" s="16" t="s">
        <v>89</v>
      </c>
      <c r="F56" s="17">
        <v>0.15</v>
      </c>
      <c r="G56" s="18">
        <v>30000</v>
      </c>
      <c r="H56" s="16" t="s">
        <v>215</v>
      </c>
      <c r="I56" s="2" t="s">
        <v>323</v>
      </c>
      <c r="K56" s="28"/>
    </row>
    <row r="57" ht="22.5" spans="1:11">
      <c r="A57" s="26"/>
      <c r="B57" s="13">
        <v>1350</v>
      </c>
      <c r="C57" s="2" t="s">
        <v>9</v>
      </c>
      <c r="D57" s="16" t="s">
        <v>243</v>
      </c>
      <c r="E57" s="16" t="s">
        <v>89</v>
      </c>
      <c r="F57" s="17">
        <v>0.45</v>
      </c>
      <c r="G57" s="18">
        <v>3000</v>
      </c>
      <c r="H57" s="16" t="s">
        <v>215</v>
      </c>
      <c r="I57" s="2" t="s">
        <v>323</v>
      </c>
      <c r="J57" s="39"/>
      <c r="K57" s="28"/>
    </row>
    <row r="58" spans="9:10">
      <c r="I58" s="40" t="s">
        <v>28</v>
      </c>
      <c r="J58" s="41">
        <v>32400</v>
      </c>
    </row>
    <row r="59" spans="9:10">
      <c r="I59" s="40" t="s">
        <v>31</v>
      </c>
      <c r="J59" s="41">
        <v>111900</v>
      </c>
    </row>
    <row r="60" spans="9:10">
      <c r="I60" s="40" t="s">
        <v>32</v>
      </c>
      <c r="J60" s="41">
        <v>135939</v>
      </c>
    </row>
    <row r="61" spans="9:10">
      <c r="I61" s="40" t="s">
        <v>140</v>
      </c>
      <c r="J61" s="41">
        <v>186045</v>
      </c>
    </row>
    <row r="62" spans="9:10">
      <c r="I62" s="40" t="s">
        <v>142</v>
      </c>
      <c r="J62" s="41">
        <v>133782.6</v>
      </c>
    </row>
    <row r="63" spans="9:10">
      <c r="I63" s="42">
        <v>42736</v>
      </c>
      <c r="J63" s="41">
        <v>117630</v>
      </c>
    </row>
    <row r="64" spans="9:10">
      <c r="I64" s="40" t="s">
        <v>60</v>
      </c>
      <c r="J64" s="41">
        <v>56680</v>
      </c>
    </row>
    <row r="65" spans="9:10">
      <c r="I65" s="41" t="s">
        <v>58</v>
      </c>
      <c r="J65" s="43">
        <v>172605</v>
      </c>
    </row>
    <row r="66" spans="9:10">
      <c r="I66" s="41" t="s">
        <v>22</v>
      </c>
      <c r="J66" s="41">
        <v>224673</v>
      </c>
    </row>
    <row r="67" spans="9:10">
      <c r="I67" s="41" t="s">
        <v>24</v>
      </c>
      <c r="J67" s="41">
        <v>313761</v>
      </c>
    </row>
    <row r="68" spans="9:10">
      <c r="I68" s="41" t="s">
        <v>25</v>
      </c>
      <c r="J68" s="41">
        <v>561401.3</v>
      </c>
    </row>
    <row r="69" spans="9:10">
      <c r="I69" s="40" t="s">
        <v>28</v>
      </c>
      <c r="J69" s="41">
        <v>489075.24</v>
      </c>
    </row>
    <row r="70" spans="9:10">
      <c r="I70" s="40" t="s">
        <v>143</v>
      </c>
      <c r="J70" s="41">
        <v>1072775.15</v>
      </c>
    </row>
    <row r="71" spans="9:10">
      <c r="I71" s="41" t="s">
        <v>32</v>
      </c>
      <c r="J71" s="41">
        <v>1546532.63</v>
      </c>
    </row>
    <row r="72" spans="9:10">
      <c r="I72" s="41" t="s">
        <v>37</v>
      </c>
      <c r="J72" s="41">
        <v>1206965.46</v>
      </c>
    </row>
    <row r="73" spans="9:10">
      <c r="I73" s="41" t="s">
        <v>40</v>
      </c>
      <c r="J73" s="41">
        <v>1164153.55</v>
      </c>
    </row>
    <row r="74" spans="9:10">
      <c r="I74" s="41" t="s">
        <v>44</v>
      </c>
      <c r="J74" s="41">
        <v>1283006.2</v>
      </c>
    </row>
    <row r="75" spans="9:10">
      <c r="I75" s="42">
        <v>43101</v>
      </c>
      <c r="J75" s="41">
        <v>1552959</v>
      </c>
    </row>
    <row r="76" spans="9:10">
      <c r="I76" s="42">
        <v>43132</v>
      </c>
      <c r="J76" s="41">
        <v>573933.88</v>
      </c>
    </row>
    <row r="77" spans="9:10">
      <c r="I77" s="42">
        <v>43160</v>
      </c>
      <c r="J77" s="41">
        <v>725630.05</v>
      </c>
    </row>
    <row r="78" spans="9:10">
      <c r="I78" s="42">
        <v>43191</v>
      </c>
      <c r="J78" s="41">
        <v>998002.8</v>
      </c>
    </row>
    <row r="79" spans="9:10">
      <c r="I79" s="42">
        <v>43221</v>
      </c>
      <c r="J79" s="41">
        <v>1635478</v>
      </c>
    </row>
    <row r="80" spans="9:10">
      <c r="I80" s="42">
        <v>43252</v>
      </c>
      <c r="J80" s="43">
        <v>845035</v>
      </c>
    </row>
    <row r="81" spans="9:10">
      <c r="I81" s="42">
        <v>43282</v>
      </c>
      <c r="J81" s="43">
        <v>740330</v>
      </c>
    </row>
    <row r="82" spans="9:10">
      <c r="I82" s="42">
        <v>43313</v>
      </c>
      <c r="J82" s="43">
        <v>1048786.43</v>
      </c>
    </row>
    <row r="83" spans="9:10">
      <c r="I83" s="42">
        <v>43344</v>
      </c>
      <c r="J83" s="43">
        <v>900195</v>
      </c>
    </row>
    <row r="84" spans="9:10">
      <c r="I84" s="42">
        <v>43374</v>
      </c>
      <c r="J84" s="43">
        <v>443233</v>
      </c>
    </row>
    <row r="85" spans="9:10">
      <c r="I85" s="42">
        <v>43405</v>
      </c>
      <c r="J85" s="43">
        <v>889775</v>
      </c>
    </row>
    <row r="86" spans="9:10">
      <c r="I86" s="42">
        <v>43435</v>
      </c>
      <c r="J86" s="43">
        <v>339620</v>
      </c>
    </row>
    <row r="87" spans="9:10">
      <c r="I87" s="42">
        <v>43466</v>
      </c>
      <c r="J87" s="43">
        <v>250700</v>
      </c>
    </row>
    <row r="88" spans="9:10">
      <c r="I88" s="42">
        <v>43497</v>
      </c>
      <c r="J88" s="43">
        <v>601259.44</v>
      </c>
    </row>
    <row r="89" spans="9:10">
      <c r="I89" s="42">
        <v>43525</v>
      </c>
      <c r="J89" s="43">
        <v>317725.96</v>
      </c>
    </row>
    <row r="90" spans="9:10">
      <c r="I90" s="42">
        <v>43556</v>
      </c>
      <c r="J90" s="43">
        <v>490810</v>
      </c>
    </row>
    <row r="91" spans="9:10">
      <c r="I91" s="42">
        <v>43586</v>
      </c>
      <c r="J91" s="43">
        <v>416809</v>
      </c>
    </row>
    <row r="92" spans="9:10">
      <c r="I92" s="42">
        <v>43617</v>
      </c>
      <c r="J92" s="43">
        <v>499722</v>
      </c>
    </row>
    <row r="93" spans="9:10">
      <c r="I93" s="42">
        <v>43647</v>
      </c>
      <c r="J93" s="43">
        <v>547804.82</v>
      </c>
    </row>
    <row r="94" spans="9:10">
      <c r="I94" s="42">
        <v>43678</v>
      </c>
      <c r="J94" s="43">
        <v>340728.72</v>
      </c>
    </row>
    <row r="95" spans="9:10">
      <c r="I95" s="42">
        <v>43709</v>
      </c>
      <c r="J95" s="43">
        <v>830974</v>
      </c>
    </row>
  </sheetData>
  <mergeCells count="11">
    <mergeCell ref="A3:A4"/>
    <mergeCell ref="A8:A10"/>
    <mergeCell ref="A12:A16"/>
    <mergeCell ref="A17:A24"/>
    <mergeCell ref="A25:A26"/>
    <mergeCell ref="A27:A33"/>
    <mergeCell ref="A34:A36"/>
    <mergeCell ref="A38:A41"/>
    <mergeCell ref="A42:A46"/>
    <mergeCell ref="A47:A48"/>
    <mergeCell ref="A49:A57"/>
  </mergeCells>
  <pageMargins left="0.7" right="0.7" top="0.75" bottom="0.75" header="0.3" footer="0.3"/>
  <pageSetup paperSize="9" orientation="portrait" verticalDpi="180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topLeftCell="A74" workbookViewId="0">
      <selection activeCell="B72" sqref="B72:B95"/>
    </sheetView>
  </sheetViews>
  <sheetFormatPr defaultColWidth="9" defaultRowHeight="14.25"/>
  <cols>
    <col min="1" max="1" width="14.125" customWidth="1"/>
    <col min="2" max="2" width="19.125" customWidth="1"/>
    <col min="3" max="4" width="14.125" customWidth="1"/>
    <col min="5" max="5" width="7.75" customWidth="1"/>
    <col min="6" max="6" width="20.75" customWidth="1"/>
    <col min="7" max="7" width="17.5" customWidth="1"/>
    <col min="8" max="8" width="27.5" customWidth="1"/>
    <col min="9" max="9" width="21.75" customWidth="1"/>
    <col min="10" max="11" width="11.625" customWidth="1"/>
    <col min="12" max="12" width="10.5" customWidth="1"/>
  </cols>
  <sheetData>
    <row r="1" ht="22.5" spans="1: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</row>
    <row r="2" s="1" customFormat="1" ht="22.5" spans="1:11">
      <c r="A2" s="6" t="s">
        <v>42</v>
      </c>
      <c r="B2" s="7">
        <v>4080</v>
      </c>
      <c r="C2" s="8" t="s">
        <v>9</v>
      </c>
      <c r="D2" s="8" t="s">
        <v>217</v>
      </c>
      <c r="E2" s="8" t="s">
        <v>89</v>
      </c>
      <c r="F2" s="9">
        <v>0.51</v>
      </c>
      <c r="G2" s="10">
        <v>8000</v>
      </c>
      <c r="H2" s="8" t="s">
        <v>324</v>
      </c>
      <c r="I2" s="20" t="s">
        <v>325</v>
      </c>
      <c r="J2" s="28">
        <f>+G2*F2</f>
        <v>4080</v>
      </c>
      <c r="K2" s="28">
        <f>+B2-J2</f>
        <v>0</v>
      </c>
    </row>
    <row r="3" s="1" customFormat="1" ht="22.5" spans="1:11">
      <c r="A3" s="11"/>
      <c r="B3" s="7">
        <v>1200</v>
      </c>
      <c r="C3" s="8" t="s">
        <v>9</v>
      </c>
      <c r="D3" s="8" t="s">
        <v>91</v>
      </c>
      <c r="E3" s="8" t="s">
        <v>89</v>
      </c>
      <c r="F3" s="9">
        <v>0.3</v>
      </c>
      <c r="G3" s="10">
        <v>4000</v>
      </c>
      <c r="H3" s="8" t="s">
        <v>324</v>
      </c>
      <c r="I3" s="20" t="s">
        <v>325</v>
      </c>
      <c r="J3" s="28">
        <f>+G3*F3</f>
        <v>1200</v>
      </c>
      <c r="K3" s="28">
        <f>+B3-J3</f>
        <v>0</v>
      </c>
    </row>
    <row r="4" s="1" customFormat="1" ht="22.5" spans="1:11">
      <c r="A4" s="12" t="s">
        <v>77</v>
      </c>
      <c r="B4" s="13">
        <v>45000</v>
      </c>
      <c r="C4" s="2" t="s">
        <v>9</v>
      </c>
      <c r="D4" s="2" t="s">
        <v>92</v>
      </c>
      <c r="E4" s="2" t="s">
        <v>89</v>
      </c>
      <c r="F4" s="4">
        <v>0.15</v>
      </c>
      <c r="G4" s="5">
        <v>300000</v>
      </c>
      <c r="H4" s="14" t="s">
        <v>316</v>
      </c>
      <c r="I4" s="2"/>
      <c r="J4" s="28"/>
      <c r="K4" s="28"/>
    </row>
    <row r="5" s="1" customFormat="1" ht="22.5" spans="1:11">
      <c r="A5" s="15"/>
      <c r="B5" s="13">
        <f>12720+8480</f>
        <v>21200</v>
      </c>
      <c r="C5" s="2" t="s">
        <v>9</v>
      </c>
      <c r="D5" s="2" t="s">
        <v>91</v>
      </c>
      <c r="E5" s="2" t="s">
        <v>89</v>
      </c>
      <c r="F5" s="4">
        <v>0.265</v>
      </c>
      <c r="G5" s="5">
        <f>48000+32000</f>
        <v>80000</v>
      </c>
      <c r="H5" s="14" t="s">
        <v>316</v>
      </c>
      <c r="I5" s="2"/>
      <c r="J5" s="28"/>
      <c r="K5" s="28"/>
    </row>
    <row r="6" s="1" customFormat="1" ht="22.5" spans="1:11">
      <c r="A6" s="15"/>
      <c r="B6" s="13">
        <v>45000</v>
      </c>
      <c r="C6" s="16" t="s">
        <v>9</v>
      </c>
      <c r="D6" s="16" t="s">
        <v>92</v>
      </c>
      <c r="E6" s="16" t="s">
        <v>89</v>
      </c>
      <c r="F6" s="17">
        <v>0.15</v>
      </c>
      <c r="G6" s="18">
        <v>300000</v>
      </c>
      <c r="H6" s="16" t="s">
        <v>324</v>
      </c>
      <c r="I6" s="2"/>
      <c r="J6" s="28">
        <f t="shared" ref="J6:J12" si="0">+G6*F6</f>
        <v>45000</v>
      </c>
      <c r="K6" s="28">
        <f t="shared" ref="K6:K12" si="1">+B6-J6</f>
        <v>0</v>
      </c>
    </row>
    <row r="7" s="1" customFormat="1" ht="22.5" spans="1:11">
      <c r="A7" s="19"/>
      <c r="B7" s="13">
        <v>8480</v>
      </c>
      <c r="C7" s="16" t="s">
        <v>9</v>
      </c>
      <c r="D7" s="16" t="s">
        <v>91</v>
      </c>
      <c r="E7" s="16" t="s">
        <v>89</v>
      </c>
      <c r="F7" s="17">
        <v>0.265</v>
      </c>
      <c r="G7" s="18">
        <v>32000</v>
      </c>
      <c r="H7" s="16" t="s">
        <v>324</v>
      </c>
      <c r="I7" s="2"/>
      <c r="J7" s="28">
        <f t="shared" si="0"/>
        <v>8480</v>
      </c>
      <c r="K7" s="28">
        <f t="shared" si="1"/>
        <v>0</v>
      </c>
    </row>
    <row r="8" s="1" customFormat="1" ht="22.5" spans="1:11">
      <c r="A8" s="6" t="s">
        <v>326</v>
      </c>
      <c r="B8" s="7">
        <f>13680+13680</f>
        <v>27360</v>
      </c>
      <c r="C8" s="8" t="s">
        <v>9</v>
      </c>
      <c r="D8" s="8" t="s">
        <v>182</v>
      </c>
      <c r="E8" s="8" t="s">
        <v>89</v>
      </c>
      <c r="F8" s="9">
        <v>0.19</v>
      </c>
      <c r="G8" s="10">
        <f>72000+72000</f>
        <v>144000</v>
      </c>
      <c r="H8" s="8" t="s">
        <v>324</v>
      </c>
      <c r="I8" s="20" t="s">
        <v>325</v>
      </c>
      <c r="J8" s="28">
        <f t="shared" si="0"/>
        <v>27360</v>
      </c>
      <c r="K8" s="28">
        <f t="shared" si="1"/>
        <v>0</v>
      </c>
    </row>
    <row r="9" s="1" customFormat="1" ht="22.5" spans="1:11">
      <c r="A9" s="11"/>
      <c r="B9" s="7">
        <f>8320+6240</f>
        <v>14560</v>
      </c>
      <c r="C9" s="8" t="s">
        <v>9</v>
      </c>
      <c r="D9" s="8" t="s">
        <v>217</v>
      </c>
      <c r="E9" s="8" t="s">
        <v>89</v>
      </c>
      <c r="F9" s="9">
        <v>0.52</v>
      </c>
      <c r="G9" s="10">
        <f>12000+16000</f>
        <v>28000</v>
      </c>
      <c r="H9" s="8" t="s">
        <v>324</v>
      </c>
      <c r="I9" s="20" t="s">
        <v>325</v>
      </c>
      <c r="J9" s="28">
        <f t="shared" si="0"/>
        <v>14560</v>
      </c>
      <c r="K9" s="28">
        <f t="shared" si="1"/>
        <v>0</v>
      </c>
    </row>
    <row r="10" s="1" customFormat="1" ht="22.5" spans="1:11">
      <c r="A10" s="16" t="s">
        <v>246</v>
      </c>
      <c r="B10" s="13">
        <v>960</v>
      </c>
      <c r="C10" s="16" t="s">
        <v>9</v>
      </c>
      <c r="D10" s="16" t="s">
        <v>162</v>
      </c>
      <c r="E10" s="16" t="s">
        <v>89</v>
      </c>
      <c r="F10" s="17">
        <v>0.16</v>
      </c>
      <c r="G10" s="18">
        <v>6000</v>
      </c>
      <c r="H10" s="16" t="s">
        <v>324</v>
      </c>
      <c r="I10" s="2"/>
      <c r="J10" s="28">
        <f t="shared" si="0"/>
        <v>960</v>
      </c>
      <c r="K10" s="28">
        <f t="shared" si="1"/>
        <v>0</v>
      </c>
    </row>
    <row r="11" s="1" customFormat="1" ht="22.5" spans="1:11">
      <c r="A11" s="6" t="s">
        <v>14</v>
      </c>
      <c r="B11" s="7">
        <f>13200+29040+26400+40656+21648+1056+26400</f>
        <v>158400</v>
      </c>
      <c r="C11" s="8" t="s">
        <v>9</v>
      </c>
      <c r="D11" s="8" t="s">
        <v>73</v>
      </c>
      <c r="E11" s="8" t="s">
        <v>89</v>
      </c>
      <c r="F11" s="9">
        <v>0.132</v>
      </c>
      <c r="G11" s="10">
        <f>100000+220000+200000+308000+164000+8000+200000</f>
        <v>1200000</v>
      </c>
      <c r="H11" s="8" t="s">
        <v>324</v>
      </c>
      <c r="I11" s="20" t="s">
        <v>325</v>
      </c>
      <c r="J11" s="28">
        <f t="shared" si="0"/>
        <v>158400</v>
      </c>
      <c r="K11" s="28">
        <f t="shared" si="1"/>
        <v>0</v>
      </c>
    </row>
    <row r="12" s="1" customFormat="1" ht="22.5" spans="1:11">
      <c r="A12" s="11"/>
      <c r="B12" s="7">
        <f>9840+4920+1640</f>
        <v>16400</v>
      </c>
      <c r="C12" s="8" t="s">
        <v>9</v>
      </c>
      <c r="D12" s="8" t="s">
        <v>79</v>
      </c>
      <c r="E12" s="8" t="s">
        <v>89</v>
      </c>
      <c r="F12" s="9">
        <v>0.205</v>
      </c>
      <c r="G12" s="10">
        <f>48000+24000+8000</f>
        <v>80000</v>
      </c>
      <c r="H12" s="8" t="s">
        <v>324</v>
      </c>
      <c r="I12" s="20" t="s">
        <v>325</v>
      </c>
      <c r="J12" s="28">
        <f t="shared" si="0"/>
        <v>16400</v>
      </c>
      <c r="K12" s="28">
        <f t="shared" si="1"/>
        <v>0</v>
      </c>
    </row>
    <row r="13" s="1" customFormat="1" ht="22.5" spans="1:11">
      <c r="A13" s="12" t="s">
        <v>321</v>
      </c>
      <c r="B13" s="7">
        <f>6300+3150+7650</f>
        <v>17100</v>
      </c>
      <c r="C13" s="20" t="s">
        <v>9</v>
      </c>
      <c r="D13" s="20" t="s">
        <v>161</v>
      </c>
      <c r="E13" s="20" t="s">
        <v>89</v>
      </c>
      <c r="F13" s="21">
        <v>0.15</v>
      </c>
      <c r="G13" s="22">
        <f>42000+21000+51000</f>
        <v>114000</v>
      </c>
      <c r="H13" s="23" t="s">
        <v>316</v>
      </c>
      <c r="I13" s="20" t="s">
        <v>325</v>
      </c>
      <c r="J13" s="28"/>
      <c r="K13" s="28"/>
    </row>
    <row r="14" s="1" customFormat="1" ht="22.5" spans="1:11">
      <c r="A14" s="15"/>
      <c r="B14" s="7">
        <v>1800</v>
      </c>
      <c r="C14" s="20" t="s">
        <v>9</v>
      </c>
      <c r="D14" s="20" t="s">
        <v>162</v>
      </c>
      <c r="E14" s="20" t="s">
        <v>89</v>
      </c>
      <c r="F14" s="21">
        <v>0.15</v>
      </c>
      <c r="G14" s="22">
        <v>12000</v>
      </c>
      <c r="H14" s="23" t="s">
        <v>316</v>
      </c>
      <c r="I14" s="20" t="s">
        <v>325</v>
      </c>
      <c r="J14" s="28"/>
      <c r="K14" s="28"/>
    </row>
    <row r="15" s="1" customFormat="1" ht="22.5" spans="1:11">
      <c r="A15" s="15"/>
      <c r="B15" s="7">
        <v>1760</v>
      </c>
      <c r="C15" s="20" t="s">
        <v>9</v>
      </c>
      <c r="D15" s="20" t="s">
        <v>79</v>
      </c>
      <c r="E15" s="20" t="s">
        <v>89</v>
      </c>
      <c r="F15" s="21">
        <v>0.22</v>
      </c>
      <c r="G15" s="22">
        <v>8000</v>
      </c>
      <c r="H15" s="23" t="s">
        <v>316</v>
      </c>
      <c r="I15" s="20" t="s">
        <v>325</v>
      </c>
      <c r="J15" s="28"/>
      <c r="K15" s="28"/>
    </row>
    <row r="16" s="1" customFormat="1" ht="22.5" spans="1:11">
      <c r="A16" s="15"/>
      <c r="B16" s="7">
        <v>1440</v>
      </c>
      <c r="C16" s="20" t="s">
        <v>9</v>
      </c>
      <c r="D16" s="20" t="s">
        <v>146</v>
      </c>
      <c r="E16" s="20" t="s">
        <v>89</v>
      </c>
      <c r="F16" s="21">
        <v>0.18</v>
      </c>
      <c r="G16" s="22">
        <v>8000</v>
      </c>
      <c r="H16" s="23" t="s">
        <v>316</v>
      </c>
      <c r="I16" s="20" t="s">
        <v>325</v>
      </c>
      <c r="J16" s="28"/>
      <c r="K16" s="28"/>
    </row>
    <row r="17" s="1" customFormat="1" ht="22.5" spans="1:11">
      <c r="A17" s="15"/>
      <c r="B17" s="13">
        <f>7040+14960</f>
        <v>22000</v>
      </c>
      <c r="C17" s="16" t="s">
        <v>9</v>
      </c>
      <c r="D17" s="16" t="s">
        <v>79</v>
      </c>
      <c r="E17" s="16" t="s">
        <v>89</v>
      </c>
      <c r="F17" s="17">
        <v>0.22</v>
      </c>
      <c r="G17" s="18">
        <f>32000+68000</f>
        <v>100000</v>
      </c>
      <c r="H17" s="16" t="s">
        <v>324</v>
      </c>
      <c r="I17" s="2"/>
      <c r="J17" s="28">
        <f t="shared" ref="J17:J26" si="2">+G17*F17</f>
        <v>22000</v>
      </c>
      <c r="K17" s="28">
        <f t="shared" ref="K17:K26" si="3">+B17-J17</f>
        <v>0</v>
      </c>
    </row>
    <row r="18" s="1" customFormat="1" ht="22.5" spans="1:11">
      <c r="A18" s="15"/>
      <c r="B18" s="13">
        <f>5760+12240</f>
        <v>18000</v>
      </c>
      <c r="C18" s="16" t="s">
        <v>9</v>
      </c>
      <c r="D18" s="16" t="s">
        <v>146</v>
      </c>
      <c r="E18" s="16" t="s">
        <v>89</v>
      </c>
      <c r="F18" s="17">
        <v>0.18</v>
      </c>
      <c r="G18" s="18">
        <f>32000+68000</f>
        <v>100000</v>
      </c>
      <c r="H18" s="16" t="s">
        <v>324</v>
      </c>
      <c r="I18" s="2"/>
      <c r="J18" s="28">
        <f t="shared" si="2"/>
        <v>18000</v>
      </c>
      <c r="K18" s="28">
        <f t="shared" si="3"/>
        <v>0</v>
      </c>
    </row>
    <row r="19" s="1" customFormat="1" ht="22.5" spans="1:11">
      <c r="A19" s="15"/>
      <c r="B19" s="13">
        <v>3600</v>
      </c>
      <c r="C19" s="16" t="s">
        <v>9</v>
      </c>
      <c r="D19" s="16" t="s">
        <v>161</v>
      </c>
      <c r="E19" s="16" t="s">
        <v>89</v>
      </c>
      <c r="F19" s="17">
        <v>0.15</v>
      </c>
      <c r="G19" s="18">
        <v>24000</v>
      </c>
      <c r="H19" s="16" t="s">
        <v>324</v>
      </c>
      <c r="I19" s="2"/>
      <c r="J19" s="28">
        <f t="shared" si="2"/>
        <v>3600</v>
      </c>
      <c r="K19" s="28">
        <f t="shared" si="3"/>
        <v>0</v>
      </c>
    </row>
    <row r="20" s="1" customFormat="1" ht="22.5" spans="1:11">
      <c r="A20" s="15"/>
      <c r="B20" s="13">
        <v>30400</v>
      </c>
      <c r="C20" s="16" t="s">
        <v>9</v>
      </c>
      <c r="D20" s="16" t="s">
        <v>322</v>
      </c>
      <c r="E20" s="16" t="s">
        <v>89</v>
      </c>
      <c r="F20" s="17">
        <v>0.38</v>
      </c>
      <c r="G20" s="18">
        <v>80000</v>
      </c>
      <c r="H20" s="16" t="s">
        <v>324</v>
      </c>
      <c r="I20" s="2"/>
      <c r="J20" s="28">
        <f t="shared" si="2"/>
        <v>30400</v>
      </c>
      <c r="K20" s="28">
        <f t="shared" si="3"/>
        <v>0</v>
      </c>
    </row>
    <row r="21" s="1" customFormat="1" ht="22.5" spans="1:11">
      <c r="A21" s="15"/>
      <c r="B21" s="13">
        <v>-13300</v>
      </c>
      <c r="C21" s="16" t="s">
        <v>9</v>
      </c>
      <c r="D21" s="16" t="s">
        <v>322</v>
      </c>
      <c r="E21" s="16" t="s">
        <v>89</v>
      </c>
      <c r="F21" s="17">
        <v>0.38</v>
      </c>
      <c r="G21" s="18">
        <v>-35000</v>
      </c>
      <c r="H21" s="16" t="s">
        <v>324</v>
      </c>
      <c r="I21" s="2"/>
      <c r="J21" s="28">
        <f t="shared" si="2"/>
        <v>-13300</v>
      </c>
      <c r="K21" s="28">
        <f t="shared" si="3"/>
        <v>0</v>
      </c>
    </row>
    <row r="22" s="1" customFormat="1" ht="22.5" spans="1:11">
      <c r="A22" s="19"/>
      <c r="B22" s="13">
        <v>6300</v>
      </c>
      <c r="C22" s="16" t="s">
        <v>9</v>
      </c>
      <c r="D22" s="16" t="s">
        <v>162</v>
      </c>
      <c r="E22" s="16" t="s">
        <v>89</v>
      </c>
      <c r="F22" s="17">
        <v>0.15</v>
      </c>
      <c r="G22" s="18">
        <v>42000</v>
      </c>
      <c r="H22" s="16" t="s">
        <v>324</v>
      </c>
      <c r="I22" s="2"/>
      <c r="J22" s="28">
        <f t="shared" si="2"/>
        <v>6300</v>
      </c>
      <c r="K22" s="28">
        <f t="shared" si="3"/>
        <v>0</v>
      </c>
    </row>
    <row r="23" s="1" customFormat="1" ht="22.5" spans="1:11">
      <c r="A23" s="8" t="s">
        <v>327</v>
      </c>
      <c r="B23" s="7">
        <f>1950+5850</f>
        <v>7800</v>
      </c>
      <c r="C23" s="8" t="s">
        <v>9</v>
      </c>
      <c r="D23" s="8" t="s">
        <v>173</v>
      </c>
      <c r="E23" s="8" t="s">
        <v>89</v>
      </c>
      <c r="F23" s="9">
        <v>0.065</v>
      </c>
      <c r="G23" s="10">
        <f>30000+90000</f>
        <v>120000</v>
      </c>
      <c r="H23" s="8" t="s">
        <v>324</v>
      </c>
      <c r="I23" s="2"/>
      <c r="J23" s="28">
        <f t="shared" si="2"/>
        <v>7800</v>
      </c>
      <c r="K23" s="28">
        <f t="shared" si="3"/>
        <v>0</v>
      </c>
    </row>
    <row r="24" s="1" customFormat="1" ht="22.5" spans="1:11">
      <c r="A24" s="8" t="s">
        <v>174</v>
      </c>
      <c r="B24" s="7">
        <v>33000</v>
      </c>
      <c r="C24" s="8" t="s">
        <v>9</v>
      </c>
      <c r="D24" s="8" t="s">
        <v>73</v>
      </c>
      <c r="E24" s="8" t="s">
        <v>89</v>
      </c>
      <c r="F24" s="9">
        <v>0.165</v>
      </c>
      <c r="G24" s="10">
        <v>200000</v>
      </c>
      <c r="H24" s="8" t="s">
        <v>324</v>
      </c>
      <c r="I24" s="20" t="s">
        <v>325</v>
      </c>
      <c r="J24" s="28">
        <f t="shared" si="2"/>
        <v>33000</v>
      </c>
      <c r="K24" s="28">
        <f t="shared" si="3"/>
        <v>0</v>
      </c>
    </row>
    <row r="25" s="1" customFormat="1" ht="22.5" spans="1:11">
      <c r="A25" s="8" t="s">
        <v>45</v>
      </c>
      <c r="B25" s="7">
        <v>5120</v>
      </c>
      <c r="C25" s="8" t="s">
        <v>9</v>
      </c>
      <c r="D25" s="8" t="s">
        <v>73</v>
      </c>
      <c r="E25" s="8" t="s">
        <v>89</v>
      </c>
      <c r="F25" s="9">
        <v>0.16</v>
      </c>
      <c r="G25" s="10">
        <v>32000</v>
      </c>
      <c r="H25" s="8" t="s">
        <v>324</v>
      </c>
      <c r="I25" s="20" t="s">
        <v>325</v>
      </c>
      <c r="J25" s="28">
        <f t="shared" si="2"/>
        <v>5120</v>
      </c>
      <c r="K25" s="28">
        <f t="shared" si="3"/>
        <v>0</v>
      </c>
    </row>
    <row r="26" s="1" customFormat="1" ht="22.5" spans="1:11">
      <c r="A26" s="8" t="s">
        <v>311</v>
      </c>
      <c r="B26" s="7">
        <v>1200</v>
      </c>
      <c r="C26" s="8" t="s">
        <v>9</v>
      </c>
      <c r="D26" s="8" t="s">
        <v>199</v>
      </c>
      <c r="E26" s="8" t="s">
        <v>89</v>
      </c>
      <c r="F26" s="9">
        <v>0.2</v>
      </c>
      <c r="G26" s="10">
        <v>6000</v>
      </c>
      <c r="H26" s="8" t="s">
        <v>324</v>
      </c>
      <c r="I26" s="20" t="s">
        <v>325</v>
      </c>
      <c r="J26" s="28">
        <f t="shared" si="2"/>
        <v>1200</v>
      </c>
      <c r="K26" s="28">
        <f t="shared" si="3"/>
        <v>0</v>
      </c>
    </row>
    <row r="27" s="1" customFormat="1" ht="22.5" spans="1:11">
      <c r="A27" s="24" t="s">
        <v>268</v>
      </c>
      <c r="B27" s="13">
        <v>4950</v>
      </c>
      <c r="C27" s="2" t="s">
        <v>9</v>
      </c>
      <c r="D27" s="2" t="s">
        <v>243</v>
      </c>
      <c r="E27" s="2" t="s">
        <v>89</v>
      </c>
      <c r="F27" s="4">
        <v>0.45</v>
      </c>
      <c r="G27" s="5">
        <v>11000</v>
      </c>
      <c r="H27" s="14" t="s">
        <v>316</v>
      </c>
      <c r="I27" s="2"/>
      <c r="J27" s="28"/>
      <c r="K27" s="28"/>
    </row>
    <row r="28" s="1" customFormat="1" ht="22.5" spans="1:11">
      <c r="A28" s="25"/>
      <c r="B28" s="13">
        <f>4350+8700</f>
        <v>13050</v>
      </c>
      <c r="C28" s="2" t="s">
        <v>9</v>
      </c>
      <c r="D28" s="2" t="s">
        <v>161</v>
      </c>
      <c r="E28" s="2" t="s">
        <v>89</v>
      </c>
      <c r="F28" s="4">
        <v>0.145</v>
      </c>
      <c r="G28" s="5">
        <f>30000+60000</f>
        <v>90000</v>
      </c>
      <c r="H28" s="14" t="s">
        <v>316</v>
      </c>
      <c r="I28" s="2"/>
      <c r="J28" s="28"/>
      <c r="K28" s="28"/>
    </row>
    <row r="29" s="1" customFormat="1" ht="22.5" spans="1:11">
      <c r="A29" s="25"/>
      <c r="B29" s="13">
        <v>11160</v>
      </c>
      <c r="C29" s="2" t="s">
        <v>9</v>
      </c>
      <c r="D29" s="2" t="s">
        <v>162</v>
      </c>
      <c r="E29" s="2" t="s">
        <v>89</v>
      </c>
      <c r="F29" s="4">
        <v>0.155</v>
      </c>
      <c r="G29" s="5">
        <v>72000</v>
      </c>
      <c r="H29" s="14" t="s">
        <v>316</v>
      </c>
      <c r="I29" s="2"/>
      <c r="J29" s="28"/>
      <c r="K29" s="28"/>
    </row>
    <row r="30" s="1" customFormat="1" ht="22.5" spans="1:11">
      <c r="A30" s="25"/>
      <c r="B30" s="13">
        <f>3915+4350</f>
        <v>8265</v>
      </c>
      <c r="C30" s="2" t="s">
        <v>9</v>
      </c>
      <c r="D30" s="2" t="s">
        <v>161</v>
      </c>
      <c r="E30" s="2" t="s">
        <v>89</v>
      </c>
      <c r="F30" s="4">
        <v>0.145</v>
      </c>
      <c r="G30" s="5">
        <f>27000+30000</f>
        <v>57000</v>
      </c>
      <c r="H30" s="14" t="s">
        <v>307</v>
      </c>
      <c r="I30" s="2"/>
      <c r="J30" s="28"/>
      <c r="K30" s="28"/>
    </row>
    <row r="31" s="1" customFormat="1" ht="22.5" spans="1:11">
      <c r="A31" s="26"/>
      <c r="B31" s="13">
        <f>435+6090+4350</f>
        <v>10875</v>
      </c>
      <c r="C31" s="16" t="s">
        <v>9</v>
      </c>
      <c r="D31" s="16" t="s">
        <v>161</v>
      </c>
      <c r="E31" s="16" t="s">
        <v>89</v>
      </c>
      <c r="F31" s="17">
        <v>0.145</v>
      </c>
      <c r="G31" s="18">
        <f>3000+42000+30000</f>
        <v>75000</v>
      </c>
      <c r="H31" s="16" t="s">
        <v>324</v>
      </c>
      <c r="I31" s="2"/>
      <c r="J31" s="28">
        <f t="shared" ref="J31:J46" si="4">+G31*F31</f>
        <v>10875</v>
      </c>
      <c r="K31" s="28">
        <f t="shared" ref="K31:K46" si="5">+B31-J31</f>
        <v>0</v>
      </c>
    </row>
    <row r="32" s="1" customFormat="1" ht="22.5" spans="1:11">
      <c r="A32" s="16" t="s">
        <v>292</v>
      </c>
      <c r="B32" s="13">
        <v>270</v>
      </c>
      <c r="C32" s="16" t="s">
        <v>9</v>
      </c>
      <c r="D32" s="16" t="s">
        <v>160</v>
      </c>
      <c r="E32" s="16" t="s">
        <v>89</v>
      </c>
      <c r="F32" s="17">
        <v>0.09</v>
      </c>
      <c r="G32" s="18">
        <v>3000</v>
      </c>
      <c r="H32" s="16" t="s">
        <v>324</v>
      </c>
      <c r="I32" s="2"/>
      <c r="J32" s="28">
        <f t="shared" si="4"/>
        <v>270</v>
      </c>
      <c r="K32" s="28">
        <f t="shared" si="5"/>
        <v>0</v>
      </c>
    </row>
    <row r="33" s="1" customFormat="1" ht="22.5" spans="1:11">
      <c r="A33" s="16" t="s">
        <v>176</v>
      </c>
      <c r="B33" s="13">
        <v>990</v>
      </c>
      <c r="C33" s="16" t="s">
        <v>9</v>
      </c>
      <c r="D33" s="16" t="s">
        <v>160</v>
      </c>
      <c r="E33" s="16" t="s">
        <v>89</v>
      </c>
      <c r="F33" s="17">
        <v>0.11</v>
      </c>
      <c r="G33" s="18">
        <v>9000</v>
      </c>
      <c r="H33" s="16" t="s">
        <v>324</v>
      </c>
      <c r="I33" s="2"/>
      <c r="J33" s="28">
        <f t="shared" si="4"/>
        <v>990</v>
      </c>
      <c r="K33" s="28">
        <f t="shared" si="5"/>
        <v>0</v>
      </c>
    </row>
    <row r="34" s="1" customFormat="1" ht="22.5" spans="1:11">
      <c r="A34" s="6" t="s">
        <v>80</v>
      </c>
      <c r="B34" s="7">
        <v>4650</v>
      </c>
      <c r="C34" s="8" t="s">
        <v>9</v>
      </c>
      <c r="D34" s="8" t="s">
        <v>172</v>
      </c>
      <c r="E34" s="8" t="s">
        <v>89</v>
      </c>
      <c r="F34" s="9">
        <v>0.155</v>
      </c>
      <c r="G34" s="10">
        <v>30000</v>
      </c>
      <c r="H34" s="8" t="s">
        <v>324</v>
      </c>
      <c r="I34" s="20" t="s">
        <v>325</v>
      </c>
      <c r="J34" s="28">
        <f t="shared" si="4"/>
        <v>4650</v>
      </c>
      <c r="K34" s="28">
        <f t="shared" si="5"/>
        <v>0</v>
      </c>
    </row>
    <row r="35" s="1" customFormat="1" ht="22.5" spans="1:11">
      <c r="A35" s="27"/>
      <c r="B35" s="7">
        <f>5340+5340</f>
        <v>10680</v>
      </c>
      <c r="C35" s="8" t="s">
        <v>9</v>
      </c>
      <c r="D35" s="8" t="s">
        <v>92</v>
      </c>
      <c r="E35" s="8" t="s">
        <v>89</v>
      </c>
      <c r="F35" s="9">
        <v>0.178</v>
      </c>
      <c r="G35" s="10">
        <v>60000</v>
      </c>
      <c r="H35" s="8" t="s">
        <v>324</v>
      </c>
      <c r="I35" s="20" t="s">
        <v>325</v>
      </c>
      <c r="J35" s="28">
        <f t="shared" si="4"/>
        <v>10680</v>
      </c>
      <c r="K35" s="28">
        <f t="shared" si="5"/>
        <v>0</v>
      </c>
    </row>
    <row r="36" s="1" customFormat="1" ht="22.5" spans="1:11">
      <c r="A36" s="11"/>
      <c r="B36" s="7">
        <v>37500</v>
      </c>
      <c r="C36" s="8" t="s">
        <v>9</v>
      </c>
      <c r="D36" s="8" t="s">
        <v>211</v>
      </c>
      <c r="E36" s="8" t="s">
        <v>89</v>
      </c>
      <c r="F36" s="9">
        <v>0.25</v>
      </c>
      <c r="G36" s="10">
        <v>150000</v>
      </c>
      <c r="H36" s="8" t="s">
        <v>324</v>
      </c>
      <c r="I36" s="20" t="s">
        <v>325</v>
      </c>
      <c r="J36" s="28">
        <f t="shared" si="4"/>
        <v>37500</v>
      </c>
      <c r="K36" s="28">
        <f t="shared" si="5"/>
        <v>0</v>
      </c>
    </row>
    <row r="37" s="1" customFormat="1" ht="22.5" spans="1:11">
      <c r="A37" s="16" t="s">
        <v>186</v>
      </c>
      <c r="B37" s="13">
        <v>870</v>
      </c>
      <c r="C37" s="16" t="s">
        <v>9</v>
      </c>
      <c r="D37" s="16" t="s">
        <v>172</v>
      </c>
      <c r="E37" s="16" t="s">
        <v>89</v>
      </c>
      <c r="F37" s="17">
        <v>0.145</v>
      </c>
      <c r="G37" s="18">
        <v>6000</v>
      </c>
      <c r="H37" s="16" t="s">
        <v>324</v>
      </c>
      <c r="I37" s="2"/>
      <c r="J37" s="28">
        <f t="shared" si="4"/>
        <v>870</v>
      </c>
      <c r="K37" s="28">
        <f t="shared" si="5"/>
        <v>0</v>
      </c>
    </row>
    <row r="38" s="1" customFormat="1" ht="22.5" spans="1:11">
      <c r="A38" s="12" t="s">
        <v>8</v>
      </c>
      <c r="B38" s="13">
        <f>5700+1425</f>
        <v>7125</v>
      </c>
      <c r="C38" s="16" t="s">
        <v>9</v>
      </c>
      <c r="D38" s="16" t="s">
        <v>160</v>
      </c>
      <c r="E38" s="16" t="s">
        <v>89</v>
      </c>
      <c r="F38" s="17">
        <v>0.095</v>
      </c>
      <c r="G38" s="18">
        <f>60000+15000</f>
        <v>75000</v>
      </c>
      <c r="H38" s="16" t="s">
        <v>324</v>
      </c>
      <c r="I38" s="2"/>
      <c r="J38" s="28">
        <f t="shared" si="4"/>
        <v>7125</v>
      </c>
      <c r="K38" s="28">
        <f t="shared" si="5"/>
        <v>0</v>
      </c>
    </row>
    <row r="39" s="1" customFormat="1" ht="22.5" spans="1:11">
      <c r="A39" s="15"/>
      <c r="B39" s="13">
        <f>1920+768+3072+2688+5760+768</f>
        <v>14976</v>
      </c>
      <c r="C39" s="16" t="s">
        <v>9</v>
      </c>
      <c r="D39" s="16" t="s">
        <v>161</v>
      </c>
      <c r="E39" s="16" t="s">
        <v>89</v>
      </c>
      <c r="F39" s="17">
        <v>0.128</v>
      </c>
      <c r="G39" s="18">
        <f>15000+6000+24000+21000+45000+6000</f>
        <v>117000</v>
      </c>
      <c r="H39" s="16" t="s">
        <v>324</v>
      </c>
      <c r="I39" s="2"/>
      <c r="J39" s="28">
        <f t="shared" si="4"/>
        <v>14976</v>
      </c>
      <c r="K39" s="28">
        <f t="shared" si="5"/>
        <v>0</v>
      </c>
    </row>
    <row r="40" s="1" customFormat="1" ht="22.5" spans="1:11">
      <c r="A40" s="15"/>
      <c r="B40" s="13">
        <v>2535</v>
      </c>
      <c r="C40" s="16" t="s">
        <v>9</v>
      </c>
      <c r="D40" s="16" t="s">
        <v>273</v>
      </c>
      <c r="E40" s="16" t="s">
        <v>89</v>
      </c>
      <c r="F40" s="17">
        <v>0.065</v>
      </c>
      <c r="G40" s="18">
        <v>39000</v>
      </c>
      <c r="H40" s="16" t="s">
        <v>324</v>
      </c>
      <c r="I40" s="2"/>
      <c r="J40" s="28">
        <f t="shared" si="4"/>
        <v>2535</v>
      </c>
      <c r="K40" s="28">
        <f t="shared" si="5"/>
        <v>0</v>
      </c>
    </row>
    <row r="41" s="1" customFormat="1" ht="22.5" spans="1:11">
      <c r="A41" s="19"/>
      <c r="B41" s="13">
        <v>1620</v>
      </c>
      <c r="C41" s="16" t="s">
        <v>9</v>
      </c>
      <c r="D41" s="16" t="s">
        <v>162</v>
      </c>
      <c r="E41" s="16" t="s">
        <v>89</v>
      </c>
      <c r="F41" s="17">
        <v>0.135</v>
      </c>
      <c r="G41" s="18">
        <v>12000</v>
      </c>
      <c r="H41" s="16" t="s">
        <v>324</v>
      </c>
      <c r="I41" s="2"/>
      <c r="J41" s="28">
        <f t="shared" si="4"/>
        <v>1620</v>
      </c>
      <c r="K41" s="28">
        <f t="shared" si="5"/>
        <v>0</v>
      </c>
    </row>
    <row r="42" s="1" customFormat="1" ht="22.5" spans="1:11">
      <c r="A42" s="6" t="s">
        <v>165</v>
      </c>
      <c r="B42" s="7">
        <f>7497+7497+14553+14553</f>
        <v>44100</v>
      </c>
      <c r="C42" s="8" t="s">
        <v>9</v>
      </c>
      <c r="D42" s="8" t="s">
        <v>172</v>
      </c>
      <c r="E42" s="8" t="s">
        <v>89</v>
      </c>
      <c r="F42" s="9">
        <v>0.147</v>
      </c>
      <c r="G42" s="10">
        <f>51000+51000+99000+99000</f>
        <v>300000</v>
      </c>
      <c r="H42" s="8" t="s">
        <v>324</v>
      </c>
      <c r="I42" s="20" t="s">
        <v>325</v>
      </c>
      <c r="J42" s="28">
        <f t="shared" si="4"/>
        <v>44100</v>
      </c>
      <c r="K42" s="28">
        <f t="shared" si="5"/>
        <v>0</v>
      </c>
    </row>
    <row r="43" s="1" customFormat="1" ht="22.5" spans="1:11">
      <c r="A43" s="27"/>
      <c r="B43" s="7">
        <f>5250+17500</f>
        <v>22750</v>
      </c>
      <c r="C43" s="8" t="s">
        <v>9</v>
      </c>
      <c r="D43" s="8" t="s">
        <v>92</v>
      </c>
      <c r="E43" s="8" t="s">
        <v>89</v>
      </c>
      <c r="F43" s="9">
        <v>0.175</v>
      </c>
      <c r="G43" s="10">
        <f>30000+100000</f>
        <v>130000</v>
      </c>
      <c r="H43" s="8" t="s">
        <v>324</v>
      </c>
      <c r="I43" s="20" t="s">
        <v>325</v>
      </c>
      <c r="J43" s="28">
        <f t="shared" si="4"/>
        <v>22750</v>
      </c>
      <c r="K43" s="28">
        <f t="shared" si="5"/>
        <v>0</v>
      </c>
    </row>
    <row r="44" s="1" customFormat="1" ht="22.5" spans="1:11">
      <c r="A44" s="27"/>
      <c r="B44" s="7">
        <f>9690+19380</f>
        <v>29070</v>
      </c>
      <c r="C44" s="8" t="s">
        <v>9</v>
      </c>
      <c r="D44" s="8" t="s">
        <v>199</v>
      </c>
      <c r="E44" s="8" t="s">
        <v>89</v>
      </c>
      <c r="F44" s="9">
        <v>0.19</v>
      </c>
      <c r="G44" s="10">
        <f>51000+102000</f>
        <v>153000</v>
      </c>
      <c r="H44" s="8" t="s">
        <v>324</v>
      </c>
      <c r="I44" s="20" t="s">
        <v>325</v>
      </c>
      <c r="J44" s="28">
        <f t="shared" si="4"/>
        <v>29070</v>
      </c>
      <c r="K44" s="28">
        <f t="shared" si="5"/>
        <v>0</v>
      </c>
    </row>
    <row r="45" s="1" customFormat="1" ht="22.5" spans="1:11">
      <c r="A45" s="11"/>
      <c r="B45" s="7">
        <v>23000</v>
      </c>
      <c r="C45" s="8" t="s">
        <v>9</v>
      </c>
      <c r="D45" s="8" t="s">
        <v>211</v>
      </c>
      <c r="E45" s="8" t="s">
        <v>89</v>
      </c>
      <c r="F45" s="9">
        <v>0.23</v>
      </c>
      <c r="G45" s="10">
        <v>100000</v>
      </c>
      <c r="H45" s="8" t="s">
        <v>324</v>
      </c>
      <c r="I45" s="20" t="s">
        <v>325</v>
      </c>
      <c r="J45" s="28">
        <f t="shared" si="4"/>
        <v>23000</v>
      </c>
      <c r="K45" s="28">
        <f t="shared" si="5"/>
        <v>0</v>
      </c>
    </row>
    <row r="46" s="1" customFormat="1" ht="22.5" spans="1:11">
      <c r="A46" s="16" t="s">
        <v>328</v>
      </c>
      <c r="B46" s="13">
        <v>1562.5</v>
      </c>
      <c r="C46" s="16" t="s">
        <v>9</v>
      </c>
      <c r="D46" s="16" t="s">
        <v>329</v>
      </c>
      <c r="E46" s="16" t="s">
        <v>89</v>
      </c>
      <c r="F46" s="17">
        <v>0.125</v>
      </c>
      <c r="G46" s="18">
        <v>12500</v>
      </c>
      <c r="H46" s="16" t="s">
        <v>324</v>
      </c>
      <c r="I46" s="2"/>
      <c r="J46" s="28">
        <f t="shared" si="4"/>
        <v>1562.5</v>
      </c>
      <c r="K46" s="28">
        <f t="shared" si="5"/>
        <v>0</v>
      </c>
    </row>
    <row r="47" s="1" customFormat="1" ht="22.5" spans="1:11">
      <c r="A47" s="12" t="s">
        <v>75</v>
      </c>
      <c r="B47" s="13">
        <v>2700</v>
      </c>
      <c r="C47" s="2" t="s">
        <v>9</v>
      </c>
      <c r="D47" s="2" t="s">
        <v>272</v>
      </c>
      <c r="E47" s="2" t="s">
        <v>89</v>
      </c>
      <c r="F47" s="4">
        <v>0.18</v>
      </c>
      <c r="G47" s="5">
        <v>15000</v>
      </c>
      <c r="H47" s="14" t="s">
        <v>316</v>
      </c>
      <c r="I47" s="2"/>
      <c r="J47" s="28"/>
      <c r="K47" s="28"/>
    </row>
    <row r="48" s="1" customFormat="1" ht="22.5" spans="1:11">
      <c r="A48" s="15"/>
      <c r="B48" s="13">
        <v>21600</v>
      </c>
      <c r="C48" s="2" t="s">
        <v>9</v>
      </c>
      <c r="D48" s="2" t="s">
        <v>330</v>
      </c>
      <c r="E48" s="2" t="s">
        <v>89</v>
      </c>
      <c r="F48" s="4">
        <v>0.18</v>
      </c>
      <c r="G48" s="5">
        <v>120000</v>
      </c>
      <c r="H48" s="14" t="s">
        <v>316</v>
      </c>
      <c r="I48" s="2"/>
      <c r="J48" s="28"/>
      <c r="K48" s="28"/>
    </row>
    <row r="49" s="1" customFormat="1" ht="22.5" spans="1:11">
      <c r="A49" s="15"/>
      <c r="B49" s="13">
        <v>4800</v>
      </c>
      <c r="C49" s="2" t="s">
        <v>9</v>
      </c>
      <c r="D49" s="2" t="s">
        <v>79</v>
      </c>
      <c r="E49" s="2" t="s">
        <v>89</v>
      </c>
      <c r="F49" s="4">
        <v>0.2</v>
      </c>
      <c r="G49" s="5">
        <v>24000</v>
      </c>
      <c r="H49" s="14" t="s">
        <v>316</v>
      </c>
      <c r="I49" s="2"/>
      <c r="J49" s="28"/>
      <c r="K49" s="28"/>
    </row>
    <row r="50" s="1" customFormat="1" ht="22.5" spans="1:11">
      <c r="A50" s="15"/>
      <c r="B50" s="13">
        <v>2520</v>
      </c>
      <c r="C50" s="2" t="s">
        <v>9</v>
      </c>
      <c r="D50" s="2" t="s">
        <v>161</v>
      </c>
      <c r="E50" s="2" t="s">
        <v>89</v>
      </c>
      <c r="F50" s="4">
        <v>0.12</v>
      </c>
      <c r="G50" s="5">
        <v>21000</v>
      </c>
      <c r="H50" s="14" t="s">
        <v>316</v>
      </c>
      <c r="I50" s="2"/>
      <c r="J50" s="28"/>
      <c r="K50" s="28"/>
    </row>
    <row r="51" s="1" customFormat="1" ht="22.5" spans="1:11">
      <c r="A51" s="15"/>
      <c r="B51" s="13">
        <v>1890</v>
      </c>
      <c r="C51" s="2" t="s">
        <v>9</v>
      </c>
      <c r="D51" s="2" t="s">
        <v>160</v>
      </c>
      <c r="E51" s="2" t="s">
        <v>89</v>
      </c>
      <c r="F51" s="4">
        <v>0.09</v>
      </c>
      <c r="G51" s="5">
        <v>21000</v>
      </c>
      <c r="H51" s="14" t="s">
        <v>316</v>
      </c>
      <c r="I51" s="2"/>
      <c r="J51" s="28"/>
      <c r="K51" s="28"/>
    </row>
    <row r="52" s="1" customFormat="1" ht="22.5" spans="1:11">
      <c r="A52" s="15"/>
      <c r="B52" s="13">
        <v>-675.2</v>
      </c>
      <c r="C52" s="2" t="s">
        <v>9</v>
      </c>
      <c r="D52" s="2" t="s">
        <v>283</v>
      </c>
      <c r="E52" s="2" t="s">
        <v>89</v>
      </c>
      <c r="F52" s="4">
        <v>0.32</v>
      </c>
      <c r="G52" s="5">
        <v>-2110</v>
      </c>
      <c r="H52" s="14" t="s">
        <v>316</v>
      </c>
      <c r="I52" s="2"/>
      <c r="J52" s="28"/>
      <c r="K52" s="28"/>
    </row>
    <row r="53" s="1" customFormat="1" ht="22.5" spans="1:11">
      <c r="A53" s="15"/>
      <c r="B53" s="13">
        <v>620</v>
      </c>
      <c r="C53" s="2" t="s">
        <v>9</v>
      </c>
      <c r="D53" s="2" t="s">
        <v>146</v>
      </c>
      <c r="E53" s="2" t="s">
        <v>89</v>
      </c>
      <c r="F53" s="4">
        <v>0.155</v>
      </c>
      <c r="G53" s="5">
        <v>4000</v>
      </c>
      <c r="H53" s="14" t="s">
        <v>316</v>
      </c>
      <c r="I53" s="2"/>
      <c r="J53" s="28"/>
      <c r="K53" s="28"/>
    </row>
    <row r="54" s="1" customFormat="1" ht="22.5" spans="1:11">
      <c r="A54" s="15"/>
      <c r="B54" s="13">
        <f>2700+4320+1350+9180+10800+18090+9180</f>
        <v>55620</v>
      </c>
      <c r="C54" s="16" t="s">
        <v>9</v>
      </c>
      <c r="D54" s="16" t="s">
        <v>160</v>
      </c>
      <c r="E54" s="16" t="s">
        <v>89</v>
      </c>
      <c r="F54" s="17">
        <v>0.09</v>
      </c>
      <c r="G54" s="18">
        <f>30000+48000+15000+102000+120000+201000+102000</f>
        <v>618000</v>
      </c>
      <c r="H54" s="16" t="s">
        <v>324</v>
      </c>
      <c r="I54" s="2"/>
      <c r="J54" s="28">
        <f t="shared" ref="J54:J61" si="6">+G54*F54</f>
        <v>55620</v>
      </c>
      <c r="K54" s="28">
        <f t="shared" ref="K54:K61" si="7">+B54-J54</f>
        <v>0</v>
      </c>
    </row>
    <row r="55" s="1" customFormat="1" ht="22.5" spans="1:11">
      <c r="A55" s="15"/>
      <c r="B55" s="13">
        <v>2640</v>
      </c>
      <c r="C55" s="16" t="s">
        <v>9</v>
      </c>
      <c r="D55" s="16" t="s">
        <v>91</v>
      </c>
      <c r="E55" s="16" t="s">
        <v>89</v>
      </c>
      <c r="F55" s="17">
        <v>0.22</v>
      </c>
      <c r="G55" s="18">
        <v>12000</v>
      </c>
      <c r="H55" s="16" t="s">
        <v>324</v>
      </c>
      <c r="I55" s="2"/>
      <c r="J55" s="28">
        <f t="shared" si="6"/>
        <v>2640</v>
      </c>
      <c r="K55" s="28">
        <f t="shared" si="7"/>
        <v>0</v>
      </c>
    </row>
    <row r="56" s="1" customFormat="1" ht="22.5" spans="1:11">
      <c r="A56" s="15"/>
      <c r="B56" s="13">
        <f>7020+21600</f>
        <v>28620</v>
      </c>
      <c r="C56" s="16" t="s">
        <v>9</v>
      </c>
      <c r="D56" s="16" t="s">
        <v>182</v>
      </c>
      <c r="E56" s="16" t="s">
        <v>89</v>
      </c>
      <c r="F56" s="17">
        <v>0.18</v>
      </c>
      <c r="G56" s="18">
        <f>39000+120000</f>
        <v>159000</v>
      </c>
      <c r="H56" s="16" t="s">
        <v>324</v>
      </c>
      <c r="I56" s="2"/>
      <c r="J56" s="28">
        <f t="shared" si="6"/>
        <v>28620</v>
      </c>
      <c r="K56" s="28">
        <f t="shared" si="7"/>
        <v>0</v>
      </c>
    </row>
    <row r="57" s="1" customFormat="1" ht="22.5" spans="1:11">
      <c r="A57" s="15"/>
      <c r="B57" s="13">
        <v>9000</v>
      </c>
      <c r="C57" s="16" t="s">
        <v>9</v>
      </c>
      <c r="D57" s="16" t="s">
        <v>182</v>
      </c>
      <c r="E57" s="16" t="s">
        <v>89</v>
      </c>
      <c r="F57" s="17">
        <v>0.15</v>
      </c>
      <c r="G57" s="18">
        <v>60000</v>
      </c>
      <c r="H57" s="16" t="s">
        <v>324</v>
      </c>
      <c r="I57" s="2"/>
      <c r="J57" s="28">
        <f t="shared" si="6"/>
        <v>9000</v>
      </c>
      <c r="K57" s="28">
        <f t="shared" si="7"/>
        <v>0</v>
      </c>
    </row>
    <row r="58" s="1" customFormat="1" ht="22.5" spans="1:11">
      <c r="A58" s="15"/>
      <c r="B58" s="13">
        <v>3600</v>
      </c>
      <c r="C58" s="16" t="s">
        <v>9</v>
      </c>
      <c r="D58" s="16" t="s">
        <v>162</v>
      </c>
      <c r="E58" s="16" t="s">
        <v>89</v>
      </c>
      <c r="F58" s="17">
        <v>0.12</v>
      </c>
      <c r="G58" s="18">
        <v>30000</v>
      </c>
      <c r="H58" s="16" t="s">
        <v>324</v>
      </c>
      <c r="I58" s="2"/>
      <c r="J58" s="28">
        <f t="shared" si="6"/>
        <v>3600</v>
      </c>
      <c r="K58" s="28">
        <f t="shared" si="7"/>
        <v>0</v>
      </c>
    </row>
    <row r="59" s="1" customFormat="1" ht="22.5" spans="1:11">
      <c r="A59" s="15"/>
      <c r="B59" s="13">
        <v>540</v>
      </c>
      <c r="C59" s="16" t="s">
        <v>9</v>
      </c>
      <c r="D59" s="16" t="s">
        <v>173</v>
      </c>
      <c r="E59" s="16" t="s">
        <v>89</v>
      </c>
      <c r="F59" s="17">
        <v>0.09</v>
      </c>
      <c r="G59" s="18">
        <v>6000</v>
      </c>
      <c r="H59" s="16" t="s">
        <v>324</v>
      </c>
      <c r="I59" s="2"/>
      <c r="J59" s="28">
        <f t="shared" si="6"/>
        <v>540</v>
      </c>
      <c r="K59" s="28">
        <f t="shared" si="7"/>
        <v>0</v>
      </c>
    </row>
    <row r="60" s="1" customFormat="1" ht="22.5" spans="1:11">
      <c r="A60" s="15"/>
      <c r="B60" s="13">
        <v>2520</v>
      </c>
      <c r="C60" s="16" t="s">
        <v>9</v>
      </c>
      <c r="D60" s="16" t="s">
        <v>161</v>
      </c>
      <c r="E60" s="16" t="s">
        <v>89</v>
      </c>
      <c r="F60" s="17">
        <v>0.12</v>
      </c>
      <c r="G60" s="18">
        <v>21000</v>
      </c>
      <c r="H60" s="16" t="s">
        <v>324</v>
      </c>
      <c r="I60" s="2"/>
      <c r="J60" s="28">
        <f t="shared" si="6"/>
        <v>2520</v>
      </c>
      <c r="K60" s="28">
        <f t="shared" si="7"/>
        <v>0</v>
      </c>
    </row>
    <row r="61" s="1" customFormat="1" ht="22.5" spans="1:11">
      <c r="A61" s="19"/>
      <c r="B61" s="13">
        <v>1280</v>
      </c>
      <c r="C61" s="16" t="s">
        <v>9</v>
      </c>
      <c r="D61" s="16" t="s">
        <v>283</v>
      </c>
      <c r="E61" s="16" t="s">
        <v>89</v>
      </c>
      <c r="F61" s="17">
        <v>0.32</v>
      </c>
      <c r="G61" s="18">
        <v>4000</v>
      </c>
      <c r="H61" s="16" t="s">
        <v>324</v>
      </c>
      <c r="I61" s="2"/>
      <c r="J61" s="28">
        <f t="shared" si="6"/>
        <v>1280</v>
      </c>
      <c r="K61" s="28">
        <f t="shared" si="7"/>
        <v>0</v>
      </c>
    </row>
    <row r="62" s="1" customFormat="1" ht="22.5" spans="1:11">
      <c r="A62" s="2" t="s">
        <v>331</v>
      </c>
      <c r="B62" s="13">
        <f>182+420</f>
        <v>602</v>
      </c>
      <c r="C62" s="2" t="s">
        <v>9</v>
      </c>
      <c r="D62" s="2" t="s">
        <v>283</v>
      </c>
      <c r="E62" s="2" t="s">
        <v>89</v>
      </c>
      <c r="F62" s="4">
        <v>0.35</v>
      </c>
      <c r="G62" s="5">
        <f>520+1200</f>
        <v>1720</v>
      </c>
      <c r="H62" s="14" t="s">
        <v>316</v>
      </c>
      <c r="I62" s="2"/>
      <c r="J62" s="28"/>
      <c r="K62" s="28"/>
    </row>
    <row r="63" s="1" customFormat="1" ht="22.5" spans="1:11">
      <c r="A63" s="2" t="s">
        <v>279</v>
      </c>
      <c r="B63" s="13">
        <v>438</v>
      </c>
      <c r="C63" s="2" t="s">
        <v>9</v>
      </c>
      <c r="D63" s="2" t="s">
        <v>148</v>
      </c>
      <c r="E63" s="2" t="s">
        <v>89</v>
      </c>
      <c r="F63" s="4">
        <v>0.146</v>
      </c>
      <c r="G63" s="5">
        <v>3000</v>
      </c>
      <c r="H63" s="14" t="s">
        <v>316</v>
      </c>
      <c r="I63" s="2"/>
      <c r="J63" s="28"/>
      <c r="K63" s="28"/>
    </row>
    <row r="64" s="1" customFormat="1" ht="22.5" spans="1:11">
      <c r="A64" s="2" t="s">
        <v>314</v>
      </c>
      <c r="B64" s="13">
        <v>1200</v>
      </c>
      <c r="C64" s="2" t="s">
        <v>9</v>
      </c>
      <c r="D64" s="2" t="s">
        <v>73</v>
      </c>
      <c r="E64" s="2" t="s">
        <v>89</v>
      </c>
      <c r="F64" s="4">
        <v>0.15</v>
      </c>
      <c r="G64" s="5">
        <v>8000</v>
      </c>
      <c r="H64" s="14" t="s">
        <v>316</v>
      </c>
      <c r="I64" s="2"/>
      <c r="J64" s="28"/>
      <c r="K64" s="28"/>
    </row>
    <row r="65" s="1" customFormat="1" ht="22.5" spans="1:11">
      <c r="A65" s="29" t="s">
        <v>301</v>
      </c>
      <c r="B65" s="7">
        <v>7650</v>
      </c>
      <c r="C65" s="20" t="s">
        <v>9</v>
      </c>
      <c r="D65" s="20" t="s">
        <v>148</v>
      </c>
      <c r="E65" s="20" t="s">
        <v>89</v>
      </c>
      <c r="F65" s="21">
        <v>0.15</v>
      </c>
      <c r="G65" s="22">
        <v>51000</v>
      </c>
      <c r="H65" s="23" t="s">
        <v>307</v>
      </c>
      <c r="I65" s="20" t="s">
        <v>325</v>
      </c>
      <c r="J65" s="28"/>
      <c r="K65" s="28"/>
    </row>
    <row r="66" s="1" customFormat="1" ht="22.5" spans="1:11">
      <c r="A66" s="30"/>
      <c r="B66" s="7">
        <f>1720+860</f>
        <v>2580</v>
      </c>
      <c r="C66" s="20" t="s">
        <v>9</v>
      </c>
      <c r="D66" s="20" t="s">
        <v>79</v>
      </c>
      <c r="E66" s="20" t="s">
        <v>89</v>
      </c>
      <c r="F66" s="21">
        <v>0.215</v>
      </c>
      <c r="G66" s="22">
        <f>8000+4000</f>
        <v>12000</v>
      </c>
      <c r="H66" s="23" t="s">
        <v>307</v>
      </c>
      <c r="I66" s="20" t="s">
        <v>325</v>
      </c>
      <c r="J66" s="28"/>
      <c r="K66" s="28"/>
    </row>
    <row r="67" s="1" customFormat="1" ht="22.5" spans="1:12">
      <c r="A67" s="30"/>
      <c r="B67" s="7">
        <v>7140</v>
      </c>
      <c r="C67" s="20" t="s">
        <v>9</v>
      </c>
      <c r="D67" s="20" t="s">
        <v>148</v>
      </c>
      <c r="E67" s="20" t="s">
        <v>89</v>
      </c>
      <c r="F67" s="21">
        <v>0.14</v>
      </c>
      <c r="G67" s="22">
        <v>51000</v>
      </c>
      <c r="H67" s="23" t="s">
        <v>307</v>
      </c>
      <c r="I67" s="20" t="s">
        <v>325</v>
      </c>
      <c r="J67" s="28"/>
      <c r="K67" s="28"/>
      <c r="L67" s="34"/>
    </row>
    <row r="68" s="1" customFormat="1" ht="22.5" spans="1:11">
      <c r="A68" s="30"/>
      <c r="B68" s="7">
        <v>2835</v>
      </c>
      <c r="C68" s="20" t="s">
        <v>9</v>
      </c>
      <c r="D68" s="20" t="s">
        <v>161</v>
      </c>
      <c r="E68" s="20" t="s">
        <v>89</v>
      </c>
      <c r="F68" s="21">
        <v>0.135</v>
      </c>
      <c r="G68" s="22">
        <v>21000</v>
      </c>
      <c r="H68" s="23" t="s">
        <v>307</v>
      </c>
      <c r="I68" s="20" t="s">
        <v>325</v>
      </c>
      <c r="J68" s="28"/>
      <c r="K68" s="28"/>
    </row>
    <row r="69" s="1" customFormat="1" ht="22.5" spans="1:11">
      <c r="A69" s="30"/>
      <c r="B69" s="13">
        <f>700+700</f>
        <v>1400</v>
      </c>
      <c r="C69" s="2" t="s">
        <v>9</v>
      </c>
      <c r="D69" s="2" t="s">
        <v>146</v>
      </c>
      <c r="E69" s="2" t="s">
        <v>89</v>
      </c>
      <c r="F69" s="4">
        <v>0.175</v>
      </c>
      <c r="G69" s="5">
        <f>4000+4000</f>
        <v>8000</v>
      </c>
      <c r="H69" s="14" t="s">
        <v>316</v>
      </c>
      <c r="I69" s="2"/>
      <c r="J69" s="28"/>
      <c r="K69" s="28"/>
    </row>
    <row r="70" s="1" customFormat="1" ht="22.5" spans="1:11">
      <c r="A70" s="30"/>
      <c r="B70" s="13">
        <v>6885</v>
      </c>
      <c r="C70" s="2" t="s">
        <v>9</v>
      </c>
      <c r="D70" s="2" t="s">
        <v>161</v>
      </c>
      <c r="E70" s="2" t="s">
        <v>89</v>
      </c>
      <c r="F70" s="4">
        <v>0.135</v>
      </c>
      <c r="G70" s="5">
        <v>51000</v>
      </c>
      <c r="H70" s="14" t="s">
        <v>316</v>
      </c>
      <c r="I70" s="2"/>
      <c r="J70" s="28"/>
      <c r="K70" s="28"/>
    </row>
    <row r="71" s="1" customFormat="1" ht="22.5" spans="1:11">
      <c r="A71" s="31"/>
      <c r="B71" s="13">
        <v>4200</v>
      </c>
      <c r="C71" s="2" t="s">
        <v>9</v>
      </c>
      <c r="D71" s="2" t="s">
        <v>148</v>
      </c>
      <c r="E71" s="2" t="s">
        <v>89</v>
      </c>
      <c r="F71" s="4">
        <v>0.14</v>
      </c>
      <c r="G71" s="5">
        <v>30000</v>
      </c>
      <c r="H71" s="14" t="s">
        <v>316</v>
      </c>
      <c r="I71" s="2"/>
      <c r="J71" s="28"/>
      <c r="K71" s="28"/>
    </row>
    <row r="72" s="1" customFormat="1" ht="22.5" spans="1:11">
      <c r="A72" s="32" t="s">
        <v>55</v>
      </c>
      <c r="B72" s="13">
        <v>3000</v>
      </c>
      <c r="C72" s="16" t="s">
        <v>9</v>
      </c>
      <c r="D72" s="16" t="s">
        <v>160</v>
      </c>
      <c r="E72" s="2" t="s">
        <v>89</v>
      </c>
      <c r="F72" s="16">
        <v>0.1</v>
      </c>
      <c r="G72" s="33">
        <f t="shared" ref="G72:G77" si="8">+B72/F72</f>
        <v>30000</v>
      </c>
      <c r="H72" s="16" t="s">
        <v>332</v>
      </c>
      <c r="I72" s="35" t="s">
        <v>144</v>
      </c>
      <c r="K72" s="28"/>
    </row>
    <row r="73" s="1" customFormat="1" ht="22.5" spans="1:11">
      <c r="A73" s="32"/>
      <c r="B73" s="13">
        <v>2475</v>
      </c>
      <c r="C73" s="16" t="s">
        <v>9</v>
      </c>
      <c r="D73" s="16" t="s">
        <v>333</v>
      </c>
      <c r="E73" s="2" t="s">
        <v>89</v>
      </c>
      <c r="F73" s="16">
        <v>0.165</v>
      </c>
      <c r="G73" s="33">
        <f t="shared" si="8"/>
        <v>15000</v>
      </c>
      <c r="H73" s="16" t="s">
        <v>332</v>
      </c>
      <c r="I73" s="35" t="s">
        <v>144</v>
      </c>
      <c r="K73" s="28"/>
    </row>
    <row r="74" s="1" customFormat="1" ht="22.5" spans="1:11">
      <c r="A74" s="32"/>
      <c r="B74" s="13">
        <v>5940</v>
      </c>
      <c r="C74" s="16" t="s">
        <v>9</v>
      </c>
      <c r="D74" s="16" t="s">
        <v>182</v>
      </c>
      <c r="E74" s="2" t="s">
        <v>89</v>
      </c>
      <c r="F74" s="16">
        <v>0.22</v>
      </c>
      <c r="G74" s="33">
        <f t="shared" si="8"/>
        <v>27000</v>
      </c>
      <c r="H74" s="16" t="s">
        <v>332</v>
      </c>
      <c r="I74" s="35" t="s">
        <v>144</v>
      </c>
      <c r="K74" s="28"/>
    </row>
    <row r="75" s="1" customFormat="1" ht="22.5" spans="1:11">
      <c r="A75" s="32"/>
      <c r="B75" s="13">
        <v>7500</v>
      </c>
      <c r="C75" s="16" t="s">
        <v>9</v>
      </c>
      <c r="D75" s="16" t="s">
        <v>160</v>
      </c>
      <c r="E75" s="2" t="s">
        <v>89</v>
      </c>
      <c r="F75" s="16">
        <v>0.1</v>
      </c>
      <c r="G75" s="33">
        <f t="shared" si="8"/>
        <v>75000</v>
      </c>
      <c r="H75" s="16" t="s">
        <v>334</v>
      </c>
      <c r="I75" s="35" t="s">
        <v>144</v>
      </c>
      <c r="K75" s="28"/>
    </row>
    <row r="76" s="1" customFormat="1" ht="22.5" spans="1:11">
      <c r="A76" s="32"/>
      <c r="B76" s="13">
        <v>6600</v>
      </c>
      <c r="C76" s="16" t="s">
        <v>9</v>
      </c>
      <c r="D76" s="16" t="s">
        <v>182</v>
      </c>
      <c r="E76" s="2" t="s">
        <v>89</v>
      </c>
      <c r="F76" s="16">
        <v>0.22</v>
      </c>
      <c r="G76" s="33">
        <f t="shared" si="8"/>
        <v>30000</v>
      </c>
      <c r="H76" s="16" t="s">
        <v>334</v>
      </c>
      <c r="I76" s="35" t="s">
        <v>144</v>
      </c>
      <c r="K76" s="28"/>
    </row>
    <row r="77" s="1" customFormat="1" ht="22.5" spans="1:11">
      <c r="A77" s="32"/>
      <c r="B77" s="13">
        <v>7425</v>
      </c>
      <c r="C77" s="16" t="s">
        <v>9</v>
      </c>
      <c r="D77" s="16" t="s">
        <v>148</v>
      </c>
      <c r="E77" s="2" t="s">
        <v>89</v>
      </c>
      <c r="F77" s="16">
        <v>0.165</v>
      </c>
      <c r="G77" s="33">
        <f t="shared" si="8"/>
        <v>45000</v>
      </c>
      <c r="H77" s="16" t="s">
        <v>334</v>
      </c>
      <c r="I77" s="35" t="s">
        <v>144</v>
      </c>
      <c r="K77" s="28"/>
    </row>
    <row r="78" s="1" customFormat="1" ht="22.5" spans="1:11">
      <c r="A78" s="32"/>
      <c r="B78" s="13">
        <f>+F78*G78</f>
        <v>1680</v>
      </c>
      <c r="C78" s="16" t="s">
        <v>9</v>
      </c>
      <c r="D78" s="16" t="s">
        <v>91</v>
      </c>
      <c r="E78" s="2" t="s">
        <v>89</v>
      </c>
      <c r="F78" s="16">
        <v>0.28</v>
      </c>
      <c r="G78" s="33">
        <v>6000</v>
      </c>
      <c r="H78" s="16" t="s">
        <v>334</v>
      </c>
      <c r="I78" s="35" t="s">
        <v>144</v>
      </c>
      <c r="K78" s="28"/>
    </row>
    <row r="79" s="1" customFormat="1" ht="22.5" spans="1:11">
      <c r="A79" s="32"/>
      <c r="B79" s="13">
        <v>1320</v>
      </c>
      <c r="C79" s="16" t="s">
        <v>9</v>
      </c>
      <c r="D79" s="16" t="s">
        <v>79</v>
      </c>
      <c r="E79" s="2" t="s">
        <v>89</v>
      </c>
      <c r="F79" s="16">
        <v>0.22</v>
      </c>
      <c r="G79" s="33">
        <f>+B79/F79</f>
        <v>6000</v>
      </c>
      <c r="H79" s="16" t="s">
        <v>334</v>
      </c>
      <c r="I79" s="35" t="s">
        <v>144</v>
      </c>
      <c r="K79" s="28"/>
    </row>
    <row r="80" s="1" customFormat="1" ht="22.5" spans="1:11">
      <c r="A80" s="32"/>
      <c r="B80" s="13">
        <f>3000+3000+3000</f>
        <v>9000</v>
      </c>
      <c r="C80" s="2" t="s">
        <v>9</v>
      </c>
      <c r="D80" s="2" t="s">
        <v>160</v>
      </c>
      <c r="E80" s="2" t="s">
        <v>89</v>
      </c>
      <c r="F80" s="16">
        <v>0.1</v>
      </c>
      <c r="G80" s="33">
        <v>90000</v>
      </c>
      <c r="H80" s="2" t="s">
        <v>335</v>
      </c>
      <c r="I80" s="35" t="s">
        <v>144</v>
      </c>
      <c r="K80" s="28"/>
    </row>
    <row r="81" s="1" customFormat="1" ht="22.5" spans="1:11">
      <c r="A81" s="32"/>
      <c r="B81" s="13">
        <f>13200+6600</f>
        <v>19800</v>
      </c>
      <c r="C81" s="2" t="s">
        <v>9</v>
      </c>
      <c r="D81" s="2" t="s">
        <v>182</v>
      </c>
      <c r="E81" s="2" t="s">
        <v>89</v>
      </c>
      <c r="F81" s="16">
        <v>0.22</v>
      </c>
      <c r="G81" s="33">
        <f>60000+30000</f>
        <v>90000</v>
      </c>
      <c r="H81" s="2" t="s">
        <v>335</v>
      </c>
      <c r="I81" s="35" t="s">
        <v>144</v>
      </c>
      <c r="K81" s="28"/>
    </row>
    <row r="82" s="1" customFormat="1" ht="22.5" spans="1:11">
      <c r="A82" s="32"/>
      <c r="B82" s="13">
        <f>7425+4950</f>
        <v>12375</v>
      </c>
      <c r="C82" s="2" t="s">
        <v>9</v>
      </c>
      <c r="D82" s="2" t="s">
        <v>148</v>
      </c>
      <c r="E82" s="2" t="s">
        <v>89</v>
      </c>
      <c r="F82" s="16">
        <v>0.165</v>
      </c>
      <c r="G82" s="33">
        <f>45000+30000</f>
        <v>75000</v>
      </c>
      <c r="H82" s="2" t="s">
        <v>335</v>
      </c>
      <c r="I82" s="35" t="s">
        <v>144</v>
      </c>
      <c r="K82" s="28"/>
    </row>
    <row r="83" s="1" customFormat="1" ht="22.5" spans="1:11">
      <c r="A83" s="32"/>
      <c r="B83" s="13">
        <f>660+660</f>
        <v>1320</v>
      </c>
      <c r="C83" s="2" t="s">
        <v>9</v>
      </c>
      <c r="D83" s="2" t="s">
        <v>79</v>
      </c>
      <c r="E83" s="2" t="s">
        <v>89</v>
      </c>
      <c r="F83" s="16">
        <v>0.22</v>
      </c>
      <c r="G83" s="33">
        <v>6000</v>
      </c>
      <c r="H83" s="2" t="s">
        <v>335</v>
      </c>
      <c r="I83" s="35" t="s">
        <v>144</v>
      </c>
      <c r="K83" s="28"/>
    </row>
    <row r="84" s="1" customFormat="1" ht="22.5" spans="1:11">
      <c r="A84" s="32"/>
      <c r="B84" s="13">
        <f>+F84*G84</f>
        <v>1680</v>
      </c>
      <c r="C84" s="2" t="s">
        <v>9</v>
      </c>
      <c r="D84" s="2" t="s">
        <v>91</v>
      </c>
      <c r="E84" s="2" t="s">
        <v>89</v>
      </c>
      <c r="F84" s="16">
        <v>0.28</v>
      </c>
      <c r="G84" s="33">
        <v>6000</v>
      </c>
      <c r="H84" s="2" t="s">
        <v>335</v>
      </c>
      <c r="I84" s="35" t="s">
        <v>144</v>
      </c>
      <c r="K84" s="28"/>
    </row>
    <row r="85" s="1" customFormat="1" ht="22.5" spans="1:11">
      <c r="A85" s="32"/>
      <c r="B85" s="13">
        <v>12900</v>
      </c>
      <c r="C85" s="2" t="s">
        <v>9</v>
      </c>
      <c r="D85" s="2" t="s">
        <v>160</v>
      </c>
      <c r="E85" s="2" t="s">
        <v>89</v>
      </c>
      <c r="F85" s="16">
        <v>0.1</v>
      </c>
      <c r="G85" s="33">
        <v>129000</v>
      </c>
      <c r="H85" s="2" t="s">
        <v>336</v>
      </c>
      <c r="I85" s="35" t="s">
        <v>144</v>
      </c>
      <c r="K85" s="28"/>
    </row>
    <row r="86" s="1" customFormat="1" ht="22.5" spans="1:11">
      <c r="A86" s="32"/>
      <c r="B86" s="13">
        <v>5040</v>
      </c>
      <c r="C86" s="2" t="s">
        <v>9</v>
      </c>
      <c r="D86" s="2" t="s">
        <v>91</v>
      </c>
      <c r="E86" s="2" t="s">
        <v>89</v>
      </c>
      <c r="F86" s="16">
        <v>0.28</v>
      </c>
      <c r="G86" s="33">
        <v>18000</v>
      </c>
      <c r="H86" s="2" t="s">
        <v>336</v>
      </c>
      <c r="I86" s="35" t="s">
        <v>144</v>
      </c>
      <c r="K86" s="28"/>
    </row>
    <row r="87" s="1" customFormat="1" ht="22.5" spans="1:11">
      <c r="A87" s="32"/>
      <c r="B87" s="13">
        <v>3960</v>
      </c>
      <c r="C87" s="2" t="s">
        <v>9</v>
      </c>
      <c r="D87" s="2" t="s">
        <v>79</v>
      </c>
      <c r="E87" s="2" t="s">
        <v>89</v>
      </c>
      <c r="F87" s="16">
        <v>0.22</v>
      </c>
      <c r="G87" s="33">
        <v>18000</v>
      </c>
      <c r="H87" s="2" t="s">
        <v>336</v>
      </c>
      <c r="I87" s="35" t="s">
        <v>144</v>
      </c>
      <c r="K87" s="28"/>
    </row>
    <row r="88" s="1" customFormat="1" ht="22.5" spans="1:11">
      <c r="A88" s="32"/>
      <c r="B88" s="13">
        <v>19800</v>
      </c>
      <c r="C88" s="2" t="s">
        <v>9</v>
      </c>
      <c r="D88" s="2" t="s">
        <v>182</v>
      </c>
      <c r="E88" s="2" t="s">
        <v>89</v>
      </c>
      <c r="F88" s="16">
        <v>0.22</v>
      </c>
      <c r="G88" s="33">
        <v>90000</v>
      </c>
      <c r="H88" s="2" t="s">
        <v>336</v>
      </c>
      <c r="I88" s="35" t="s">
        <v>144</v>
      </c>
      <c r="K88" s="28"/>
    </row>
    <row r="89" s="1" customFormat="1" ht="22.5" spans="1:11">
      <c r="A89" s="32"/>
      <c r="B89" s="13">
        <v>9120</v>
      </c>
      <c r="C89" s="2" t="s">
        <v>9</v>
      </c>
      <c r="D89" s="2" t="s">
        <v>162</v>
      </c>
      <c r="E89" s="2" t="s">
        <v>89</v>
      </c>
      <c r="F89" s="16">
        <v>0.16</v>
      </c>
      <c r="G89" s="33">
        <v>57000</v>
      </c>
      <c r="H89" s="2" t="s">
        <v>336</v>
      </c>
      <c r="I89" s="35" t="s">
        <v>144</v>
      </c>
      <c r="K89" s="28"/>
    </row>
    <row r="90" s="1" customFormat="1" ht="22.5" spans="1:11">
      <c r="A90" s="32"/>
      <c r="B90" s="13">
        <v>17325</v>
      </c>
      <c r="C90" s="2" t="s">
        <v>9</v>
      </c>
      <c r="D90" s="2" t="s">
        <v>148</v>
      </c>
      <c r="E90" s="2" t="s">
        <v>89</v>
      </c>
      <c r="F90" s="16">
        <v>0.165</v>
      </c>
      <c r="G90" s="33">
        <v>105000</v>
      </c>
      <c r="H90" s="2" t="s">
        <v>336</v>
      </c>
      <c r="I90" s="35" t="s">
        <v>144</v>
      </c>
      <c r="K90" s="28"/>
    </row>
    <row r="91" s="1" customFormat="1" ht="22.5" spans="1:11">
      <c r="A91" s="32"/>
      <c r="B91" s="13">
        <f>+G91*F91</f>
        <v>32120</v>
      </c>
      <c r="C91" s="2" t="s">
        <v>9</v>
      </c>
      <c r="D91" s="2" t="s">
        <v>79</v>
      </c>
      <c r="E91" s="2" t="s">
        <v>89</v>
      </c>
      <c r="F91" s="16">
        <v>0.22</v>
      </c>
      <c r="G91" s="33">
        <v>146000</v>
      </c>
      <c r="H91" s="2" t="s">
        <v>337</v>
      </c>
      <c r="I91" s="35" t="s">
        <v>144</v>
      </c>
      <c r="K91" s="28"/>
    </row>
    <row r="92" s="1" customFormat="1" ht="22.5" spans="1:11">
      <c r="A92" s="32"/>
      <c r="B92" s="13">
        <v>6120</v>
      </c>
      <c r="C92" s="2" t="s">
        <v>9</v>
      </c>
      <c r="D92" s="2" t="s">
        <v>160</v>
      </c>
      <c r="E92" s="2" t="s">
        <v>89</v>
      </c>
      <c r="F92" s="16">
        <v>0.1</v>
      </c>
      <c r="G92" s="33">
        <f>+B92/F92</f>
        <v>61200</v>
      </c>
      <c r="H92" s="2" t="s">
        <v>337</v>
      </c>
      <c r="I92" s="35" t="s">
        <v>144</v>
      </c>
      <c r="K92" s="28"/>
    </row>
    <row r="93" s="1" customFormat="1" ht="22.5" spans="1:11">
      <c r="A93" s="32"/>
      <c r="B93" s="13">
        <f t="shared" ref="B93:B95" si="9">+F93*G93</f>
        <v>10500</v>
      </c>
      <c r="C93" s="2" t="s">
        <v>9</v>
      </c>
      <c r="D93" s="2" t="s">
        <v>160</v>
      </c>
      <c r="E93" s="2" t="s">
        <v>89</v>
      </c>
      <c r="F93" s="16">
        <v>0.1</v>
      </c>
      <c r="G93" s="33">
        <v>105000</v>
      </c>
      <c r="H93" s="2" t="s">
        <v>338</v>
      </c>
      <c r="I93" s="35" t="s">
        <v>144</v>
      </c>
      <c r="K93" s="28"/>
    </row>
    <row r="94" s="1" customFormat="1" ht="22.5" spans="1:11">
      <c r="A94" s="32"/>
      <c r="B94" s="13">
        <f t="shared" si="9"/>
        <v>7680</v>
      </c>
      <c r="C94" s="2" t="s">
        <v>9</v>
      </c>
      <c r="D94" s="2" t="s">
        <v>148</v>
      </c>
      <c r="E94" s="2" t="s">
        <v>89</v>
      </c>
      <c r="F94" s="16">
        <v>0.16</v>
      </c>
      <c r="G94" s="33">
        <v>48000</v>
      </c>
      <c r="H94" s="2" t="s">
        <v>338</v>
      </c>
      <c r="I94" s="35" t="s">
        <v>144</v>
      </c>
      <c r="K94" s="28"/>
    </row>
    <row r="95" s="1" customFormat="1" ht="22.5" spans="1:11">
      <c r="A95" s="32"/>
      <c r="B95" s="13">
        <f t="shared" si="9"/>
        <v>12255</v>
      </c>
      <c r="C95" s="2" t="s">
        <v>9</v>
      </c>
      <c r="D95" s="2" t="s">
        <v>182</v>
      </c>
      <c r="E95" s="2" t="s">
        <v>89</v>
      </c>
      <c r="F95" s="16">
        <v>0.215</v>
      </c>
      <c r="G95" s="33">
        <v>57000</v>
      </c>
      <c r="H95" s="2" t="s">
        <v>338</v>
      </c>
      <c r="I95" s="35" t="s">
        <v>144</v>
      </c>
      <c r="K95" s="28"/>
    </row>
  </sheetData>
  <mergeCells count="12">
    <mergeCell ref="A2:A3"/>
    <mergeCell ref="A4:A7"/>
    <mergeCell ref="A8:A9"/>
    <mergeCell ref="A11:A12"/>
    <mergeCell ref="A13:A22"/>
    <mergeCell ref="A27:A31"/>
    <mergeCell ref="A34:A36"/>
    <mergeCell ref="A38:A41"/>
    <mergeCell ref="A42:A45"/>
    <mergeCell ref="A47:A61"/>
    <mergeCell ref="A65:A71"/>
    <mergeCell ref="A72:A95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2" sqref="B2:B4"/>
    </sheetView>
  </sheetViews>
  <sheetFormatPr defaultColWidth="18" defaultRowHeight="33.95" customHeight="1" outlineLevelRow="5" outlineLevelCol="7"/>
  <sheetData>
    <row r="1" customHeight="1" spans="1:8">
      <c r="A1" s="318" t="s">
        <v>0</v>
      </c>
      <c r="B1" s="320" t="s">
        <v>20</v>
      </c>
      <c r="C1" s="320" t="s">
        <v>2</v>
      </c>
      <c r="D1" s="320" t="s">
        <v>3</v>
      </c>
      <c r="E1" s="320" t="s">
        <v>4</v>
      </c>
      <c r="F1" s="382" t="s">
        <v>21</v>
      </c>
      <c r="G1" s="382" t="s">
        <v>6</v>
      </c>
      <c r="H1" s="320" t="s">
        <v>7</v>
      </c>
    </row>
    <row r="2" customHeight="1" spans="1:8">
      <c r="A2" s="393" t="s">
        <v>8</v>
      </c>
      <c r="B2" s="337">
        <v>19860</v>
      </c>
      <c r="C2" s="337" t="s">
        <v>9</v>
      </c>
      <c r="D2" s="337">
        <v>3401</v>
      </c>
      <c r="E2" s="337" t="s">
        <v>10</v>
      </c>
      <c r="F2" s="378" t="s">
        <v>11</v>
      </c>
      <c r="G2" s="378" t="s">
        <v>12</v>
      </c>
      <c r="H2" s="337" t="s">
        <v>31</v>
      </c>
    </row>
    <row r="3" customHeight="1" spans="1:8">
      <c r="A3" s="393" t="s">
        <v>14</v>
      </c>
      <c r="B3" s="337">
        <v>69000</v>
      </c>
      <c r="C3" s="337" t="s">
        <v>9</v>
      </c>
      <c r="D3" s="337">
        <v>4953</v>
      </c>
      <c r="E3" s="337" t="s">
        <v>27</v>
      </c>
      <c r="F3" s="378" t="s">
        <v>11</v>
      </c>
      <c r="G3" s="378"/>
      <c r="H3" s="337" t="s">
        <v>32</v>
      </c>
    </row>
    <row r="4" customHeight="1" spans="1:8">
      <c r="A4" s="393" t="s">
        <v>29</v>
      </c>
      <c r="B4" s="337">
        <v>23040</v>
      </c>
      <c r="C4" s="337" t="s">
        <v>9</v>
      </c>
      <c r="D4" s="337">
        <v>4953</v>
      </c>
      <c r="E4" s="337" t="s">
        <v>27</v>
      </c>
      <c r="F4" s="378" t="s">
        <v>11</v>
      </c>
      <c r="G4" s="378"/>
      <c r="H4" s="337" t="s">
        <v>31</v>
      </c>
    </row>
    <row r="5" customHeight="1" spans="1:8">
      <c r="A5" s="388" t="s">
        <v>17</v>
      </c>
      <c r="B5" s="394">
        <v>111900</v>
      </c>
      <c r="C5" s="337"/>
      <c r="D5" s="337"/>
      <c r="E5" s="337"/>
      <c r="F5" s="378" t="s">
        <v>16</v>
      </c>
      <c r="G5" s="378"/>
      <c r="H5" s="378"/>
    </row>
    <row r="6" customHeight="1" spans="4:4">
      <c r="D6" s="397" t="s">
        <v>33</v>
      </c>
    </row>
  </sheetData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3" sqref="A13"/>
    </sheetView>
  </sheetViews>
  <sheetFormatPr defaultColWidth="18.375" defaultRowHeight="33.95" customHeight="1" outlineLevelCol="7"/>
  <sheetData>
    <row r="1" customHeight="1" spans="1:8">
      <c r="A1" s="318" t="s">
        <v>0</v>
      </c>
      <c r="B1" s="320" t="s">
        <v>20</v>
      </c>
      <c r="C1" s="320" t="s">
        <v>2</v>
      </c>
      <c r="D1" s="320" t="s">
        <v>3</v>
      </c>
      <c r="E1" s="320" t="s">
        <v>4</v>
      </c>
      <c r="F1" s="382" t="s">
        <v>21</v>
      </c>
      <c r="G1" s="382" t="s">
        <v>6</v>
      </c>
      <c r="H1" s="320" t="s">
        <v>7</v>
      </c>
    </row>
    <row r="2" customHeight="1" spans="1:8">
      <c r="A2" s="393" t="s">
        <v>8</v>
      </c>
      <c r="B2" s="337">
        <v>25110</v>
      </c>
      <c r="C2" s="337" t="s">
        <v>9</v>
      </c>
      <c r="D2" s="337">
        <v>3401</v>
      </c>
      <c r="E2" s="337" t="s">
        <v>10</v>
      </c>
      <c r="F2" s="378" t="s">
        <v>11</v>
      </c>
      <c r="G2" s="378" t="s">
        <v>12</v>
      </c>
      <c r="H2" s="337" t="s">
        <v>32</v>
      </c>
    </row>
    <row r="3" customHeight="1" spans="1:8">
      <c r="A3" s="393" t="s">
        <v>34</v>
      </c>
      <c r="B3" s="337">
        <v>5664</v>
      </c>
      <c r="C3" s="337" t="s">
        <v>9</v>
      </c>
      <c r="D3" s="337">
        <v>4953</v>
      </c>
      <c r="E3" s="337" t="s">
        <v>10</v>
      </c>
      <c r="F3" s="378">
        <v>0.11</v>
      </c>
      <c r="G3" s="378"/>
      <c r="H3" s="337" t="s">
        <v>32</v>
      </c>
    </row>
    <row r="4" customHeight="1" spans="1:8">
      <c r="A4" s="393" t="s">
        <v>35</v>
      </c>
      <c r="B4" s="337">
        <v>4125</v>
      </c>
      <c r="C4" s="337" t="s">
        <v>9</v>
      </c>
      <c r="D4" s="337"/>
      <c r="E4" s="337"/>
      <c r="F4" s="378"/>
      <c r="G4" s="378"/>
      <c r="H4" s="337" t="s">
        <v>32</v>
      </c>
    </row>
    <row r="5" customHeight="1" spans="1:8">
      <c r="A5" s="393" t="s">
        <v>29</v>
      </c>
      <c r="B5" s="337">
        <v>32040</v>
      </c>
      <c r="C5" s="337" t="s">
        <v>9</v>
      </c>
      <c r="D5" s="337">
        <v>4953</v>
      </c>
      <c r="E5" s="337" t="s">
        <v>27</v>
      </c>
      <c r="F5" s="378" t="s">
        <v>11</v>
      </c>
      <c r="G5" s="378"/>
      <c r="H5" s="337" t="s">
        <v>32</v>
      </c>
    </row>
    <row r="6" customHeight="1" spans="1:8">
      <c r="A6" s="393" t="s">
        <v>36</v>
      </c>
      <c r="B6" s="337">
        <v>69000</v>
      </c>
      <c r="C6" s="337" t="s">
        <v>9</v>
      </c>
      <c r="D6" s="337">
        <v>4953</v>
      </c>
      <c r="E6" s="337"/>
      <c r="F6" s="378"/>
      <c r="G6" s="378"/>
      <c r="H6" s="337" t="s">
        <v>37</v>
      </c>
    </row>
    <row r="7" customHeight="1" spans="1:8">
      <c r="A7" s="388" t="s">
        <v>17</v>
      </c>
      <c r="B7" s="394">
        <v>135939</v>
      </c>
      <c r="C7" s="337"/>
      <c r="D7" s="337"/>
      <c r="E7" s="337"/>
      <c r="F7" s="378" t="s">
        <v>16</v>
      </c>
      <c r="G7" s="378"/>
      <c r="H7" s="378"/>
    </row>
    <row r="9" customHeight="1" spans="1:5">
      <c r="A9" s="395" t="s">
        <v>38</v>
      </c>
      <c r="B9" s="396" t="s">
        <v>39</v>
      </c>
      <c r="C9" s="396"/>
      <c r="E9" s="397" t="s">
        <v>18</v>
      </c>
    </row>
  </sheetData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13" sqref="E13"/>
    </sheetView>
  </sheetViews>
  <sheetFormatPr defaultColWidth="16.5" defaultRowHeight="36" customHeight="1" outlineLevelCol="7"/>
  <cols>
    <col min="2" max="2" width="18.5" style="366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82" t="s">
        <v>21</v>
      </c>
      <c r="G1" s="382" t="s">
        <v>6</v>
      </c>
      <c r="H1" s="320" t="s">
        <v>7</v>
      </c>
    </row>
    <row r="2" customHeight="1" spans="1:8">
      <c r="A2" s="46" t="s">
        <v>8</v>
      </c>
      <c r="B2" s="391">
        <v>37980</v>
      </c>
      <c r="C2" s="337" t="s">
        <v>9</v>
      </c>
      <c r="D2" s="337">
        <v>3401</v>
      </c>
      <c r="E2" s="337" t="s">
        <v>27</v>
      </c>
      <c r="F2" s="378" t="s">
        <v>11</v>
      </c>
      <c r="G2" s="378" t="s">
        <v>12</v>
      </c>
      <c r="H2" s="337" t="s">
        <v>37</v>
      </c>
    </row>
    <row r="3" customHeight="1" spans="1:8">
      <c r="A3" s="48"/>
      <c r="B3" s="392"/>
      <c r="C3" s="337" t="s">
        <v>9</v>
      </c>
      <c r="D3" s="337">
        <v>8810</v>
      </c>
      <c r="E3" s="337" t="s">
        <v>27</v>
      </c>
      <c r="F3" s="378">
        <v>0.3</v>
      </c>
      <c r="G3" s="378"/>
      <c r="H3" s="337"/>
    </row>
    <row r="4" customHeight="1" spans="1:8">
      <c r="A4" s="333" t="s">
        <v>34</v>
      </c>
      <c r="B4" s="361">
        <v>5664</v>
      </c>
      <c r="C4" s="337" t="s">
        <v>9</v>
      </c>
      <c r="D4" s="337">
        <v>4953</v>
      </c>
      <c r="E4" s="337" t="s">
        <v>27</v>
      </c>
      <c r="F4" s="378">
        <v>0.115</v>
      </c>
      <c r="G4" s="378"/>
      <c r="H4" s="337" t="s">
        <v>37</v>
      </c>
    </row>
    <row r="5" customHeight="1" spans="1:8">
      <c r="A5" s="333" t="s">
        <v>34</v>
      </c>
      <c r="B5" s="361">
        <v>28506</v>
      </c>
      <c r="C5" s="337" t="s">
        <v>9</v>
      </c>
      <c r="D5" s="337">
        <v>4953</v>
      </c>
      <c r="E5" s="337" t="s">
        <v>27</v>
      </c>
      <c r="F5" s="378">
        <v>0.115</v>
      </c>
      <c r="G5" s="378"/>
      <c r="H5" s="337" t="s">
        <v>40</v>
      </c>
    </row>
    <row r="6" customHeight="1" spans="1:8">
      <c r="A6" s="393" t="s">
        <v>41</v>
      </c>
      <c r="B6" s="361">
        <v>15000</v>
      </c>
      <c r="C6" s="337" t="s">
        <v>9</v>
      </c>
      <c r="D6" s="337">
        <v>4953</v>
      </c>
      <c r="E6" s="337" t="s">
        <v>27</v>
      </c>
      <c r="F6" s="378">
        <v>0.125</v>
      </c>
      <c r="G6" s="378"/>
      <c r="H6" s="337" t="s">
        <v>40</v>
      </c>
    </row>
    <row r="7" customHeight="1" spans="1:8">
      <c r="A7" s="333" t="s">
        <v>29</v>
      </c>
      <c r="B7" s="361">
        <v>18720</v>
      </c>
      <c r="C7" s="337" t="s">
        <v>9</v>
      </c>
      <c r="D7" s="337">
        <v>4953</v>
      </c>
      <c r="E7" s="337" t="s">
        <v>27</v>
      </c>
      <c r="F7" s="378" t="s">
        <v>11</v>
      </c>
      <c r="G7" s="378"/>
      <c r="H7" s="337" t="s">
        <v>37</v>
      </c>
    </row>
    <row r="8" customHeight="1" spans="1:8">
      <c r="A8" s="333" t="s">
        <v>29</v>
      </c>
      <c r="B8" s="361">
        <v>25200</v>
      </c>
      <c r="C8" s="337" t="s">
        <v>9</v>
      </c>
      <c r="D8" s="337">
        <v>4953</v>
      </c>
      <c r="E8" s="337" t="s">
        <v>27</v>
      </c>
      <c r="F8" s="378" t="s">
        <v>11</v>
      </c>
      <c r="G8" s="378"/>
      <c r="H8" s="337" t="s">
        <v>37</v>
      </c>
    </row>
    <row r="9" customHeight="1" spans="1:8">
      <c r="A9" s="393" t="s">
        <v>36</v>
      </c>
      <c r="B9" s="361">
        <v>46230</v>
      </c>
      <c r="C9" s="337" t="s">
        <v>9</v>
      </c>
      <c r="D9" s="337">
        <v>4953</v>
      </c>
      <c r="E9" s="337" t="s">
        <v>27</v>
      </c>
      <c r="F9" s="378" t="s">
        <v>11</v>
      </c>
      <c r="G9" s="378"/>
      <c r="H9" s="337" t="s">
        <v>40</v>
      </c>
    </row>
    <row r="10" customHeight="1" spans="1:8">
      <c r="A10" s="393" t="s">
        <v>42</v>
      </c>
      <c r="B10" s="361">
        <v>8745</v>
      </c>
      <c r="C10" s="337" t="s">
        <v>9</v>
      </c>
      <c r="D10" s="337">
        <v>4812</v>
      </c>
      <c r="E10" s="337" t="s">
        <v>27</v>
      </c>
      <c r="F10" s="378">
        <v>0.275</v>
      </c>
      <c r="G10" s="378"/>
      <c r="H10" s="337" t="s">
        <v>43</v>
      </c>
    </row>
    <row r="11" customHeight="1" spans="1:8">
      <c r="A11" s="393"/>
      <c r="B11" s="361"/>
      <c r="C11" s="337"/>
      <c r="D11" s="337"/>
      <c r="E11" s="337"/>
      <c r="F11" s="378"/>
      <c r="G11" s="378"/>
      <c r="H11" s="337"/>
    </row>
    <row r="12" customHeight="1" spans="1:8">
      <c r="A12" s="388" t="s">
        <v>17</v>
      </c>
      <c r="B12" s="389">
        <v>186045</v>
      </c>
      <c r="C12" s="337"/>
      <c r="D12" s="337"/>
      <c r="E12" s="337"/>
      <c r="F12" s="378" t="s">
        <v>16</v>
      </c>
      <c r="G12" s="378"/>
      <c r="H12" s="378"/>
    </row>
    <row r="13" customHeight="1" spans="5:5">
      <c r="E13" s="304" t="s">
        <v>18</v>
      </c>
    </row>
  </sheetData>
  <mergeCells count="2">
    <mergeCell ref="A2:A3"/>
    <mergeCell ref="B2:B3"/>
  </mergeCells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2" sqref="C12"/>
    </sheetView>
  </sheetViews>
  <sheetFormatPr defaultColWidth="16.5" defaultRowHeight="36" customHeight="1" outlineLevelCol="7"/>
  <cols>
    <col min="2" max="2" width="18.5" style="366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82" t="s">
        <v>21</v>
      </c>
      <c r="G1" s="382" t="s">
        <v>6</v>
      </c>
      <c r="H1" s="320" t="s">
        <v>7</v>
      </c>
    </row>
    <row r="2" customHeight="1" spans="1:8">
      <c r="A2" s="377" t="s">
        <v>8</v>
      </c>
      <c r="B2" s="374">
        <v>30600</v>
      </c>
      <c r="C2" s="337" t="s">
        <v>9</v>
      </c>
      <c r="D2" s="337">
        <v>3401</v>
      </c>
      <c r="E2" s="337" t="s">
        <v>27</v>
      </c>
      <c r="F2" s="378" t="s">
        <v>11</v>
      </c>
      <c r="G2" s="378" t="s">
        <v>12</v>
      </c>
      <c r="H2" s="337" t="s">
        <v>40</v>
      </c>
    </row>
    <row r="3" customHeight="1" spans="1:8">
      <c r="A3" s="377" t="s">
        <v>8</v>
      </c>
      <c r="B3" s="374">
        <v>14787.6</v>
      </c>
      <c r="C3" s="337" t="s">
        <v>9</v>
      </c>
      <c r="D3" s="337">
        <v>8810</v>
      </c>
      <c r="E3" s="337" t="s">
        <v>27</v>
      </c>
      <c r="F3" s="378">
        <v>0.3</v>
      </c>
      <c r="G3" s="378"/>
      <c r="H3" s="337" t="s">
        <v>44</v>
      </c>
    </row>
    <row r="4" customHeight="1" spans="1:8">
      <c r="A4" s="329" t="s">
        <v>34</v>
      </c>
      <c r="B4" s="361">
        <v>14145</v>
      </c>
      <c r="C4" s="337" t="s">
        <v>9</v>
      </c>
      <c r="D4" s="337">
        <v>4953</v>
      </c>
      <c r="E4" s="337" t="s">
        <v>27</v>
      </c>
      <c r="F4" s="378">
        <v>0.115</v>
      </c>
      <c r="G4" s="378"/>
      <c r="H4" s="337" t="s">
        <v>44</v>
      </c>
    </row>
    <row r="5" customHeight="1" spans="1:8">
      <c r="A5" s="329" t="s">
        <v>45</v>
      </c>
      <c r="B5" s="361">
        <v>5760</v>
      </c>
      <c r="C5" s="337" t="s">
        <v>9</v>
      </c>
      <c r="D5" s="337">
        <v>4953</v>
      </c>
      <c r="E5" s="337" t="s">
        <v>27</v>
      </c>
      <c r="F5" s="378">
        <v>0.12</v>
      </c>
      <c r="G5" s="378"/>
      <c r="H5" s="337" t="s">
        <v>44</v>
      </c>
    </row>
    <row r="6" customHeight="1" spans="1:8">
      <c r="A6" s="379" t="s">
        <v>36</v>
      </c>
      <c r="B6" s="361">
        <v>57960</v>
      </c>
      <c r="C6" s="337" t="s">
        <v>9</v>
      </c>
      <c r="D6" s="337">
        <v>4953</v>
      </c>
      <c r="E6" s="337" t="s">
        <v>27</v>
      </c>
      <c r="F6" s="378">
        <v>0.115</v>
      </c>
      <c r="G6" s="378"/>
      <c r="H6" s="337" t="s">
        <v>44</v>
      </c>
    </row>
    <row r="7" customHeight="1" spans="1:8">
      <c r="A7" s="379" t="s">
        <v>42</v>
      </c>
      <c r="B7" s="361">
        <v>3975</v>
      </c>
      <c r="C7" s="337" t="s">
        <v>9</v>
      </c>
      <c r="D7" s="337">
        <v>4812</v>
      </c>
      <c r="E7" s="337" t="s">
        <v>27</v>
      </c>
      <c r="F7" s="378">
        <v>0.275</v>
      </c>
      <c r="G7" s="378"/>
      <c r="H7" s="337" t="s">
        <v>44</v>
      </c>
    </row>
    <row r="8" customHeight="1" spans="1:8">
      <c r="A8" s="380" t="s">
        <v>46</v>
      </c>
      <c r="B8" s="361">
        <v>6555</v>
      </c>
      <c r="C8" s="337" t="s">
        <v>9</v>
      </c>
      <c r="D8" s="337">
        <v>4953</v>
      </c>
      <c r="E8" s="337" t="s">
        <v>27</v>
      </c>
      <c r="F8" s="378">
        <v>0.115</v>
      </c>
      <c r="G8" s="378"/>
      <c r="H8" s="337" t="s">
        <v>44</v>
      </c>
    </row>
    <row r="9" customHeight="1" spans="1:8">
      <c r="A9" s="388" t="s">
        <v>17</v>
      </c>
      <c r="B9" s="389">
        <v>133782.6</v>
      </c>
      <c r="C9" s="337"/>
      <c r="D9" s="337"/>
      <c r="E9" s="337"/>
      <c r="F9" s="378" t="s">
        <v>16</v>
      </c>
      <c r="G9" s="378"/>
      <c r="H9" s="378"/>
    </row>
    <row r="11" customHeight="1" spans="2:2">
      <c r="B11" s="390" t="s">
        <v>47</v>
      </c>
    </row>
  </sheetData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ySplit="1" topLeftCell="A2" activePane="bottomLeft" state="frozen"/>
      <selection/>
      <selection pane="bottomLeft" activeCell="F5" sqref="F5"/>
    </sheetView>
  </sheetViews>
  <sheetFormatPr defaultColWidth="16.5" defaultRowHeight="36" customHeight="1" outlineLevelRow="7"/>
  <cols>
    <col min="2" max="2" width="18.5" style="366" customWidth="1"/>
  </cols>
  <sheetData>
    <row r="1" customHeight="1" spans="1:8">
      <c r="A1" s="318" t="s">
        <v>0</v>
      </c>
      <c r="B1" s="319" t="s">
        <v>20</v>
      </c>
      <c r="C1" s="320" t="s">
        <v>2</v>
      </c>
      <c r="D1" s="320" t="s">
        <v>3</v>
      </c>
      <c r="E1" s="320" t="s">
        <v>4</v>
      </c>
      <c r="F1" s="382" t="s">
        <v>21</v>
      </c>
      <c r="G1" s="382" t="s">
        <v>6</v>
      </c>
      <c r="H1" s="320" t="s">
        <v>7</v>
      </c>
    </row>
    <row r="2" customHeight="1" spans="1:8">
      <c r="A2" s="377" t="s">
        <v>8</v>
      </c>
      <c r="B2" s="374">
        <v>28800</v>
      </c>
      <c r="C2" s="337" t="s">
        <v>9</v>
      </c>
      <c r="D2" s="337">
        <v>3401</v>
      </c>
      <c r="E2" s="337" t="s">
        <v>27</v>
      </c>
      <c r="F2" s="378">
        <v>0.1</v>
      </c>
      <c r="G2" s="378" t="s">
        <v>12</v>
      </c>
      <c r="H2" s="337" t="s">
        <v>48</v>
      </c>
    </row>
    <row r="3" customHeight="1" spans="1:8">
      <c r="A3" s="329" t="s">
        <v>34</v>
      </c>
      <c r="B3" s="361">
        <v>11040</v>
      </c>
      <c r="C3" s="337" t="s">
        <v>9</v>
      </c>
      <c r="D3" s="337">
        <v>4953</v>
      </c>
      <c r="E3" s="337" t="s">
        <v>27</v>
      </c>
      <c r="F3" s="378">
        <v>0.1</v>
      </c>
      <c r="G3" s="378"/>
      <c r="H3" s="337" t="s">
        <v>48</v>
      </c>
    </row>
    <row r="4" customHeight="1" spans="1:8">
      <c r="A4" s="379" t="s">
        <v>36</v>
      </c>
      <c r="B4" s="361">
        <v>74610</v>
      </c>
      <c r="C4" s="337" t="s">
        <v>9</v>
      </c>
      <c r="D4" s="337">
        <v>4953</v>
      </c>
      <c r="E4" s="337" t="s">
        <v>27</v>
      </c>
      <c r="F4" s="378">
        <v>0.115</v>
      </c>
      <c r="G4" s="378"/>
      <c r="H4" s="337" t="s">
        <v>48</v>
      </c>
    </row>
    <row r="5" customHeight="1" spans="1:8">
      <c r="A5" s="379" t="s">
        <v>42</v>
      </c>
      <c r="B5" s="361">
        <v>3180</v>
      </c>
      <c r="C5" s="337" t="s">
        <v>9</v>
      </c>
      <c r="D5" s="337">
        <v>4812</v>
      </c>
      <c r="E5" s="337" t="s">
        <v>27</v>
      </c>
      <c r="F5" s="378">
        <v>0.275</v>
      </c>
      <c r="G5" s="378"/>
      <c r="H5" s="337" t="s">
        <v>48</v>
      </c>
    </row>
    <row r="6" customHeight="1" spans="1:9">
      <c r="A6" s="380" t="s">
        <v>49</v>
      </c>
      <c r="B6" s="383">
        <v>2760</v>
      </c>
      <c r="C6" s="338" t="s">
        <v>9</v>
      </c>
      <c r="D6" s="338">
        <v>4953</v>
      </c>
      <c r="E6" s="338" t="s">
        <v>27</v>
      </c>
      <c r="F6" s="384">
        <v>0.115</v>
      </c>
      <c r="G6" s="384"/>
      <c r="H6" s="338" t="s">
        <v>48</v>
      </c>
      <c r="I6" s="304" t="s">
        <v>50</v>
      </c>
    </row>
    <row r="7" customHeight="1" spans="1:8">
      <c r="A7" s="385" t="s">
        <v>17</v>
      </c>
      <c r="B7" s="386">
        <v>117630</v>
      </c>
      <c r="C7" s="337"/>
      <c r="D7" s="337"/>
      <c r="E7" s="337"/>
      <c r="F7" s="378" t="s">
        <v>16</v>
      </c>
      <c r="G7" s="378"/>
      <c r="H7" s="378"/>
    </row>
    <row r="8" customHeight="1" spans="5:5">
      <c r="E8" s="387" t="s">
        <v>18</v>
      </c>
    </row>
  </sheetData>
  <pageMargins left="0.75" right="0.75" top="1" bottom="1" header="0.5" footer="0.5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3月</vt:lpstr>
      <vt:lpstr>4月</vt:lpstr>
      <vt:lpstr>5-6月</vt:lpstr>
      <vt:lpstr>7月</vt:lpstr>
      <vt:lpstr>8月</vt:lpstr>
      <vt:lpstr>9月</vt:lpstr>
      <vt:lpstr>10月</vt:lpstr>
      <vt:lpstr>11-12月</vt:lpstr>
      <vt:lpstr>17年01</vt:lpstr>
      <vt:lpstr>17年02</vt:lpstr>
      <vt:lpstr>17年03</vt:lpstr>
      <vt:lpstr>17年04</vt:lpstr>
      <vt:lpstr>17年05</vt:lpstr>
      <vt:lpstr>17年06销售额</vt:lpstr>
      <vt:lpstr>17年07月销售额</vt:lpstr>
      <vt:lpstr>17年08月销售额</vt:lpstr>
      <vt:lpstr>17年09月销售额</vt:lpstr>
      <vt:lpstr>17年10月销售额</vt:lpstr>
      <vt:lpstr>17年11月销售额</vt:lpstr>
      <vt:lpstr>17年12月销售额</vt:lpstr>
      <vt:lpstr>18年1月销售额</vt:lpstr>
      <vt:lpstr>18年2月销售额</vt:lpstr>
      <vt:lpstr>18年3月销售额</vt:lpstr>
      <vt:lpstr>18年4月销售额（当月开票）</vt:lpstr>
      <vt:lpstr>18年5月销售额</vt:lpstr>
      <vt:lpstr>18年6月销售额</vt:lpstr>
      <vt:lpstr>18年7月销售额</vt:lpstr>
      <vt:lpstr>18年8月销售额</vt:lpstr>
      <vt:lpstr>18年9月销售额</vt:lpstr>
      <vt:lpstr>18年10月销售额</vt:lpstr>
      <vt:lpstr>18年11月销售额</vt:lpstr>
      <vt:lpstr>18年12月銷售額</vt:lpstr>
      <vt:lpstr>19年1月销售额</vt:lpstr>
      <vt:lpstr>19年2月销售额</vt:lpstr>
      <vt:lpstr>19年3月销售额</vt:lpstr>
      <vt:lpstr>19年4月销售额</vt:lpstr>
      <vt:lpstr>19年5月销售额</vt:lpstr>
      <vt:lpstr>19年6月销售额</vt:lpstr>
      <vt:lpstr>19年7月销售额</vt:lpstr>
      <vt:lpstr>19年8月销售额</vt:lpstr>
      <vt:lpstr>19年9月销售额</vt:lpstr>
      <vt:lpstr>19年10月销售额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跃马</cp:lastModifiedBy>
  <dcterms:created xsi:type="dcterms:W3CDTF">2016-03-25T03:49:00Z</dcterms:created>
  <cp:lastPrinted>2018-10-24T02:06:00Z</cp:lastPrinted>
  <dcterms:modified xsi:type="dcterms:W3CDTF">2019-11-21T08:53:46Z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